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8.xml" ContentType="application/vnd.openxmlformats-officedocument.drawingml.chart+xml"/>
  <Override PartName="/xl/charts/chart7.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omments10.xml" ContentType="application/vnd.openxmlformats-officedocument.spreadsheetml.comments+xml"/>
  <Override PartName="/xl/comments9.xml" ContentType="application/vnd.openxmlformats-officedocument.spreadsheetml.comments+xml"/>
  <Override PartName="/xl/comments15.xml" ContentType="application/vnd.openxmlformats-officedocument.spreadsheetml.comments+xml"/>
  <Override PartName="/xl/comments17.xml" ContentType="application/vnd.openxmlformats-officedocument.spreadsheetml.comments+xml"/>
  <Override PartName="/xl/comments14.xml" ContentType="application/vnd.openxmlformats-officedocument.spreadsheetml.comments+xml"/>
  <Override PartName="/xl/comments13.xml" ContentType="application/vnd.openxmlformats-officedocument.spreadsheetml.comments+xml"/>
  <Override PartName="/xl/comments18.xml" ContentType="application/vnd.openxmlformats-officedocument.spreadsheetml.comments+xml"/>
  <Override PartName="/xl/comments16.xml" ContentType="application/vnd.openxmlformats-officedocument.spreadsheetml.comments+xml"/>
  <Override PartName="/xl/comments12.xml" ContentType="application/vnd.openxmlformats-officedocument.spreadsheetml.comments+xml"/>
  <Override PartName="/xl/comments11.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scasey\Documents\VIMAL\"/>
    </mc:Choice>
  </mc:AlternateContent>
  <xr:revisionPtr revIDLastSave="0" documentId="8_{7A3268DE-8876-4B90-BA82-E1E27127A811}" xr6:coauthVersionLast="47" xr6:coauthVersionMax="47" xr10:uidLastSave="{00000000-0000-0000-0000-000000000000}"/>
  <bookViews>
    <workbookView xWindow="1500" yWindow="1500" windowWidth="17280" windowHeight="8964" xr2:uid="{00000000-000D-0000-FFFF-FFFF00000000}"/>
  </bookViews>
  <sheets>
    <sheet name="Summary" sheetId="1" r:id="rId1"/>
    <sheet name="EGU Production ALL Units" sheetId="6" r:id="rId2"/>
    <sheet name="EGU Details" sheetId="7" r:id="rId3"/>
    <sheet name="Severstal" sheetId="4" r:id="rId4"/>
    <sheet name="Luke" sheetId="5" r:id="rId5"/>
    <sheet name="Imported Electricity" sheetId="8" r:id="rId6"/>
    <sheet name="Residential" sheetId="10" r:id="rId7"/>
    <sheet name="Commercial" sheetId="11" r:id="rId8"/>
    <sheet name="Industrial" sheetId="12" r:id="rId9"/>
    <sheet name="Transportation" sheetId="9" r:id="rId10"/>
    <sheet name="Natural Gas and Oil" sheetId="19" r:id="rId11"/>
    <sheet name="Mining" sheetId="20" r:id="rId12"/>
    <sheet name="Cement" sheetId="13" r:id="rId13"/>
    <sheet name="LimeT&amp;DSodaODS" sheetId="2" r:id="rId14"/>
    <sheet name="Iron And Steel" sheetId="15" r:id="rId15"/>
    <sheet name="Ammonia &amp; Urea Consumption" sheetId="14" r:id="rId16"/>
    <sheet name="Agricultural" sheetId="22" r:id="rId17"/>
    <sheet name="Agriculture_Liming" sheetId="23" r:id="rId18"/>
    <sheet name="Incinerators" sheetId="17" r:id="rId19"/>
    <sheet name="Landfills" sheetId="16" r:id="rId20"/>
    <sheet name="Wastewater" sheetId="21" r:id="rId21"/>
    <sheet name="OpenBurn" sheetId="18" r:id="rId22"/>
    <sheet name="Land_Use" sheetId="3" r:id="rId23"/>
    <sheet name="Graphs" sheetId="24" state="hidden" r:id="rId24"/>
  </sheets>
  <definedNames>
    <definedName name="_Key1">#REF!</definedName>
    <definedName name="_Sort">#REF!</definedName>
    <definedName name="_Toc284401718" localSheetId="23">Graphs!$I$45</definedName>
    <definedName name="_Toc352228849" localSheetId="23">Graphs!$I$22</definedName>
    <definedName name="CementCorrectionFactor">#REF!</definedName>
    <definedName name="CH4GWP">#REF!</definedName>
    <definedName name="CoalCCs">#REF!</definedName>
    <definedName name="CoalGrowth">#REF!</definedName>
    <definedName name="data">#REF!</definedName>
    <definedName name="ElecProj">#REF!</definedName>
    <definedName name="EntFermEFs">#REF!</definedName>
    <definedName name="EntFermEFs2">#REF!</definedName>
    <definedName name="EPS">#REF!</definedName>
    <definedName name="EPSFraction">#REF!</definedName>
    <definedName name="FCFchoice">#REF!</definedName>
    <definedName name="FertData">#REF!</definedName>
    <definedName name="FertTypes">#REF!</definedName>
    <definedName name="FFFactors">#REF!</definedName>
    <definedName name="FullName">#REF!</definedName>
    <definedName name="GasProj">#REF!</definedName>
    <definedName name="GWP">#REF!</definedName>
    <definedName name="GWPCH4">#REF!</definedName>
    <definedName name="GWPN2O">#REF!</definedName>
    <definedName name="IndustrialPercent">#REF!</definedName>
    <definedName name="kg.MT">#REF!</definedName>
    <definedName name="LiquidEF">#REF!</definedName>
    <definedName name="MCFs">#REF!</definedName>
    <definedName name="MMFactors">#REF!</definedName>
    <definedName name="MT_per_T">#REF!</definedName>
    <definedName name="N20GWP">#REF!</definedName>
    <definedName name="N2OGWP">#REF!</definedName>
    <definedName name="NetOutElecExports">#REF!</definedName>
    <definedName name="NEU">#REF!</definedName>
    <definedName name="NGCH4meth">#REF!</definedName>
    <definedName name="nobedEF">#REF!</definedName>
    <definedName name="open">#REF!</definedName>
    <definedName name="OxidationFactor">#REF!</definedName>
    <definedName name="PopGrid">#REF!</definedName>
    <definedName name="SelectedState">#REF!</definedName>
    <definedName name="Short_metric">#REF!</definedName>
    <definedName name="SolidEF">#REF!</definedName>
    <definedName name="State">#REF!</definedName>
    <definedName name="StateChoice">#REF!</definedName>
    <definedName name="StateList">#REF!</definedName>
    <definedName name="States">#REF!</definedName>
    <definedName name="StatFactors">#REF!</definedName>
    <definedName name="StorageFactors">#REF!</definedName>
    <definedName name="TransData">#REF!</definedName>
    <definedName name="TransProj">#REF!</definedName>
    <definedName name="UFactor">#REF!</definedName>
    <definedName name="Units">#REF!</definedName>
    <definedName name="VersionDate">#REF!</definedName>
    <definedName name="VersionNumber">#REF!</definedName>
    <definedName name="VolPercent">#REF!</definedName>
    <definedName name="VS_BeefReplace">#REF!</definedName>
    <definedName name="VS_BeefReplace2">#REF!</definedName>
    <definedName name="VS_feedlotheifer">#REF!</definedName>
    <definedName name="VS_feedlotheifer2">#REF!</definedName>
    <definedName name="VS_feedlotsteer">#REF!</definedName>
    <definedName name="VS_feedlotsteer2">#REF!</definedName>
    <definedName name="VS_NOFcows">#REF!</definedName>
    <definedName name="VS_NOFcows2">#REF!</definedName>
    <definedName name="VS_NOFheifers">#REF!</definedName>
    <definedName name="VS_NOFheifers2">#REF!</definedName>
    <definedName name="VS_NOFsteers">#REF!</definedName>
    <definedName name="VS_NOFsteers2">#REF!</definedName>
    <definedName name="VT_mi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3" i="1" l="1"/>
  <c r="D110" i="1" s="1"/>
  <c r="D181" i="1"/>
  <c r="D180" i="1"/>
  <c r="D179" i="1"/>
  <c r="D178" i="1"/>
  <c r="D177" i="1"/>
  <c r="D176" i="1"/>
  <c r="D175" i="1"/>
  <c r="D174" i="1"/>
  <c r="D173" i="1"/>
  <c r="D172" i="1"/>
  <c r="D171" i="1"/>
  <c r="D170" i="1" s="1"/>
  <c r="D167" i="1"/>
  <c r="D166" i="1"/>
  <c r="D164" i="1" s="1"/>
  <c r="D165" i="1"/>
  <c r="D163" i="1"/>
  <c r="D162" i="1"/>
  <c r="D160" i="1" s="1"/>
  <c r="D161" i="1"/>
  <c r="D159" i="1"/>
  <c r="D158" i="1"/>
  <c r="D156" i="1" s="1"/>
  <c r="D157" i="1"/>
  <c r="D155" i="1"/>
  <c r="D154" i="1"/>
  <c r="D152" i="1" s="1"/>
  <c r="D153" i="1"/>
  <c r="D150" i="1"/>
  <c r="D147" i="1" s="1"/>
  <c r="D149" i="1"/>
  <c r="D148" i="1"/>
  <c r="D146" i="1"/>
  <c r="D145" i="1"/>
  <c r="D144" i="1"/>
  <c r="D143" i="1"/>
  <c r="D142" i="1"/>
  <c r="D139" i="1" s="1"/>
  <c r="D141" i="1"/>
  <c r="D140" i="1"/>
  <c r="D138" i="1"/>
  <c r="D137" i="1"/>
  <c r="D136" i="1"/>
  <c r="D135" i="1"/>
  <c r="D134" i="1"/>
  <c r="D131" i="1" s="1"/>
  <c r="D133" i="1"/>
  <c r="D132" i="1"/>
  <c r="D129" i="1"/>
  <c r="D128" i="1"/>
  <c r="D127" i="1"/>
  <c r="D126" i="1"/>
  <c r="D125" i="1"/>
  <c r="D124" i="1"/>
  <c r="D123" i="1"/>
  <c r="D122" i="1"/>
  <c r="D121" i="1"/>
  <c r="D120" i="1"/>
  <c r="D119" i="1"/>
  <c r="D118" i="1"/>
  <c r="D117" i="1"/>
  <c r="D116" i="1"/>
  <c r="D115" i="1"/>
  <c r="D114" i="1"/>
  <c r="D112" i="1"/>
  <c r="D111" i="1"/>
  <c r="D109" i="1"/>
  <c r="D108" i="1"/>
  <c r="D107" i="1"/>
  <c r="D106" i="1"/>
  <c r="D105" i="1"/>
  <c r="D104" i="1"/>
  <c r="D103" i="1"/>
  <c r="D102" i="1"/>
  <c r="D101" i="1"/>
  <c r="D100" i="1"/>
  <c r="D99" i="1"/>
  <c r="D98" i="1"/>
  <c r="D97" i="1"/>
  <c r="D96" i="1"/>
  <c r="D95" i="1"/>
  <c r="D94" i="1"/>
  <c r="D92" i="1"/>
  <c r="D91" i="1"/>
  <c r="D90" i="1"/>
  <c r="D89" i="1" s="1"/>
  <c r="D88" i="1"/>
  <c r="D87" i="1"/>
  <c r="D86" i="1"/>
  <c r="D85" i="1" s="1"/>
  <c r="D84" i="1"/>
  <c r="D83" i="1"/>
  <c r="D82" i="1"/>
  <c r="D81" i="1" s="1"/>
  <c r="D79" i="1"/>
  <c r="D78" i="1"/>
  <c r="D76" i="1" s="1"/>
  <c r="D77" i="1"/>
  <c r="D75" i="1"/>
  <c r="D74" i="1"/>
  <c r="D72" i="1" s="1"/>
  <c r="D73" i="1"/>
  <c r="D71" i="1"/>
  <c r="D70" i="1"/>
  <c r="D68" i="1" s="1"/>
  <c r="D69" i="1"/>
  <c r="D67" i="1"/>
  <c r="D66" i="1"/>
  <c r="D64" i="1" s="1"/>
  <c r="D65" i="1"/>
  <c r="D63" i="1"/>
  <c r="D62" i="1"/>
  <c r="D61" i="1"/>
  <c r="D60" i="1" s="1"/>
  <c r="D59" i="1"/>
  <c r="D58" i="1"/>
  <c r="D56" i="1" s="1"/>
  <c r="D57" i="1"/>
  <c r="D55" i="1"/>
  <c r="D54" i="1"/>
  <c r="D53" i="1"/>
  <c r="D52" i="1" s="1"/>
  <c r="D51" i="1"/>
  <c r="D50" i="1"/>
  <c r="D48" i="1" s="1"/>
  <c r="D49" i="1"/>
  <c r="D46" i="1"/>
  <c r="D43" i="1" s="1"/>
  <c r="D45" i="1"/>
  <c r="D44" i="1"/>
  <c r="D42" i="1"/>
  <c r="D41" i="1"/>
  <c r="D40" i="1"/>
  <c r="D39" i="1"/>
  <c r="D38" i="1"/>
  <c r="D35" i="1" s="1"/>
  <c r="D37" i="1"/>
  <c r="D36" i="1"/>
  <c r="D34" i="1"/>
  <c r="D33" i="1"/>
  <c r="D32" i="1"/>
  <c r="D31" i="1"/>
  <c r="D29" i="1"/>
  <c r="D28" i="1"/>
  <c r="D27" i="1"/>
  <c r="D26" i="1"/>
  <c r="D25" i="1" s="1"/>
  <c r="D24" i="1"/>
  <c r="D23" i="1"/>
  <c r="D22" i="1"/>
  <c r="D21" i="1" s="1"/>
  <c r="D20" i="1"/>
  <c r="D19" i="1"/>
  <c r="D18" i="1"/>
  <c r="D17" i="1" s="1"/>
  <c r="D16" i="1"/>
  <c r="D15" i="1"/>
  <c r="D14" i="1"/>
  <c r="D13" i="1" s="1"/>
  <c r="D12" i="1" s="1"/>
  <c r="D11" i="1" s="1"/>
  <c r="D93" i="1" l="1"/>
  <c r="D151" i="1"/>
  <c r="D130" i="1"/>
  <c r="D30" i="1"/>
  <c r="D80" i="1"/>
  <c r="D47" i="1"/>
  <c r="D10" i="1" s="1"/>
  <c r="D168" i="1" l="1"/>
  <c r="D182" i="1" s="1"/>
  <c r="X308" i="24" l="1"/>
  <c r="V308" i="24"/>
  <c r="C184" i="24"/>
  <c r="C183" i="24"/>
  <c r="C182" i="24"/>
  <c r="C181" i="24"/>
  <c r="G21" i="23"/>
  <c r="G22" i="23" s="1"/>
  <c r="F21" i="23"/>
  <c r="G20" i="23"/>
  <c r="F20" i="23"/>
  <c r="F8" i="23"/>
  <c r="G8" i="23" s="1"/>
  <c r="C245" i="22"/>
  <c r="E234" i="22"/>
  <c r="W222" i="22"/>
  <c r="Y222" i="22" s="1"/>
  <c r="I222" i="22"/>
  <c r="W221" i="22"/>
  <c r="Y221" i="22" s="1"/>
  <c r="I221" i="22"/>
  <c r="W220" i="22"/>
  <c r="Y220" i="22" s="1"/>
  <c r="I220" i="22"/>
  <c r="I219" i="22"/>
  <c r="W219" i="22" s="1"/>
  <c r="Y219" i="22" s="1"/>
  <c r="I218" i="22"/>
  <c r="W218" i="22" s="1"/>
  <c r="Y218" i="22" s="1"/>
  <c r="W217" i="22"/>
  <c r="Y217" i="22" s="1"/>
  <c r="W216" i="22"/>
  <c r="Y216" i="22" s="1"/>
  <c r="I216" i="22"/>
  <c r="I215" i="22"/>
  <c r="W215" i="22" s="1"/>
  <c r="Y215" i="22" s="1"/>
  <c r="I214" i="22"/>
  <c r="W214" i="22" s="1"/>
  <c r="I207" i="22"/>
  <c r="W207" i="22" s="1"/>
  <c r="Y207" i="22" s="1"/>
  <c r="I206" i="22"/>
  <c r="W206" i="22" s="1"/>
  <c r="Y206" i="22" s="1"/>
  <c r="W205" i="22"/>
  <c r="Y205" i="22" s="1"/>
  <c r="I205" i="22"/>
  <c r="I204" i="22"/>
  <c r="W204" i="22" s="1"/>
  <c r="Y204" i="22" s="1"/>
  <c r="I203" i="22"/>
  <c r="W203" i="22" s="1"/>
  <c r="Y203" i="22" s="1"/>
  <c r="W202" i="22"/>
  <c r="Y202" i="22" s="1"/>
  <c r="I201" i="22"/>
  <c r="W201" i="22" s="1"/>
  <c r="Y201" i="22" s="1"/>
  <c r="W200" i="22"/>
  <c r="Y200" i="22" s="1"/>
  <c r="I200" i="22"/>
  <c r="I199" i="22"/>
  <c r="W199" i="22" s="1"/>
  <c r="O184" i="22"/>
  <c r="U184" i="22" s="1"/>
  <c r="I184" i="22"/>
  <c r="K184" i="22" s="1"/>
  <c r="U183" i="22"/>
  <c r="O183" i="22"/>
  <c r="K183" i="22"/>
  <c r="I183" i="22"/>
  <c r="O182" i="22"/>
  <c r="U182" i="22" s="1"/>
  <c r="M182" i="22"/>
  <c r="S182" i="22" s="1"/>
  <c r="K182" i="22"/>
  <c r="I182" i="22"/>
  <c r="U181" i="22"/>
  <c r="O181" i="22"/>
  <c r="M181" i="22"/>
  <c r="S181" i="22" s="1"/>
  <c r="I181" i="22"/>
  <c r="K181" i="22" s="1"/>
  <c r="U179" i="22"/>
  <c r="S179" i="22"/>
  <c r="O179" i="22"/>
  <c r="M179" i="22"/>
  <c r="I179" i="22"/>
  <c r="K179" i="22" s="1"/>
  <c r="M178" i="22"/>
  <c r="S178" i="22" s="1"/>
  <c r="K178" i="22"/>
  <c r="I178" i="22"/>
  <c r="S177" i="22"/>
  <c r="M177" i="22"/>
  <c r="I177" i="22"/>
  <c r="K177" i="22" s="1"/>
  <c r="M176" i="22"/>
  <c r="S176" i="22" s="1"/>
  <c r="K176" i="22"/>
  <c r="I176" i="22"/>
  <c r="S175" i="22"/>
  <c r="M175" i="22"/>
  <c r="I175" i="22"/>
  <c r="K175" i="22" s="1"/>
  <c r="S172" i="22"/>
  <c r="O172" i="22"/>
  <c r="U172" i="22" s="1"/>
  <c r="M172" i="22"/>
  <c r="K172" i="22"/>
  <c r="I172" i="22"/>
  <c r="O171" i="22"/>
  <c r="U171" i="22" s="1"/>
  <c r="M171" i="22"/>
  <c r="S171" i="22" s="1"/>
  <c r="K171" i="22"/>
  <c r="I171" i="22"/>
  <c r="U170" i="22"/>
  <c r="O170" i="22"/>
  <c r="M170" i="22"/>
  <c r="S170" i="22" s="1"/>
  <c r="I170" i="22"/>
  <c r="K170" i="22" s="1"/>
  <c r="S169" i="22"/>
  <c r="O169" i="22"/>
  <c r="U169" i="22" s="1"/>
  <c r="M169" i="22"/>
  <c r="I169" i="22"/>
  <c r="K169" i="22" s="1"/>
  <c r="O168" i="22"/>
  <c r="U168" i="22" s="1"/>
  <c r="M168" i="22"/>
  <c r="S168" i="22" s="1"/>
  <c r="K168" i="22"/>
  <c r="I168" i="22"/>
  <c r="O166" i="22"/>
  <c r="U166" i="22" s="1"/>
  <c r="I166" i="22"/>
  <c r="K166" i="22" s="1"/>
  <c r="U165" i="22"/>
  <c r="O165" i="22"/>
  <c r="K165" i="22"/>
  <c r="I165" i="22"/>
  <c r="U164" i="22"/>
  <c r="O164" i="22"/>
  <c r="K164" i="22"/>
  <c r="I164" i="22"/>
  <c r="U163" i="22"/>
  <c r="O163" i="22"/>
  <c r="I163" i="22"/>
  <c r="K163" i="22" s="1"/>
  <c r="O162" i="22"/>
  <c r="U162" i="22" s="1"/>
  <c r="K162" i="22"/>
  <c r="I162" i="22"/>
  <c r="M161" i="22"/>
  <c r="S161" i="22" s="1"/>
  <c r="K161" i="22"/>
  <c r="I161" i="22"/>
  <c r="S160" i="22"/>
  <c r="M160" i="22"/>
  <c r="K160" i="22"/>
  <c r="I160" i="22"/>
  <c r="Q158" i="22"/>
  <c r="Q185" i="22" s="1"/>
  <c r="O158" i="22"/>
  <c r="U158" i="22" s="1"/>
  <c r="M158" i="22"/>
  <c r="S158" i="22" s="1"/>
  <c r="K158" i="22"/>
  <c r="I158" i="22"/>
  <c r="AQ157" i="22"/>
  <c r="S157" i="22"/>
  <c r="Q157" i="22"/>
  <c r="O157" i="22"/>
  <c r="M157" i="22"/>
  <c r="I157" i="22"/>
  <c r="I185" i="22" s="1"/>
  <c r="W161" i="22" s="1"/>
  <c r="W162" i="22" s="1"/>
  <c r="O191" i="22" s="1"/>
  <c r="C140" i="22"/>
  <c r="E132" i="22"/>
  <c r="E131" i="22"/>
  <c r="E130" i="22"/>
  <c r="E129" i="22"/>
  <c r="E128" i="22"/>
  <c r="E127" i="22"/>
  <c r="E126" i="22"/>
  <c r="E125" i="22" s="1"/>
  <c r="E133" i="22" s="1"/>
  <c r="C124" i="22"/>
  <c r="E124" i="22" s="1"/>
  <c r="W116" i="22"/>
  <c r="K116" i="22"/>
  <c r="K115" i="22"/>
  <c r="W115" i="22" s="1"/>
  <c r="W114" i="22"/>
  <c r="K114" i="22"/>
  <c r="W113" i="22"/>
  <c r="K113" i="22"/>
  <c r="W112" i="22"/>
  <c r="K112" i="22"/>
  <c r="S111" i="22"/>
  <c r="K111" i="22"/>
  <c r="W111" i="22" s="1"/>
  <c r="W110" i="22"/>
  <c r="S110" i="22"/>
  <c r="K110" i="22"/>
  <c r="W109" i="22"/>
  <c r="S109" i="22"/>
  <c r="K109" i="22"/>
  <c r="W108" i="22"/>
  <c r="K108" i="22"/>
  <c r="S108" i="22" s="1"/>
  <c r="W107" i="22"/>
  <c r="K107" i="22"/>
  <c r="S107" i="22" s="1"/>
  <c r="K106" i="22"/>
  <c r="K105" i="22"/>
  <c r="K104" i="22"/>
  <c r="S104" i="22" s="1"/>
  <c r="S103" i="22"/>
  <c r="K103" i="22"/>
  <c r="S102" i="22"/>
  <c r="K102" i="22"/>
  <c r="S101" i="22"/>
  <c r="K101" i="22"/>
  <c r="K100" i="22"/>
  <c r="S100" i="22" s="1"/>
  <c r="S99" i="22"/>
  <c r="K99" i="22"/>
  <c r="K98" i="22"/>
  <c r="S98" i="22" s="1"/>
  <c r="S97" i="22"/>
  <c r="K97" i="22"/>
  <c r="K96" i="22"/>
  <c r="I60" i="22"/>
  <c r="O60" i="22" s="1"/>
  <c r="Q60" i="22" s="1"/>
  <c r="S60" i="22" s="1"/>
  <c r="I59" i="22"/>
  <c r="O59" i="22" s="1"/>
  <c r="Q59" i="22" s="1"/>
  <c r="S59" i="22" s="1"/>
  <c r="S58" i="22"/>
  <c r="I58" i="22"/>
  <c r="O58" i="22" s="1"/>
  <c r="Q58" i="22" s="1"/>
  <c r="I57" i="22"/>
  <c r="O57" i="22" s="1"/>
  <c r="Q57" i="22" s="1"/>
  <c r="S57" i="22" s="1"/>
  <c r="I55" i="22"/>
  <c r="O55" i="22" s="1"/>
  <c r="Q55" i="22" s="1"/>
  <c r="S55" i="22" s="1"/>
  <c r="I54" i="22"/>
  <c r="O54" i="22" s="1"/>
  <c r="Q54" i="22" s="1"/>
  <c r="S54" i="22" s="1"/>
  <c r="I53" i="22"/>
  <c r="O53" i="22" s="1"/>
  <c r="Q53" i="22" s="1"/>
  <c r="S53" i="22" s="1"/>
  <c r="I52" i="22"/>
  <c r="O52" i="22" s="1"/>
  <c r="Q52" i="22" s="1"/>
  <c r="S52" i="22" s="1"/>
  <c r="I51" i="22"/>
  <c r="O51" i="22" s="1"/>
  <c r="Q51" i="22" s="1"/>
  <c r="S51" i="22" s="1"/>
  <c r="I48" i="22"/>
  <c r="O48" i="22" s="1"/>
  <c r="Q48" i="22" s="1"/>
  <c r="S48" i="22" s="1"/>
  <c r="I47" i="22"/>
  <c r="O47" i="22" s="1"/>
  <c r="Q47" i="22" s="1"/>
  <c r="S47" i="22" s="1"/>
  <c r="I46" i="22"/>
  <c r="O46" i="22" s="1"/>
  <c r="Q46" i="22" s="1"/>
  <c r="S46" i="22" s="1"/>
  <c r="I45" i="22"/>
  <c r="O45" i="22" s="1"/>
  <c r="Q45" i="22" s="1"/>
  <c r="S45" i="22" s="1"/>
  <c r="I44" i="22"/>
  <c r="O44" i="22" s="1"/>
  <c r="Q44" i="22" s="1"/>
  <c r="S44" i="22" s="1"/>
  <c r="I42" i="22"/>
  <c r="O42" i="22" s="1"/>
  <c r="Q42" i="22" s="1"/>
  <c r="S42" i="22" s="1"/>
  <c r="I41" i="22"/>
  <c r="O41" i="22" s="1"/>
  <c r="Q41" i="22" s="1"/>
  <c r="S41" i="22" s="1"/>
  <c r="I40" i="22"/>
  <c r="O40" i="22" s="1"/>
  <c r="Q40" i="22" s="1"/>
  <c r="S40" i="22" s="1"/>
  <c r="I39" i="22"/>
  <c r="O39" i="22" s="1"/>
  <c r="Q39" i="22" s="1"/>
  <c r="S39" i="22" s="1"/>
  <c r="I38" i="22"/>
  <c r="O38" i="22" s="1"/>
  <c r="Q38" i="22" s="1"/>
  <c r="S38" i="22" s="1"/>
  <c r="I37" i="22"/>
  <c r="O37" i="22" s="1"/>
  <c r="Q37" i="22" s="1"/>
  <c r="S37" i="22" s="1"/>
  <c r="I36" i="22"/>
  <c r="O36" i="22" s="1"/>
  <c r="Q36" i="22" s="1"/>
  <c r="S36" i="22" s="1"/>
  <c r="I35" i="22"/>
  <c r="O35" i="22" s="1"/>
  <c r="Q35" i="22" s="1"/>
  <c r="S35" i="22" s="1"/>
  <c r="I33" i="22"/>
  <c r="O33" i="22" s="1"/>
  <c r="Q33" i="22" s="1"/>
  <c r="S33" i="22" s="1"/>
  <c r="Q32" i="22"/>
  <c r="I32" i="22"/>
  <c r="O32" i="22" s="1"/>
  <c r="G24" i="22"/>
  <c r="I24" i="22" s="1"/>
  <c r="G23" i="22"/>
  <c r="I23" i="22" s="1"/>
  <c r="I22" i="22"/>
  <c r="G22" i="22"/>
  <c r="G21" i="22"/>
  <c r="I21" i="22" s="1"/>
  <c r="G19" i="22"/>
  <c r="I19" i="22" s="1"/>
  <c r="G18" i="22"/>
  <c r="I18" i="22" s="1"/>
  <c r="I17" i="22"/>
  <c r="G17" i="22"/>
  <c r="G16" i="22"/>
  <c r="I16" i="22" s="1"/>
  <c r="G15" i="22"/>
  <c r="I15" i="22" s="1"/>
  <c r="G14" i="22"/>
  <c r="I14" i="22" s="1"/>
  <c r="I13" i="22"/>
  <c r="G13" i="22"/>
  <c r="G12" i="22"/>
  <c r="I12" i="22" s="1"/>
  <c r="G11" i="22"/>
  <c r="I11" i="22" s="1"/>
  <c r="Z9" i="22"/>
  <c r="G9" i="22"/>
  <c r="I9" i="22" s="1"/>
  <c r="Z8" i="22"/>
  <c r="Q69" i="22" s="1"/>
  <c r="S69" i="22" s="1"/>
  <c r="U69" i="22" s="1"/>
  <c r="I8" i="22"/>
  <c r="G8" i="22"/>
  <c r="Z7" i="22"/>
  <c r="E242" i="22" s="1"/>
  <c r="I7" i="22"/>
  <c r="G7" i="22"/>
  <c r="Z6" i="22"/>
  <c r="G6" i="22"/>
  <c r="W22" i="21"/>
  <c r="S22" i="21"/>
  <c r="O22" i="21"/>
  <c r="AE16" i="21"/>
  <c r="AC16" i="21"/>
  <c r="W16" i="21"/>
  <c r="M16" i="21"/>
  <c r="Q16" i="21" s="1"/>
  <c r="Y16" i="21" s="1"/>
  <c r="Q10" i="21"/>
  <c r="O10" i="21"/>
  <c r="K10" i="21"/>
  <c r="AD8" i="21"/>
  <c r="AD7" i="21"/>
  <c r="AA16" i="21" s="1"/>
  <c r="AG16" i="21" s="1"/>
  <c r="AD6" i="21"/>
  <c r="Q5" i="21" s="1"/>
  <c r="AD5" i="21"/>
  <c r="U5" i="21"/>
  <c r="O5" i="21"/>
  <c r="C63" i="20"/>
  <c r="C56" i="20"/>
  <c r="C53" i="20"/>
  <c r="J29" i="20"/>
  <c r="H29" i="20"/>
  <c r="J28" i="20"/>
  <c r="C62" i="20" s="1"/>
  <c r="H28" i="20"/>
  <c r="C55" i="20" s="1"/>
  <c r="J27" i="20"/>
  <c r="C61" i="20" s="1"/>
  <c r="H27" i="20"/>
  <c r="C54" i="20" s="1"/>
  <c r="R17" i="20"/>
  <c r="R16" i="20"/>
  <c r="R15" i="20"/>
  <c r="L29" i="20" s="1"/>
  <c r="C39" i="20" s="1"/>
  <c r="J15" i="20"/>
  <c r="H15" i="20"/>
  <c r="H17" i="20" s="1"/>
  <c r="R14" i="20"/>
  <c r="J13" i="20"/>
  <c r="H13" i="20"/>
  <c r="H9" i="20"/>
  <c r="J9" i="20" s="1"/>
  <c r="L6" i="20"/>
  <c r="J6" i="20"/>
  <c r="C72" i="19"/>
  <c r="H70" i="19"/>
  <c r="C50" i="19"/>
  <c r="E50" i="19" s="1"/>
  <c r="E49" i="19"/>
  <c r="C49" i="19"/>
  <c r="E48" i="19"/>
  <c r="E33" i="19"/>
  <c r="E32" i="19"/>
  <c r="E31" i="19"/>
  <c r="I28" i="19"/>
  <c r="E28" i="19"/>
  <c r="I27" i="19"/>
  <c r="I70" i="19" s="1"/>
  <c r="E27" i="19"/>
  <c r="I26" i="19"/>
  <c r="F28" i="19" s="1"/>
  <c r="E26" i="19"/>
  <c r="I25" i="19"/>
  <c r="E25" i="19"/>
  <c r="E8" i="19"/>
  <c r="C46" i="17"/>
  <c r="C45" i="17"/>
  <c r="C44" i="17"/>
  <c r="C43" i="17"/>
  <c r="U35" i="17"/>
  <c r="M35" i="17"/>
  <c r="F35" i="17"/>
  <c r="L33" i="17"/>
  <c r="K32" i="17"/>
  <c r="K33" i="17" s="1"/>
  <c r="E32" i="17"/>
  <c r="E33" i="17" s="1"/>
  <c r="U29" i="17"/>
  <c r="M29" i="17"/>
  <c r="F29" i="17"/>
  <c r="L26" i="17"/>
  <c r="D26" i="17"/>
  <c r="D27" i="17" s="1"/>
  <c r="AC23" i="17"/>
  <c r="U23" i="17"/>
  <c r="M23" i="17"/>
  <c r="E23" i="17"/>
  <c r="D23" i="17"/>
  <c r="C23" i="17"/>
  <c r="F23" i="17" s="1"/>
  <c r="Y21" i="17"/>
  <c r="T21" i="17"/>
  <c r="S21" i="17"/>
  <c r="R21" i="17"/>
  <c r="Q21" i="17"/>
  <c r="L21" i="17"/>
  <c r="K21" i="17"/>
  <c r="J21" i="17"/>
  <c r="S17" i="17"/>
  <c r="S19" i="17" s="1"/>
  <c r="E17" i="17"/>
  <c r="E19" i="17" s="1"/>
  <c r="C17" i="17"/>
  <c r="C19" i="17" s="1"/>
  <c r="Y13" i="17"/>
  <c r="Q13" i="17"/>
  <c r="L13" i="17"/>
  <c r="L32" i="17" s="1"/>
  <c r="K13" i="17"/>
  <c r="J13" i="17"/>
  <c r="J26" i="17" s="1"/>
  <c r="E13" i="17"/>
  <c r="E26" i="17" s="1"/>
  <c r="E27" i="17" s="1"/>
  <c r="D13" i="17"/>
  <c r="D32" i="17" s="1"/>
  <c r="D33" i="17" s="1"/>
  <c r="C13" i="17"/>
  <c r="C32" i="17" s="1"/>
  <c r="C33" i="17" s="1"/>
  <c r="F33" i="17" s="1"/>
  <c r="U9" i="17"/>
  <c r="T9" i="17"/>
  <c r="T13" i="17" s="1"/>
  <c r="S9" i="17"/>
  <c r="S13" i="17" s="1"/>
  <c r="R9" i="17"/>
  <c r="R13" i="17" s="1"/>
  <c r="Q9" i="17"/>
  <c r="M9" i="17"/>
  <c r="F9" i="17"/>
  <c r="D90" i="16"/>
  <c r="D89" i="16"/>
  <c r="D88" i="16"/>
  <c r="U91" i="16" s="1"/>
  <c r="D87" i="16"/>
  <c r="T78" i="16"/>
  <c r="R78" i="16"/>
  <c r="U78" i="16" s="1"/>
  <c r="Q78" i="16"/>
  <c r="O78" i="16"/>
  <c r="P78" i="16" s="1"/>
  <c r="M78" i="16"/>
  <c r="K78" i="16"/>
  <c r="J78" i="16"/>
  <c r="R77" i="16"/>
  <c r="T77" i="16" s="1"/>
  <c r="K77" i="16"/>
  <c r="G77" i="16"/>
  <c r="E77" i="16"/>
  <c r="U75" i="16"/>
  <c r="R75" i="16"/>
  <c r="T75" i="16" s="1"/>
  <c r="M75" i="16"/>
  <c r="G75" i="16"/>
  <c r="E75" i="16"/>
  <c r="K73" i="16"/>
  <c r="R73" i="16" s="1"/>
  <c r="J73" i="16"/>
  <c r="G73" i="16"/>
  <c r="E73" i="16"/>
  <c r="R72" i="16"/>
  <c r="G72" i="16"/>
  <c r="E72" i="16"/>
  <c r="R71" i="16"/>
  <c r="T71" i="16" s="1"/>
  <c r="U71" i="16" s="1"/>
  <c r="V71" i="16" s="1"/>
  <c r="G71" i="16"/>
  <c r="T69" i="16"/>
  <c r="R69" i="16"/>
  <c r="U69" i="16" s="1"/>
  <c r="V69" i="16" s="1"/>
  <c r="W69" i="16" s="1"/>
  <c r="G69" i="16"/>
  <c r="E69" i="16"/>
  <c r="E68" i="16"/>
  <c r="T67" i="16"/>
  <c r="R67" i="16"/>
  <c r="G67" i="16"/>
  <c r="V66" i="16"/>
  <c r="T66" i="16"/>
  <c r="R66" i="16"/>
  <c r="U66" i="16" s="1"/>
  <c r="G66" i="16"/>
  <c r="T64" i="16"/>
  <c r="R64" i="16"/>
  <c r="U64" i="16" s="1"/>
  <c r="V64" i="16" s="1"/>
  <c r="W64" i="16" s="1"/>
  <c r="G64" i="16"/>
  <c r="E64" i="16"/>
  <c r="R63" i="16"/>
  <c r="M63" i="16"/>
  <c r="G63" i="16"/>
  <c r="E63" i="16"/>
  <c r="T62" i="16"/>
  <c r="R62" i="16"/>
  <c r="U62" i="16" s="1"/>
  <c r="Q62" i="16"/>
  <c r="V62" i="16" s="1"/>
  <c r="M62" i="16"/>
  <c r="O62" i="16" s="1"/>
  <c r="P62" i="16" s="1"/>
  <c r="G62" i="16"/>
  <c r="E62" i="16"/>
  <c r="U61" i="16"/>
  <c r="R61" i="16"/>
  <c r="T61" i="16" s="1"/>
  <c r="M61" i="16"/>
  <c r="G61" i="16"/>
  <c r="E61" i="16"/>
  <c r="Q58" i="16"/>
  <c r="O58" i="16"/>
  <c r="P58" i="16" s="1"/>
  <c r="K58" i="16"/>
  <c r="M58" i="16" s="1"/>
  <c r="J58" i="16"/>
  <c r="D58" i="16"/>
  <c r="K57" i="16"/>
  <c r="J57" i="16"/>
  <c r="D57" i="16"/>
  <c r="T55" i="16"/>
  <c r="U55" i="16" s="1"/>
  <c r="V55" i="16" s="1"/>
  <c r="R55" i="16"/>
  <c r="G55" i="16"/>
  <c r="E55" i="16"/>
  <c r="R53" i="16"/>
  <c r="M53" i="16"/>
  <c r="G53" i="16"/>
  <c r="E53" i="16"/>
  <c r="K51" i="16"/>
  <c r="R51" i="16" s="1"/>
  <c r="J51" i="16"/>
  <c r="G51" i="16"/>
  <c r="E51" i="16"/>
  <c r="R49" i="16"/>
  <c r="T49" i="16" s="1"/>
  <c r="G49" i="16"/>
  <c r="E49" i="16"/>
  <c r="T48" i="16"/>
  <c r="R48" i="16"/>
  <c r="G48" i="16"/>
  <c r="E48" i="16"/>
  <c r="U46" i="16"/>
  <c r="V46" i="16" s="1"/>
  <c r="R46" i="16"/>
  <c r="T46" i="16" s="1"/>
  <c r="K46" i="16"/>
  <c r="J46" i="16"/>
  <c r="J80" i="16" s="1"/>
  <c r="U106" i="16" s="1"/>
  <c r="U108" i="16" s="1"/>
  <c r="G46" i="16"/>
  <c r="E46" i="16"/>
  <c r="K45" i="16"/>
  <c r="J45" i="16"/>
  <c r="G45" i="16"/>
  <c r="E45" i="16"/>
  <c r="R44" i="16"/>
  <c r="G44" i="16"/>
  <c r="E44" i="16"/>
  <c r="K42" i="16"/>
  <c r="R42" i="16" s="1"/>
  <c r="E42" i="16"/>
  <c r="R41" i="16"/>
  <c r="T41" i="16" s="1"/>
  <c r="U41" i="16" s="1"/>
  <c r="V41" i="16" s="1"/>
  <c r="W41" i="16" s="1"/>
  <c r="G41" i="16"/>
  <c r="E41" i="16"/>
  <c r="T39" i="16"/>
  <c r="R39" i="16"/>
  <c r="U39" i="16" s="1"/>
  <c r="V39" i="16" s="1"/>
  <c r="W39" i="16" s="1"/>
  <c r="G39" i="16"/>
  <c r="E39" i="16"/>
  <c r="R38" i="16"/>
  <c r="T38" i="16" s="1"/>
  <c r="K38" i="16"/>
  <c r="J38" i="16"/>
  <c r="G38" i="16"/>
  <c r="E38" i="16"/>
  <c r="T36" i="16"/>
  <c r="R36" i="16"/>
  <c r="O36" i="16"/>
  <c r="P36" i="16" s="1"/>
  <c r="M36" i="16"/>
  <c r="Q36" i="16" s="1"/>
  <c r="E36" i="16"/>
  <c r="K33" i="16"/>
  <c r="J33" i="16"/>
  <c r="D33" i="16"/>
  <c r="T31" i="16"/>
  <c r="R31" i="16"/>
  <c r="U31" i="16" s="1"/>
  <c r="V31" i="16" s="1"/>
  <c r="W31" i="16" s="1"/>
  <c r="Q31" i="16"/>
  <c r="M31" i="16"/>
  <c r="O31" i="16" s="1"/>
  <c r="P31" i="16" s="1"/>
  <c r="G31" i="16"/>
  <c r="E31" i="16"/>
  <c r="R30" i="16"/>
  <c r="T30" i="16" s="1"/>
  <c r="U30" i="16" s="1"/>
  <c r="V30" i="16" s="1"/>
  <c r="G30" i="16"/>
  <c r="E30" i="16"/>
  <c r="T28" i="16"/>
  <c r="R28" i="16"/>
  <c r="G28" i="16"/>
  <c r="E28" i="16"/>
  <c r="U27" i="16"/>
  <c r="V27" i="16" s="1"/>
  <c r="R27" i="16"/>
  <c r="T27" i="16" s="1"/>
  <c r="G27" i="16"/>
  <c r="E27" i="16"/>
  <c r="K24" i="16"/>
  <c r="K23" i="16"/>
  <c r="J23" i="16"/>
  <c r="G23" i="16"/>
  <c r="E23" i="16"/>
  <c r="R21" i="16"/>
  <c r="T21" i="16" s="1"/>
  <c r="G21" i="16"/>
  <c r="E21" i="16"/>
  <c r="T19" i="16"/>
  <c r="K19" i="16"/>
  <c r="R19" i="16" s="1"/>
  <c r="J19" i="16"/>
  <c r="R18" i="16"/>
  <c r="M18" i="16"/>
  <c r="K18" i="16"/>
  <c r="J18" i="16"/>
  <c r="T17" i="16"/>
  <c r="U17" i="16" s="1"/>
  <c r="V17" i="16" s="1"/>
  <c r="W17" i="16" s="1"/>
  <c r="R17" i="16"/>
  <c r="G17" i="16"/>
  <c r="E17" i="16"/>
  <c r="U16" i="16"/>
  <c r="R16" i="16"/>
  <c r="T16" i="16" s="1"/>
  <c r="P16" i="16"/>
  <c r="M16" i="16"/>
  <c r="O16" i="16" s="1"/>
  <c r="G16" i="16"/>
  <c r="E16" i="16"/>
  <c r="T15" i="16"/>
  <c r="K15" i="16"/>
  <c r="R15" i="16" s="1"/>
  <c r="J15" i="16"/>
  <c r="G15" i="16"/>
  <c r="E15" i="16"/>
  <c r="R14" i="16"/>
  <c r="T14" i="16" s="1"/>
  <c r="U14" i="16" s="1"/>
  <c r="V14" i="16" s="1"/>
  <c r="G14" i="16"/>
  <c r="E14" i="16"/>
  <c r="T12" i="16"/>
  <c r="R12" i="16"/>
  <c r="G12" i="16"/>
  <c r="E12" i="16"/>
  <c r="U11" i="16"/>
  <c r="R11" i="16"/>
  <c r="T11" i="16" s="1"/>
  <c r="M11" i="16"/>
  <c r="G11" i="16"/>
  <c r="E11" i="16"/>
  <c r="F20" i="15"/>
  <c r="F18" i="15"/>
  <c r="G16" i="15"/>
  <c r="G14" i="15"/>
  <c r="K12" i="15"/>
  <c r="F12" i="15"/>
  <c r="F19" i="15" s="1"/>
  <c r="K11" i="15"/>
  <c r="F11" i="15"/>
  <c r="K10" i="15"/>
  <c r="G10" i="15"/>
  <c r="G20" i="15" s="1"/>
  <c r="K9" i="15"/>
  <c r="G9" i="15"/>
  <c r="G19" i="15" s="1"/>
  <c r="G8" i="15"/>
  <c r="I8" i="14"/>
  <c r="J8" i="14" s="1"/>
  <c r="I7" i="14"/>
  <c r="G7" i="14"/>
  <c r="I72" i="13"/>
  <c r="H72" i="13"/>
  <c r="G72" i="13"/>
  <c r="I70" i="13"/>
  <c r="H70" i="13"/>
  <c r="G68" i="13"/>
  <c r="I66" i="13"/>
  <c r="H66" i="13"/>
  <c r="G66" i="13"/>
  <c r="H57" i="13"/>
  <c r="I50" i="13"/>
  <c r="I57" i="13" s="1"/>
  <c r="H50" i="13"/>
  <c r="H68" i="13" s="1"/>
  <c r="G50" i="13"/>
  <c r="G57" i="13" s="1"/>
  <c r="G59" i="13" s="1"/>
  <c r="G70" i="13" s="1"/>
  <c r="G33" i="13"/>
  <c r="I31" i="13"/>
  <c r="H26" i="13"/>
  <c r="H37" i="13" s="1"/>
  <c r="G26" i="13"/>
  <c r="G37" i="13" s="1"/>
  <c r="H19" i="13"/>
  <c r="H33" i="13" s="1"/>
  <c r="I17" i="13"/>
  <c r="I19" i="13" s="1"/>
  <c r="I26" i="13" s="1"/>
  <c r="I37" i="13" s="1"/>
  <c r="H17" i="13"/>
  <c r="H31" i="13" s="1"/>
  <c r="G11" i="13"/>
  <c r="G17" i="13" s="1"/>
  <c r="C127" i="12"/>
  <c r="E126" i="12"/>
  <c r="D126" i="12"/>
  <c r="C126" i="12"/>
  <c r="D125" i="12"/>
  <c r="C125" i="12"/>
  <c r="G124" i="12"/>
  <c r="D124" i="12"/>
  <c r="C124" i="12"/>
  <c r="D123" i="12"/>
  <c r="C123" i="12"/>
  <c r="D122" i="12"/>
  <c r="C122" i="12"/>
  <c r="D121" i="12"/>
  <c r="C121" i="12"/>
  <c r="D120" i="12"/>
  <c r="C120" i="12"/>
  <c r="D119" i="12"/>
  <c r="C119" i="12"/>
  <c r="D118" i="12"/>
  <c r="C118" i="12"/>
  <c r="D117" i="12"/>
  <c r="C117" i="12"/>
  <c r="D116" i="12"/>
  <c r="C116" i="12"/>
  <c r="E115" i="12"/>
  <c r="D115" i="12"/>
  <c r="C115" i="12"/>
  <c r="D114" i="12"/>
  <c r="C114" i="12"/>
  <c r="D113" i="12"/>
  <c r="C113" i="12"/>
  <c r="D112" i="12"/>
  <c r="C112" i="12"/>
  <c r="D111" i="12"/>
  <c r="C111" i="12"/>
  <c r="D110" i="12"/>
  <c r="C110" i="12"/>
  <c r="D109" i="12"/>
  <c r="C109" i="12"/>
  <c r="D108" i="12"/>
  <c r="C108" i="12"/>
  <c r="E107" i="12"/>
  <c r="D107" i="12"/>
  <c r="C107" i="12"/>
  <c r="E106" i="12"/>
  <c r="D106" i="12"/>
  <c r="C106" i="12"/>
  <c r="D105" i="12"/>
  <c r="C105" i="12"/>
  <c r="E104" i="12"/>
  <c r="D104" i="12"/>
  <c r="C104" i="12"/>
  <c r="F95" i="12"/>
  <c r="F94" i="12"/>
  <c r="H93" i="12"/>
  <c r="F124" i="12" s="1"/>
  <c r="F93" i="12"/>
  <c r="F92" i="12"/>
  <c r="H91" i="12"/>
  <c r="F122" i="12" s="1"/>
  <c r="F91" i="12"/>
  <c r="F90" i="12"/>
  <c r="F89" i="12"/>
  <c r="F88" i="12"/>
  <c r="F87" i="12"/>
  <c r="F86" i="12"/>
  <c r="F85" i="12"/>
  <c r="F84" i="12"/>
  <c r="H83" i="12"/>
  <c r="F114" i="12" s="1"/>
  <c r="F83" i="12"/>
  <c r="F82" i="12"/>
  <c r="F81" i="12"/>
  <c r="F80" i="12"/>
  <c r="F79" i="12"/>
  <c r="F78" i="12"/>
  <c r="F77" i="12"/>
  <c r="F76" i="12"/>
  <c r="H75" i="12"/>
  <c r="F106" i="12" s="1"/>
  <c r="F75" i="12"/>
  <c r="F74" i="12"/>
  <c r="F73" i="12"/>
  <c r="F64" i="12"/>
  <c r="F63" i="12"/>
  <c r="H62" i="12"/>
  <c r="F62" i="12"/>
  <c r="F61" i="12"/>
  <c r="H60" i="12"/>
  <c r="G122" i="12" s="1"/>
  <c r="F60" i="12"/>
  <c r="F59" i="12"/>
  <c r="F58" i="12"/>
  <c r="F57" i="12"/>
  <c r="F56" i="12"/>
  <c r="F55" i="12"/>
  <c r="F54" i="12"/>
  <c r="F53" i="12"/>
  <c r="H52" i="12"/>
  <c r="G114" i="12" s="1"/>
  <c r="F52" i="12"/>
  <c r="F51" i="12"/>
  <c r="F50" i="12"/>
  <c r="F49" i="12"/>
  <c r="F48" i="12"/>
  <c r="F47" i="12"/>
  <c r="F46" i="12"/>
  <c r="F45" i="12"/>
  <c r="H44" i="12"/>
  <c r="G106" i="12" s="1"/>
  <c r="H106" i="12" s="1"/>
  <c r="F44" i="12"/>
  <c r="F43" i="12"/>
  <c r="F42" i="12"/>
  <c r="I33" i="12"/>
  <c r="J33" i="12" s="1"/>
  <c r="E125" i="12" s="1"/>
  <c r="F33" i="12"/>
  <c r="F32" i="12"/>
  <c r="I32" i="12" s="1"/>
  <c r="J32" i="12" s="1"/>
  <c r="E124" i="12" s="1"/>
  <c r="H124" i="12" s="1"/>
  <c r="J31" i="12"/>
  <c r="E123" i="12" s="1"/>
  <c r="F31" i="12"/>
  <c r="I31" i="12" s="1"/>
  <c r="F30" i="12"/>
  <c r="I30" i="12" s="1"/>
  <c r="J30" i="12" s="1"/>
  <c r="E122" i="12" s="1"/>
  <c r="H122" i="12" s="1"/>
  <c r="F29" i="12"/>
  <c r="I29" i="12" s="1"/>
  <c r="J29" i="12" s="1"/>
  <c r="E121" i="12" s="1"/>
  <c r="F28" i="12"/>
  <c r="I28" i="12" s="1"/>
  <c r="J28" i="12" s="1"/>
  <c r="E120" i="12" s="1"/>
  <c r="F27" i="12"/>
  <c r="I27" i="12" s="1"/>
  <c r="J27" i="12" s="1"/>
  <c r="E119" i="12" s="1"/>
  <c r="J26" i="12"/>
  <c r="E118" i="12" s="1"/>
  <c r="I26" i="12"/>
  <c r="F26" i="12"/>
  <c r="I25" i="12"/>
  <c r="J25" i="12" s="1"/>
  <c r="E117" i="12" s="1"/>
  <c r="F25" i="12"/>
  <c r="F24" i="12"/>
  <c r="I24" i="12" s="1"/>
  <c r="J24" i="12" s="1"/>
  <c r="E116" i="12" s="1"/>
  <c r="J23" i="12"/>
  <c r="I23" i="12"/>
  <c r="F23" i="12"/>
  <c r="F22" i="12"/>
  <c r="I22" i="12" s="1"/>
  <c r="J22" i="12" s="1"/>
  <c r="E114" i="12" s="1"/>
  <c r="H114" i="12" s="1"/>
  <c r="I21" i="12"/>
  <c r="J21" i="12" s="1"/>
  <c r="E113" i="12" s="1"/>
  <c r="F21" i="12"/>
  <c r="F20" i="12"/>
  <c r="I20" i="12" s="1"/>
  <c r="J20" i="12" s="1"/>
  <c r="E112" i="12" s="1"/>
  <c r="F19" i="12"/>
  <c r="I19" i="12" s="1"/>
  <c r="J19" i="12" s="1"/>
  <c r="E111" i="12" s="1"/>
  <c r="I18" i="12"/>
  <c r="J18" i="12" s="1"/>
  <c r="E110" i="12" s="1"/>
  <c r="F18" i="12"/>
  <c r="I17" i="12"/>
  <c r="J17" i="12" s="1"/>
  <c r="E109" i="12" s="1"/>
  <c r="F17" i="12"/>
  <c r="F16" i="12"/>
  <c r="I16" i="12" s="1"/>
  <c r="J16" i="12" s="1"/>
  <c r="E108" i="12" s="1"/>
  <c r="F15" i="12"/>
  <c r="I15" i="12" s="1"/>
  <c r="J15" i="12" s="1"/>
  <c r="M14" i="12"/>
  <c r="F14" i="12"/>
  <c r="I14" i="12" s="1"/>
  <c r="M13" i="12"/>
  <c r="G55" i="12" s="1"/>
  <c r="H55" i="12" s="1"/>
  <c r="G117" i="12" s="1"/>
  <c r="J13" i="12"/>
  <c r="I13" i="12"/>
  <c r="F13" i="12"/>
  <c r="M12" i="12"/>
  <c r="G95" i="12" s="1"/>
  <c r="F12" i="12"/>
  <c r="I12" i="12" s="1"/>
  <c r="M11" i="12"/>
  <c r="E44" i="11"/>
  <c r="E43" i="11"/>
  <c r="E42" i="11"/>
  <c r="E41" i="11"/>
  <c r="E40" i="11"/>
  <c r="E39" i="11"/>
  <c r="E38" i="11"/>
  <c r="E37" i="11"/>
  <c r="E29" i="11"/>
  <c r="E28" i="11"/>
  <c r="E27" i="11"/>
  <c r="E26" i="11"/>
  <c r="E25" i="11"/>
  <c r="E24" i="11"/>
  <c r="E23" i="11"/>
  <c r="E22" i="11"/>
  <c r="F14" i="11"/>
  <c r="G14" i="11" s="1"/>
  <c r="D60" i="11" s="1"/>
  <c r="F13" i="11"/>
  <c r="G13" i="11" s="1"/>
  <c r="D59" i="11" s="1"/>
  <c r="F12" i="11"/>
  <c r="G12" i="11" s="1"/>
  <c r="D58" i="11" s="1"/>
  <c r="G11" i="11"/>
  <c r="D57" i="11" s="1"/>
  <c r="F11" i="11"/>
  <c r="J10" i="11"/>
  <c r="F10" i="11"/>
  <c r="G10" i="11" s="1"/>
  <c r="D56" i="11" s="1"/>
  <c r="J9" i="11"/>
  <c r="F24" i="11" s="1"/>
  <c r="G24" i="11" s="1"/>
  <c r="F56" i="11" s="1"/>
  <c r="G9" i="11"/>
  <c r="D55" i="11" s="1"/>
  <c r="F9" i="11"/>
  <c r="J8" i="11"/>
  <c r="F44" i="11" s="1"/>
  <c r="G44" i="11" s="1"/>
  <c r="E61" i="11" s="1"/>
  <c r="F8" i="11"/>
  <c r="G8" i="11" s="1"/>
  <c r="J7" i="11"/>
  <c r="E36" i="10"/>
  <c r="E35" i="10"/>
  <c r="E34" i="10"/>
  <c r="E33" i="10"/>
  <c r="E32" i="10"/>
  <c r="E31" i="10"/>
  <c r="E23" i="10"/>
  <c r="E22" i="10"/>
  <c r="E21" i="10"/>
  <c r="E20" i="10"/>
  <c r="E19" i="10"/>
  <c r="E18" i="10"/>
  <c r="F11" i="10"/>
  <c r="G11" i="10" s="1"/>
  <c r="C50" i="10" s="1"/>
  <c r="J10" i="10"/>
  <c r="G10" i="10"/>
  <c r="C49" i="10" s="1"/>
  <c r="F10" i="10"/>
  <c r="J9" i="10"/>
  <c r="F18" i="10" s="1"/>
  <c r="G18" i="10" s="1"/>
  <c r="D46" i="10" s="1"/>
  <c r="G9" i="10"/>
  <c r="C48" i="10" s="1"/>
  <c r="F9" i="10"/>
  <c r="J8" i="10"/>
  <c r="F35" i="10" s="1"/>
  <c r="F8" i="10"/>
  <c r="G8" i="10" s="1"/>
  <c r="G12" i="10" s="1"/>
  <c r="J7" i="10"/>
  <c r="G7" i="10"/>
  <c r="C46" i="10" s="1"/>
  <c r="F7" i="10"/>
  <c r="AA107" i="9"/>
  <c r="T107" i="9"/>
  <c r="E107" i="9"/>
  <c r="K107" i="9" s="1"/>
  <c r="M107" i="9" s="1"/>
  <c r="O107" i="9" s="1"/>
  <c r="AA106" i="9"/>
  <c r="T106" i="9"/>
  <c r="E106" i="9"/>
  <c r="K106" i="9" s="1"/>
  <c r="M106" i="9" s="1"/>
  <c r="O106" i="9" s="1"/>
  <c r="O108" i="9" s="1"/>
  <c r="I92" i="9"/>
  <c r="K92" i="9" s="1"/>
  <c r="M92" i="9" s="1"/>
  <c r="I91" i="9"/>
  <c r="K91" i="9" s="1"/>
  <c r="M91" i="9" s="1"/>
  <c r="M93" i="9" s="1"/>
  <c r="M90" i="9"/>
  <c r="K90" i="9"/>
  <c r="I90" i="9"/>
  <c r="C82" i="9"/>
  <c r="I82" i="9" s="1"/>
  <c r="O82" i="9" s="1"/>
  <c r="Q82" i="9" s="1"/>
  <c r="S82" i="9" s="1"/>
  <c r="K73" i="9"/>
  <c r="M73" i="9" s="1"/>
  <c r="O73" i="9" s="1"/>
  <c r="O72" i="9"/>
  <c r="E72" i="9"/>
  <c r="K72" i="9" s="1"/>
  <c r="M72" i="9" s="1"/>
  <c r="T71" i="9"/>
  <c r="E71" i="9"/>
  <c r="K71" i="9" s="1"/>
  <c r="M71" i="9" s="1"/>
  <c r="O71" i="9" s="1"/>
  <c r="T70" i="9"/>
  <c r="E70" i="9"/>
  <c r="K70" i="9" s="1"/>
  <c r="M70" i="9" s="1"/>
  <c r="O70" i="9" s="1"/>
  <c r="C70" i="9"/>
  <c r="AA70" i="9" s="1"/>
  <c r="AA69" i="9"/>
  <c r="C69" i="9"/>
  <c r="T69" i="9" s="1"/>
  <c r="T68" i="9"/>
  <c r="E68" i="9"/>
  <c r="K68" i="9" s="1"/>
  <c r="M68" i="9" s="1"/>
  <c r="O68" i="9" s="1"/>
  <c r="C68" i="9"/>
  <c r="AA68" i="9" s="1"/>
  <c r="AA67" i="9"/>
  <c r="T67" i="9"/>
  <c r="C67" i="9"/>
  <c r="C75" i="9" s="1"/>
  <c r="T66" i="9"/>
  <c r="C66" i="9"/>
  <c r="AA66" i="9" s="1"/>
  <c r="K65" i="9"/>
  <c r="M65" i="9" s="1"/>
  <c r="O65" i="9" s="1"/>
  <c r="E65" i="9"/>
  <c r="K64" i="9"/>
  <c r="M64" i="9" s="1"/>
  <c r="O64" i="9" s="1"/>
  <c r="AA63" i="9"/>
  <c r="E63" i="9"/>
  <c r="K63" i="9" s="1"/>
  <c r="M63" i="9" s="1"/>
  <c r="O63" i="9" s="1"/>
  <c r="C63" i="9"/>
  <c r="AA62" i="9"/>
  <c r="T62" i="9"/>
  <c r="C62" i="9"/>
  <c r="E62" i="9" s="1"/>
  <c r="K62" i="9" s="1"/>
  <c r="M62" i="9" s="1"/>
  <c r="O62" i="9" s="1"/>
  <c r="AA61" i="9"/>
  <c r="C61" i="9"/>
  <c r="T61" i="9" s="1"/>
  <c r="T60" i="9"/>
  <c r="E60" i="9"/>
  <c r="K60" i="9" s="1"/>
  <c r="M60" i="9" s="1"/>
  <c r="O60" i="9" s="1"/>
  <c r="C60" i="9"/>
  <c r="AA60" i="9" s="1"/>
  <c r="E59" i="9"/>
  <c r="K59" i="9" s="1"/>
  <c r="M59" i="9" s="1"/>
  <c r="O59" i="9" s="1"/>
  <c r="C59" i="9"/>
  <c r="AA59" i="9" s="1"/>
  <c r="T58" i="9"/>
  <c r="E58" i="9"/>
  <c r="K58" i="9" s="1"/>
  <c r="M58" i="9" s="1"/>
  <c r="O58" i="9" s="1"/>
  <c r="C58" i="9"/>
  <c r="AA58" i="9" s="1"/>
  <c r="AA57" i="9"/>
  <c r="T57" i="9"/>
  <c r="E57" i="9"/>
  <c r="K57" i="9" s="1"/>
  <c r="M57" i="9" s="1"/>
  <c r="O57" i="9" s="1"/>
  <c r="C57" i="9"/>
  <c r="I44" i="9"/>
  <c r="I45" i="9" s="1"/>
  <c r="I42" i="9"/>
  <c r="I39" i="9"/>
  <c r="K39" i="9" s="1"/>
  <c r="K38" i="9"/>
  <c r="K37" i="9"/>
  <c r="I37" i="9"/>
  <c r="M36" i="9"/>
  <c r="K36" i="9"/>
  <c r="M35" i="9"/>
  <c r="K35" i="9"/>
  <c r="M34" i="9"/>
  <c r="K34" i="9"/>
  <c r="M33" i="9"/>
  <c r="K33" i="9"/>
  <c r="M32" i="9"/>
  <c r="K32" i="9"/>
  <c r="I28" i="9"/>
  <c r="I26" i="9"/>
  <c r="K26" i="9" s="1"/>
  <c r="E66" i="9" s="1"/>
  <c r="K66" i="9" s="1"/>
  <c r="M66" i="9" s="1"/>
  <c r="O66" i="9" s="1"/>
  <c r="K25" i="9"/>
  <c r="K24" i="9"/>
  <c r="M23" i="9"/>
  <c r="K23" i="9"/>
  <c r="M22" i="9"/>
  <c r="K22" i="9"/>
  <c r="M21" i="9"/>
  <c r="K21" i="9"/>
  <c r="M20" i="9"/>
  <c r="K20" i="9"/>
  <c r="M19" i="9"/>
  <c r="M26" i="9" s="1"/>
  <c r="K19" i="9"/>
  <c r="E14" i="9"/>
  <c r="C71" i="9" s="1"/>
  <c r="AA71" i="9" s="1"/>
  <c r="E13" i="9"/>
  <c r="C72" i="9" s="1"/>
  <c r="E12" i="9"/>
  <c r="P11" i="9"/>
  <c r="E11" i="9"/>
  <c r="G11" i="9" s="1"/>
  <c r="C11" i="9"/>
  <c r="P10" i="9"/>
  <c r="E10" i="9"/>
  <c r="P9" i="9"/>
  <c r="AC70" i="9" s="1"/>
  <c r="AE70" i="9" s="1"/>
  <c r="E9" i="9"/>
  <c r="C65" i="9" s="1"/>
  <c r="P8" i="9"/>
  <c r="E8" i="9"/>
  <c r="E6" i="9"/>
  <c r="E5" i="9"/>
  <c r="Q86" i="8"/>
  <c r="L86" i="8"/>
  <c r="D86" i="8"/>
  <c r="M72" i="8"/>
  <c r="E72" i="8"/>
  <c r="E76" i="8" s="1"/>
  <c r="E78" i="8" s="1"/>
  <c r="N70" i="8"/>
  <c r="I64" i="8"/>
  <c r="T59" i="8"/>
  <c r="T86" i="8" s="1"/>
  <c r="S59" i="8"/>
  <c r="S86" i="8" s="1"/>
  <c r="P59" i="8"/>
  <c r="P86" i="8" s="1"/>
  <c r="L59" i="8"/>
  <c r="K59" i="8"/>
  <c r="K86" i="8" s="1"/>
  <c r="H59" i="8"/>
  <c r="H86" i="8" s="1"/>
  <c r="D59" i="8"/>
  <c r="C59" i="8"/>
  <c r="C86" i="8" s="1"/>
  <c r="W52" i="8"/>
  <c r="W59" i="8" s="1"/>
  <c r="U52" i="8"/>
  <c r="U59" i="8" s="1"/>
  <c r="U86" i="8" s="1"/>
  <c r="T52" i="8"/>
  <c r="S52" i="8"/>
  <c r="R52" i="8"/>
  <c r="R59" i="8" s="1"/>
  <c r="R86" i="8" s="1"/>
  <c r="Q52" i="8"/>
  <c r="Q59" i="8" s="1"/>
  <c r="P52" i="8"/>
  <c r="O52" i="8"/>
  <c r="O59" i="8" s="1"/>
  <c r="O86" i="8" s="1"/>
  <c r="N52" i="8"/>
  <c r="N59" i="8" s="1"/>
  <c r="N86" i="8" s="1"/>
  <c r="M52" i="8"/>
  <c r="M59" i="8" s="1"/>
  <c r="M86" i="8" s="1"/>
  <c r="L52" i="8"/>
  <c r="K52" i="8"/>
  <c r="J52" i="8"/>
  <c r="J59" i="8" s="1"/>
  <c r="J86" i="8" s="1"/>
  <c r="I52" i="8"/>
  <c r="I59" i="8" s="1"/>
  <c r="I86" i="8" s="1"/>
  <c r="H52" i="8"/>
  <c r="G52" i="8"/>
  <c r="G59" i="8" s="1"/>
  <c r="G86" i="8" s="1"/>
  <c r="F52" i="8"/>
  <c r="F59" i="8" s="1"/>
  <c r="F86" i="8" s="1"/>
  <c r="E52" i="8"/>
  <c r="E59" i="8" s="1"/>
  <c r="E86" i="8" s="1"/>
  <c r="D52" i="8"/>
  <c r="C52" i="8"/>
  <c r="V51" i="8"/>
  <c r="V52" i="8" s="1"/>
  <c r="V59" i="8" s="1"/>
  <c r="V86" i="8" s="1"/>
  <c r="U51" i="8"/>
  <c r="T40" i="8"/>
  <c r="P40" i="8"/>
  <c r="O40" i="8"/>
  <c r="L40" i="8"/>
  <c r="H40" i="8"/>
  <c r="G40" i="8"/>
  <c r="V33" i="8"/>
  <c r="V40" i="8" s="1"/>
  <c r="U33" i="8"/>
  <c r="T33" i="8"/>
  <c r="S33" i="8"/>
  <c r="S40" i="8" s="1"/>
  <c r="R33" i="8"/>
  <c r="R40" i="8" s="1"/>
  <c r="Q33" i="8"/>
  <c r="Q40" i="8" s="1"/>
  <c r="P33" i="8"/>
  <c r="O33" i="8"/>
  <c r="N33" i="8"/>
  <c r="N40" i="8" s="1"/>
  <c r="M33" i="8"/>
  <c r="M40" i="8" s="1"/>
  <c r="L33" i="8"/>
  <c r="K33" i="8"/>
  <c r="K40" i="8" s="1"/>
  <c r="J33" i="8"/>
  <c r="J40" i="8" s="1"/>
  <c r="I33" i="8"/>
  <c r="I40" i="8" s="1"/>
  <c r="H33" i="8"/>
  <c r="G33" i="8"/>
  <c r="F33" i="8"/>
  <c r="F40" i="8" s="1"/>
  <c r="E33" i="8"/>
  <c r="E40" i="8" s="1"/>
  <c r="D33" i="8"/>
  <c r="D40" i="8" s="1"/>
  <c r="C33" i="8"/>
  <c r="C40" i="8" s="1"/>
  <c r="W28" i="8"/>
  <c r="W33" i="8" s="1"/>
  <c r="W40" i="8" s="1"/>
  <c r="U28" i="8"/>
  <c r="J289" i="7"/>
  <c r="J286" i="7"/>
  <c r="J283" i="7"/>
  <c r="J282" i="7"/>
  <c r="J281" i="7"/>
  <c r="J280" i="7"/>
  <c r="J279" i="7"/>
  <c r="J278" i="7"/>
  <c r="J277" i="7"/>
  <c r="J273" i="7"/>
  <c r="J272" i="7"/>
  <c r="J271" i="7"/>
  <c r="J270" i="7"/>
  <c r="J266" i="7"/>
  <c r="J265" i="7"/>
  <c r="J264" i="7"/>
  <c r="J263" i="7"/>
  <c r="J257" i="7"/>
  <c r="J256" i="7"/>
  <c r="J253" i="7"/>
  <c r="J252" i="7"/>
  <c r="J250" i="7"/>
  <c r="M248" i="7" s="1"/>
  <c r="J249" i="7"/>
  <c r="J248" i="7"/>
  <c r="J246" i="7"/>
  <c r="J245" i="7"/>
  <c r="J243" i="7"/>
  <c r="J242" i="7"/>
  <c r="J241" i="7"/>
  <c r="J240" i="7"/>
  <c r="J236" i="7"/>
  <c r="J235" i="7"/>
  <c r="J234" i="7"/>
  <c r="J233" i="7"/>
  <c r="J232" i="7"/>
  <c r="J231" i="7"/>
  <c r="J230" i="7"/>
  <c r="J229" i="7"/>
  <c r="J228" i="7"/>
  <c r="J227" i="7"/>
  <c r="F223" i="7"/>
  <c r="F222" i="7"/>
  <c r="F221" i="7"/>
  <c r="F220" i="7"/>
  <c r="F219" i="7"/>
  <c r="J215" i="7"/>
  <c r="J214" i="7"/>
  <c r="J213" i="7"/>
  <c r="J212" i="7"/>
  <c r="J208" i="7"/>
  <c r="J207" i="7"/>
  <c r="J206" i="7"/>
  <c r="J205" i="7"/>
  <c r="J204" i="7"/>
  <c r="J203" i="7"/>
  <c r="J202" i="7"/>
  <c r="J201" i="7"/>
  <c r="J197" i="7"/>
  <c r="K195" i="7" s="1"/>
  <c r="J196" i="7"/>
  <c r="J195" i="7"/>
  <c r="L192" i="7"/>
  <c r="J192" i="7"/>
  <c r="M192" i="7" s="1"/>
  <c r="L191" i="7"/>
  <c r="J191" i="7"/>
  <c r="J193" i="7" s="1"/>
  <c r="K191" i="7" s="1"/>
  <c r="J187" i="7"/>
  <c r="J186" i="7"/>
  <c r="J185" i="7"/>
  <c r="J184" i="7"/>
  <c r="J183" i="7"/>
  <c r="J182" i="7"/>
  <c r="J181" i="7"/>
  <c r="J180" i="7"/>
  <c r="J177" i="7"/>
  <c r="J176" i="7"/>
  <c r="J173" i="7"/>
  <c r="J172" i="7"/>
  <c r="J167" i="7"/>
  <c r="K167" i="7" s="1"/>
  <c r="J166" i="7"/>
  <c r="J168" i="7" s="1"/>
  <c r="J163" i="7"/>
  <c r="M163" i="7" s="1"/>
  <c r="J162" i="7"/>
  <c r="J164" i="7" s="1"/>
  <c r="J157" i="7"/>
  <c r="J155" i="7"/>
  <c r="M154" i="7" s="1"/>
  <c r="J154" i="7"/>
  <c r="M153" i="7"/>
  <c r="J153" i="7"/>
  <c r="J151" i="7"/>
  <c r="J150" i="7"/>
  <c r="J149" i="7"/>
  <c r="L146" i="7"/>
  <c r="K146" i="7"/>
  <c r="J146" i="7"/>
  <c r="M146" i="7" s="1"/>
  <c r="L145" i="7"/>
  <c r="K145" i="7"/>
  <c r="J145" i="7"/>
  <c r="J147" i="7" s="1"/>
  <c r="J141" i="7"/>
  <c r="J137" i="7"/>
  <c r="J135" i="7"/>
  <c r="L132" i="7"/>
  <c r="J132" i="7"/>
  <c r="M132" i="7" s="1"/>
  <c r="L131" i="7"/>
  <c r="J131" i="7"/>
  <c r="J133" i="7" s="1"/>
  <c r="M131" i="7" s="1"/>
  <c r="J128" i="7"/>
  <c r="J126" i="7"/>
  <c r="J124" i="7"/>
  <c r="J122" i="7"/>
  <c r="L118" i="7"/>
  <c r="K118" i="7"/>
  <c r="J118" i="7"/>
  <c r="M118" i="7" s="1"/>
  <c r="L117" i="7"/>
  <c r="K117" i="7"/>
  <c r="J117" i="7"/>
  <c r="M117" i="7" s="1"/>
  <c r="L115" i="7"/>
  <c r="K115" i="7"/>
  <c r="J115" i="7"/>
  <c r="M115" i="7" s="1"/>
  <c r="L114" i="7"/>
  <c r="K114" i="7"/>
  <c r="J114" i="7"/>
  <c r="M114" i="7" s="1"/>
  <c r="J111" i="7"/>
  <c r="J109" i="7"/>
  <c r="J107" i="7"/>
  <c r="J105" i="7"/>
  <c r="M102" i="7"/>
  <c r="L102" i="7"/>
  <c r="J102" i="7"/>
  <c r="K102" i="7" s="1"/>
  <c r="M101" i="7"/>
  <c r="L101" i="7"/>
  <c r="J101" i="7"/>
  <c r="K101" i="7" s="1"/>
  <c r="J98" i="7"/>
  <c r="J95" i="7"/>
  <c r="M94" i="7"/>
  <c r="J94" i="7"/>
  <c r="J92" i="7"/>
  <c r="J91" i="7"/>
  <c r="J89" i="7"/>
  <c r="M88" i="7"/>
  <c r="J88" i="7"/>
  <c r="J86" i="7"/>
  <c r="L82" i="7"/>
  <c r="K82" i="7"/>
  <c r="J82" i="7"/>
  <c r="M82" i="7" s="1"/>
  <c r="L81" i="7"/>
  <c r="K81" i="7"/>
  <c r="J81" i="7"/>
  <c r="J83" i="7" s="1"/>
  <c r="J77" i="7"/>
  <c r="J76" i="7"/>
  <c r="J75" i="7"/>
  <c r="J72" i="7"/>
  <c r="J71" i="7"/>
  <c r="K69" i="7"/>
  <c r="J69" i="7"/>
  <c r="K68" i="7"/>
  <c r="J68" i="7"/>
  <c r="J66" i="7"/>
  <c r="J65" i="7"/>
  <c r="K63" i="7"/>
  <c r="J63" i="7"/>
  <c r="K62" i="7"/>
  <c r="J62" i="7"/>
  <c r="J58" i="7"/>
  <c r="L55" i="7"/>
  <c r="K55" i="7"/>
  <c r="J55" i="7"/>
  <c r="L54" i="7"/>
  <c r="K54" i="7"/>
  <c r="J54" i="7"/>
  <c r="M54" i="7" s="1"/>
  <c r="L53" i="7"/>
  <c r="K53" i="7"/>
  <c r="J53" i="7"/>
  <c r="M55" i="7" s="1"/>
  <c r="K50" i="7"/>
  <c r="J50" i="7"/>
  <c r="M50" i="7" s="1"/>
  <c r="J49" i="7"/>
  <c r="M49" i="7" s="1"/>
  <c r="J48" i="7"/>
  <c r="K45" i="7"/>
  <c r="J45" i="7"/>
  <c r="K44" i="7"/>
  <c r="J44" i="7"/>
  <c r="J43" i="7"/>
  <c r="J41" i="7"/>
  <c r="K40" i="7"/>
  <c r="J40" i="7"/>
  <c r="K39" i="7"/>
  <c r="J39" i="7"/>
  <c r="J35" i="7"/>
  <c r="J33" i="7"/>
  <c r="J31" i="7"/>
  <c r="J27" i="7"/>
  <c r="M24" i="7"/>
  <c r="J24" i="7"/>
  <c r="J20" i="7"/>
  <c r="J19" i="7"/>
  <c r="J17" i="7"/>
  <c r="M16" i="7"/>
  <c r="J16" i="7"/>
  <c r="J11" i="7"/>
  <c r="J10" i="7"/>
  <c r="M8" i="7"/>
  <c r="L8" i="7"/>
  <c r="J8" i="7"/>
  <c r="K7" i="7" s="1"/>
  <c r="M7" i="7"/>
  <c r="L7" i="7"/>
  <c r="J427" i="6"/>
  <c r="J426" i="6"/>
  <c r="F439" i="6" s="1"/>
  <c r="J425" i="6"/>
  <c r="J424" i="6"/>
  <c r="M390" i="6"/>
  <c r="L390" i="6"/>
  <c r="K390" i="6"/>
  <c r="M388" i="6"/>
  <c r="L388" i="6"/>
  <c r="K388" i="6"/>
  <c r="J384" i="6"/>
  <c r="J393" i="6" s="1"/>
  <c r="M284" i="6"/>
  <c r="L284" i="6"/>
  <c r="K284" i="6"/>
  <c r="J284" i="6"/>
  <c r="F284" i="6"/>
  <c r="F287" i="6" s="1"/>
  <c r="F280" i="6"/>
  <c r="J222" i="6"/>
  <c r="F188" i="6"/>
  <c r="F186" i="6"/>
  <c r="F243" i="6" s="1"/>
  <c r="J62" i="6"/>
  <c r="F55" i="6"/>
  <c r="D54" i="5"/>
  <c r="D50" i="5"/>
  <c r="D40" i="5"/>
  <c r="J38" i="5"/>
  <c r="J37" i="5"/>
  <c r="J36" i="5"/>
  <c r="J35" i="5"/>
  <c r="K28" i="5"/>
  <c r="K27" i="5"/>
  <c r="K26" i="5"/>
  <c r="K24" i="5"/>
  <c r="K23" i="5"/>
  <c r="K22" i="5"/>
  <c r="K20" i="5"/>
  <c r="K19" i="5"/>
  <c r="K18" i="5"/>
  <c r="H16" i="5"/>
  <c r="G16" i="5"/>
  <c r="F16" i="5"/>
  <c r="J280" i="6" s="1"/>
  <c r="J287" i="6" s="1"/>
  <c r="E16" i="5"/>
  <c r="D16" i="5"/>
  <c r="D36" i="5" s="1"/>
  <c r="F87" i="4"/>
  <c r="E87" i="4" s="1"/>
  <c r="G85" i="4"/>
  <c r="F85" i="4"/>
  <c r="E85" i="4"/>
  <c r="G83" i="4"/>
  <c r="F83" i="4"/>
  <c r="E83" i="4"/>
  <c r="F74" i="4"/>
  <c r="G74" i="4" s="1"/>
  <c r="E74" i="4"/>
  <c r="F72" i="4"/>
  <c r="G70" i="4"/>
  <c r="F70" i="4"/>
  <c r="E70" i="4"/>
  <c r="G60" i="4"/>
  <c r="F60" i="4"/>
  <c r="E60" i="4"/>
  <c r="D60" i="4"/>
  <c r="J58" i="4"/>
  <c r="F58" i="4"/>
  <c r="G58" i="4" s="1"/>
  <c r="D58" i="4"/>
  <c r="J57" i="4"/>
  <c r="G87" i="4" s="1"/>
  <c r="J56" i="4"/>
  <c r="G56" i="4"/>
  <c r="F56" i="4"/>
  <c r="F62" i="4" s="1"/>
  <c r="G62" i="4" s="1"/>
  <c r="E56" i="4"/>
  <c r="D56" i="4"/>
  <c r="D62" i="4" s="1"/>
  <c r="J55" i="4"/>
  <c r="G48" i="4"/>
  <c r="F388" i="6" s="1"/>
  <c r="F48" i="4"/>
  <c r="F390" i="6" s="1"/>
  <c r="E48" i="4"/>
  <c r="I43" i="4"/>
  <c r="H43" i="4"/>
  <c r="H42" i="4"/>
  <c r="I42" i="4" s="1"/>
  <c r="H41" i="4"/>
  <c r="I41" i="4" s="1"/>
  <c r="H39" i="4"/>
  <c r="H33" i="4"/>
  <c r="I33" i="4" s="1"/>
  <c r="I32" i="4"/>
  <c r="H32" i="4"/>
  <c r="I31" i="4"/>
  <c r="H31" i="4"/>
  <c r="H29" i="4"/>
  <c r="I23" i="4"/>
  <c r="H23" i="4"/>
  <c r="H22" i="4"/>
  <c r="I22" i="4" s="1"/>
  <c r="H21" i="4"/>
  <c r="I21" i="4" s="1"/>
  <c r="H19" i="4"/>
  <c r="H13" i="4"/>
  <c r="I13" i="4" s="1"/>
  <c r="H12" i="4"/>
  <c r="I12" i="4" s="1"/>
  <c r="I11" i="4"/>
  <c r="H11" i="4"/>
  <c r="H9" i="4"/>
  <c r="C253" i="3"/>
  <c r="C247" i="3"/>
  <c r="C246" i="3"/>
  <c r="C245" i="3" s="1"/>
  <c r="C244" i="3"/>
  <c r="C243" i="3"/>
  <c r="C241" i="3"/>
  <c r="J217" i="3"/>
  <c r="I217" i="3"/>
  <c r="J216" i="3"/>
  <c r="F216" i="3"/>
  <c r="I216" i="3" s="1"/>
  <c r="J215" i="3"/>
  <c r="F215" i="3"/>
  <c r="I215" i="3" s="1"/>
  <c r="J214" i="3"/>
  <c r="I214" i="3"/>
  <c r="J212" i="3"/>
  <c r="F212" i="3"/>
  <c r="I212" i="3" s="1"/>
  <c r="F211" i="3"/>
  <c r="I211" i="3" s="1"/>
  <c r="J210" i="3"/>
  <c r="I210" i="3"/>
  <c r="J209" i="3"/>
  <c r="I209" i="3"/>
  <c r="J204" i="3"/>
  <c r="I204" i="3"/>
  <c r="J203" i="3"/>
  <c r="I203" i="3"/>
  <c r="F203" i="3"/>
  <c r="J202" i="3"/>
  <c r="I202" i="3"/>
  <c r="F202" i="3"/>
  <c r="J201" i="3"/>
  <c r="I201" i="3"/>
  <c r="J199" i="3"/>
  <c r="I199" i="3"/>
  <c r="F199" i="3"/>
  <c r="J198" i="3"/>
  <c r="I198" i="3"/>
  <c r="F198" i="3"/>
  <c r="J197" i="3"/>
  <c r="I197" i="3"/>
  <c r="I200" i="3" s="1"/>
  <c r="J196" i="3"/>
  <c r="J200" i="3" s="1"/>
  <c r="I196" i="3"/>
  <c r="F188" i="3"/>
  <c r="E188" i="3"/>
  <c r="D188" i="3"/>
  <c r="F186" i="3"/>
  <c r="E186" i="3"/>
  <c r="F185" i="3"/>
  <c r="F189" i="3" s="1"/>
  <c r="E185" i="3"/>
  <c r="E189" i="3" s="1"/>
  <c r="D185" i="3"/>
  <c r="D189" i="3" s="1"/>
  <c r="F184" i="3"/>
  <c r="E184" i="3"/>
  <c r="D184" i="3"/>
  <c r="F182" i="3"/>
  <c r="E182" i="3"/>
  <c r="D182" i="3"/>
  <c r="F181" i="3"/>
  <c r="E181" i="3"/>
  <c r="D181" i="3"/>
  <c r="E175" i="3"/>
  <c r="C175" i="3"/>
  <c r="F174" i="3"/>
  <c r="D174" i="3"/>
  <c r="C174" i="3"/>
  <c r="E174" i="3" s="1"/>
  <c r="C173" i="3"/>
  <c r="F172" i="3"/>
  <c r="D172" i="3"/>
  <c r="C172" i="3"/>
  <c r="C171" i="3"/>
  <c r="F170" i="3"/>
  <c r="E170" i="3"/>
  <c r="D170" i="3"/>
  <c r="C170" i="3"/>
  <c r="C164" i="3"/>
  <c r="F163" i="3"/>
  <c r="E163" i="3"/>
  <c r="C163" i="3"/>
  <c r="C162" i="3"/>
  <c r="F162" i="3" s="1"/>
  <c r="F161" i="3"/>
  <c r="E161" i="3"/>
  <c r="D161" i="3"/>
  <c r="C161" i="3"/>
  <c r="C160" i="3"/>
  <c r="F159" i="3"/>
  <c r="E159" i="3"/>
  <c r="D159" i="3"/>
  <c r="C159" i="3"/>
  <c r="F155" i="3"/>
  <c r="F154" i="3"/>
  <c r="E154" i="3"/>
  <c r="D154" i="3"/>
  <c r="F153" i="3"/>
  <c r="E153" i="3"/>
  <c r="D153" i="3"/>
  <c r="F152" i="3"/>
  <c r="E152" i="3"/>
  <c r="D152" i="3"/>
  <c r="D163" i="3" s="1"/>
  <c r="F151" i="3"/>
  <c r="E151" i="3"/>
  <c r="D151" i="3"/>
  <c r="F150" i="3"/>
  <c r="E150" i="3"/>
  <c r="D150" i="3"/>
  <c r="D155" i="3" s="1"/>
  <c r="D122" i="3"/>
  <c r="C122" i="3"/>
  <c r="C125" i="3" s="1"/>
  <c r="D119" i="3"/>
  <c r="D128" i="3" s="1"/>
  <c r="C119" i="3"/>
  <c r="D110" i="3"/>
  <c r="C110" i="3"/>
  <c r="D107" i="3"/>
  <c r="C107" i="3"/>
  <c r="C128" i="3" s="1"/>
  <c r="C69" i="3"/>
  <c r="C68" i="3"/>
  <c r="C67" i="3"/>
  <c r="C242" i="3" s="1"/>
  <c r="C66" i="3"/>
  <c r="C64" i="3"/>
  <c r="C239" i="3" s="1"/>
  <c r="K7" i="3"/>
  <c r="K6" i="3"/>
  <c r="K5" i="3"/>
  <c r="K4" i="3"/>
  <c r="K3" i="3"/>
  <c r="D47" i="2"/>
  <c r="D44" i="2"/>
  <c r="E103" i="1" s="1"/>
  <c r="E102" i="1" s="1"/>
  <c r="L32" i="2"/>
  <c r="D56" i="2" s="1"/>
  <c r="J32" i="2"/>
  <c r="H27" i="2"/>
  <c r="L22" i="2"/>
  <c r="D51" i="2" s="1"/>
  <c r="L17" i="2"/>
  <c r="D45" i="2" s="1"/>
  <c r="E123" i="1" s="1"/>
  <c r="J17" i="2"/>
  <c r="AH16" i="2"/>
  <c r="AI15" i="2" s="1"/>
  <c r="AG16" i="2"/>
  <c r="AF16" i="2"/>
  <c r="AE16" i="2"/>
  <c r="AD16" i="2"/>
  <c r="AC16" i="2"/>
  <c r="AB16" i="2"/>
  <c r="AA16" i="2"/>
  <c r="Z16" i="2"/>
  <c r="Y16" i="2"/>
  <c r="X16" i="2"/>
  <c r="W16" i="2"/>
  <c r="V16" i="2"/>
  <c r="U16" i="2"/>
  <c r="L16" i="2"/>
  <c r="J16" i="2"/>
  <c r="H16" i="2"/>
  <c r="J12" i="2"/>
  <c r="H12" i="2" s="1"/>
  <c r="J11" i="2"/>
  <c r="H11" i="2"/>
  <c r="P9" i="2"/>
  <c r="P8" i="2"/>
  <c r="P7" i="2"/>
  <c r="J7" i="2"/>
  <c r="H7" i="2" s="1"/>
  <c r="P6" i="2"/>
  <c r="J6" i="2"/>
  <c r="H6" i="2" s="1"/>
  <c r="J5" i="2"/>
  <c r="D43" i="2" s="1"/>
  <c r="C194" i="1"/>
  <c r="C193" i="1"/>
  <c r="C192" i="1"/>
  <c r="C191" i="1"/>
  <c r="E178" i="1"/>
  <c r="E172" i="1"/>
  <c r="E165" i="1"/>
  <c r="E153" i="1"/>
  <c r="E148" i="1"/>
  <c r="E126" i="1"/>
  <c r="E118" i="1"/>
  <c r="E113" i="1"/>
  <c r="E110" i="1" s="1"/>
  <c r="E107" i="1"/>
  <c r="E99" i="1"/>
  <c r="E98" i="1" s="1"/>
  <c r="E85" i="1"/>
  <c r="E84" i="1"/>
  <c r="E82" i="1"/>
  <c r="E77" i="1"/>
  <c r="E73" i="1"/>
  <c r="E72" i="1" s="1"/>
  <c r="E69" i="1"/>
  <c r="E61" i="1"/>
  <c r="E57" i="1"/>
  <c r="E49" i="1"/>
  <c r="E44" i="1"/>
  <c r="E36" i="1"/>
  <c r="W62" i="16" l="1"/>
  <c r="W71" i="16"/>
  <c r="W14" i="16"/>
  <c r="W30" i="16"/>
  <c r="W27" i="16"/>
  <c r="W5" i="21"/>
  <c r="Y5" i="21" s="1"/>
  <c r="C29" i="21" s="1"/>
  <c r="C129" i="3"/>
  <c r="C130" i="3" s="1"/>
  <c r="D129" i="3"/>
  <c r="D130" i="3" s="1"/>
  <c r="C252" i="3" s="1"/>
  <c r="E177" i="1" s="1"/>
  <c r="W55" i="16"/>
  <c r="D126" i="3"/>
  <c r="C126" i="3"/>
  <c r="C127" i="3" s="1"/>
  <c r="W66" i="16"/>
  <c r="V61" i="9"/>
  <c r="X61" i="9" s="1"/>
  <c r="E67" i="1" s="1"/>
  <c r="AC63" i="9"/>
  <c r="AE63" i="9" s="1"/>
  <c r="AC67" i="9"/>
  <c r="AE67" i="9" s="1"/>
  <c r="V70" i="9"/>
  <c r="X70" i="9" s="1"/>
  <c r="AG70" i="9" s="1"/>
  <c r="U55" i="22"/>
  <c r="W55" i="22" s="1"/>
  <c r="AC61" i="9"/>
  <c r="AE61" i="9" s="1"/>
  <c r="E66" i="1" s="1"/>
  <c r="AC68" i="9"/>
  <c r="AE68" i="9" s="1"/>
  <c r="F22" i="11"/>
  <c r="G22" i="11" s="1"/>
  <c r="O85" i="16"/>
  <c r="AA221" i="22"/>
  <c r="AC221" i="22" s="1"/>
  <c r="V107" i="9"/>
  <c r="X107" i="9" s="1"/>
  <c r="E51" i="1" s="1"/>
  <c r="N6" i="20"/>
  <c r="D20" i="20" s="1"/>
  <c r="AC107" i="9"/>
  <c r="AE107" i="9" s="1"/>
  <c r="E50" i="1" s="1"/>
  <c r="E48" i="1" s="1"/>
  <c r="G62" i="12"/>
  <c r="L9" i="20"/>
  <c r="D21" i="20" s="1"/>
  <c r="K7" i="22"/>
  <c r="M7" i="22" s="1"/>
  <c r="U47" i="22"/>
  <c r="W47" i="22" s="1"/>
  <c r="V58" i="9"/>
  <c r="X58" i="9" s="1"/>
  <c r="U39" i="22"/>
  <c r="W39" i="22" s="1"/>
  <c r="K85" i="16"/>
  <c r="F8" i="19"/>
  <c r="K13" i="22"/>
  <c r="M13" i="22" s="1"/>
  <c r="K19" i="22"/>
  <c r="M19" i="22" s="1"/>
  <c r="L27" i="20"/>
  <c r="C37" i="20" s="1"/>
  <c r="Q77" i="22"/>
  <c r="S77" i="22" s="1"/>
  <c r="U77" i="22" s="1"/>
  <c r="U85" i="16"/>
  <c r="L15" i="20"/>
  <c r="F32" i="10"/>
  <c r="G32" i="10" s="1"/>
  <c r="E47" i="10" s="1"/>
  <c r="K14" i="22"/>
  <c r="M14" i="22" s="1"/>
  <c r="K21" i="22"/>
  <c r="M21" i="22" s="1"/>
  <c r="U33" i="22"/>
  <c r="W33" i="22" s="1"/>
  <c r="U40" i="22"/>
  <c r="W40" i="22" s="1"/>
  <c r="U57" i="22"/>
  <c r="W57" i="22" s="1"/>
  <c r="Q81" i="22"/>
  <c r="S81" i="22" s="1"/>
  <c r="U81" i="22" s="1"/>
  <c r="AA200" i="22"/>
  <c r="AC200" i="22" s="1"/>
  <c r="AA205" i="22"/>
  <c r="AC205" i="22" s="1"/>
  <c r="AA216" i="22"/>
  <c r="AC216" i="22" s="1"/>
  <c r="AC58" i="9"/>
  <c r="AE58" i="9" s="1"/>
  <c r="V71" i="9"/>
  <c r="X71" i="9" s="1"/>
  <c r="F20" i="10"/>
  <c r="G20" i="10" s="1"/>
  <c r="D48" i="10" s="1"/>
  <c r="F42" i="11"/>
  <c r="G42" i="11" s="1"/>
  <c r="E59" i="11" s="1"/>
  <c r="G58" i="12"/>
  <c r="H58" i="12" s="1"/>
  <c r="G120" i="12" s="1"/>
  <c r="G84" i="12"/>
  <c r="H84" i="12" s="1"/>
  <c r="F115" i="12" s="1"/>
  <c r="G91" i="12"/>
  <c r="K9" i="22"/>
  <c r="M9" i="22" s="1"/>
  <c r="K15" i="22"/>
  <c r="M15" i="22" s="1"/>
  <c r="U41" i="22"/>
  <c r="W41" i="22" s="1"/>
  <c r="U48" i="22"/>
  <c r="W48" i="22" s="1"/>
  <c r="Q88" i="22"/>
  <c r="S88" i="22" s="1"/>
  <c r="U88" i="22" s="1"/>
  <c r="AA217" i="22"/>
  <c r="AC217" i="22" s="1"/>
  <c r="AC59" i="9"/>
  <c r="AE59" i="9" s="1"/>
  <c r="V62" i="9"/>
  <c r="X62" i="9" s="1"/>
  <c r="F33" i="10"/>
  <c r="G33" i="10" s="1"/>
  <c r="E48" i="10" s="1"/>
  <c r="K16" i="22"/>
  <c r="M16" i="22" s="1"/>
  <c r="K22" i="22"/>
  <c r="M22" i="22" s="1"/>
  <c r="U35" i="22"/>
  <c r="W35" i="22" s="1"/>
  <c r="U42" i="22"/>
  <c r="W42" i="22" s="1"/>
  <c r="U51" i="22"/>
  <c r="W51" i="22" s="1"/>
  <c r="U58" i="22"/>
  <c r="W58" i="22" s="1"/>
  <c r="AA201" i="22"/>
  <c r="AC201" i="22" s="1"/>
  <c r="AA206" i="22"/>
  <c r="AC206" i="22" s="1"/>
  <c r="AA218" i="22"/>
  <c r="AC218" i="22" s="1"/>
  <c r="AC71" i="9"/>
  <c r="AE71" i="9" s="1"/>
  <c r="AC62" i="9"/>
  <c r="AE62" i="9" s="1"/>
  <c r="AC66" i="9"/>
  <c r="AE66" i="9" s="1"/>
  <c r="V69" i="9"/>
  <c r="X69" i="9" s="1"/>
  <c r="F21" i="10"/>
  <c r="G21" i="10" s="1"/>
  <c r="D49" i="10" s="1"/>
  <c r="F38" i="11"/>
  <c r="G38" i="11" s="1"/>
  <c r="E55" i="11" s="1"/>
  <c r="G47" i="12"/>
  <c r="H47" i="12" s="1"/>
  <c r="G109" i="12" s="1"/>
  <c r="U36" i="22"/>
  <c r="W36" i="22" s="1"/>
  <c r="U52" i="22"/>
  <c r="W52" i="22" s="1"/>
  <c r="AA202" i="22"/>
  <c r="AC202" i="22" s="1"/>
  <c r="AA207" i="22"/>
  <c r="AC207" i="22" s="1"/>
  <c r="AA219" i="22"/>
  <c r="AC219" i="22" s="1"/>
  <c r="V57" i="9"/>
  <c r="X57" i="9" s="1"/>
  <c r="AC60" i="9"/>
  <c r="AE60" i="9" s="1"/>
  <c r="V66" i="9"/>
  <c r="X66" i="9" s="1"/>
  <c r="AC69" i="9"/>
  <c r="AE69" i="9" s="1"/>
  <c r="V106" i="9"/>
  <c r="X106" i="9" s="1"/>
  <c r="E59" i="1" s="1"/>
  <c r="F26" i="11"/>
  <c r="G26" i="11" s="1"/>
  <c r="F58" i="11" s="1"/>
  <c r="G42" i="12"/>
  <c r="H42" i="12" s="1"/>
  <c r="G54" i="12"/>
  <c r="H54" i="12" s="1"/>
  <c r="G116" i="12" s="1"/>
  <c r="K11" i="22"/>
  <c r="M11" i="22" s="1"/>
  <c r="K17" i="22"/>
  <c r="M17" i="22" s="1"/>
  <c r="K23" i="22"/>
  <c r="M23" i="22" s="1"/>
  <c r="U37" i="22"/>
  <c r="W37" i="22" s="1"/>
  <c r="U44" i="22"/>
  <c r="W44" i="22" s="1"/>
  <c r="U53" i="22"/>
  <c r="W53" i="22" s="1"/>
  <c r="U59" i="22"/>
  <c r="W59" i="22" s="1"/>
  <c r="AA203" i="22"/>
  <c r="AC203" i="22" s="1"/>
  <c r="G72" i="4"/>
  <c r="AC57" i="9"/>
  <c r="AE57" i="9" s="1"/>
  <c r="F39" i="11"/>
  <c r="G39" i="11" s="1"/>
  <c r="E56" i="11" s="1"/>
  <c r="G56" i="11" s="1"/>
  <c r="K12" i="22"/>
  <c r="M12" i="22" s="1"/>
  <c r="K18" i="22"/>
  <c r="M18" i="22" s="1"/>
  <c r="K24" i="22"/>
  <c r="M24" i="22" s="1"/>
  <c r="U38" i="22"/>
  <c r="W38" i="22" s="1"/>
  <c r="U45" i="22"/>
  <c r="W45" i="22" s="1"/>
  <c r="U60" i="22"/>
  <c r="W60" i="22" s="1"/>
  <c r="AA204" i="22"/>
  <c r="AC204" i="22" s="1"/>
  <c r="AA215" i="22"/>
  <c r="AC215" i="22" s="1"/>
  <c r="AA220" i="22"/>
  <c r="AC220" i="22" s="1"/>
  <c r="V60" i="9"/>
  <c r="X60" i="9" s="1"/>
  <c r="V67" i="9"/>
  <c r="X67" i="9" s="1"/>
  <c r="F36" i="10"/>
  <c r="G36" i="10" s="1"/>
  <c r="E51" i="10" s="1"/>
  <c r="F27" i="11"/>
  <c r="G27" i="11" s="1"/>
  <c r="F59" i="11" s="1"/>
  <c r="F25" i="19"/>
  <c r="F50" i="19"/>
  <c r="K8" i="22"/>
  <c r="M8" i="22" s="1"/>
  <c r="U46" i="22"/>
  <c r="W46" i="22" s="1"/>
  <c r="U54" i="22"/>
  <c r="W54" i="22" s="1"/>
  <c r="E164" i="3"/>
  <c r="D164" i="3"/>
  <c r="F164" i="3"/>
  <c r="F93" i="3"/>
  <c r="G93" i="3" s="1"/>
  <c r="C249" i="3" s="1"/>
  <c r="F94" i="3"/>
  <c r="G94" i="3" s="1"/>
  <c r="D40" i="2"/>
  <c r="C409" i="6"/>
  <c r="C427" i="6"/>
  <c r="C439" i="6" s="1"/>
  <c r="C453" i="6" s="1"/>
  <c r="F426" i="6"/>
  <c r="F427" i="6"/>
  <c r="F425" i="6"/>
  <c r="F424" i="6"/>
  <c r="K149" i="7"/>
  <c r="K150" i="7"/>
  <c r="E122" i="1"/>
  <c r="E106" i="1"/>
  <c r="L91" i="7"/>
  <c r="K91" i="7"/>
  <c r="M92" i="7"/>
  <c r="M91" i="7"/>
  <c r="F166" i="3"/>
  <c r="C225" i="3" s="1"/>
  <c r="F171" i="3"/>
  <c r="F176" i="3" s="1"/>
  <c r="C228" i="3" s="1"/>
  <c r="D171" i="3"/>
  <c r="D176" i="3" s="1"/>
  <c r="J211" i="3"/>
  <c r="L27" i="7"/>
  <c r="K27" i="7"/>
  <c r="M27" i="7"/>
  <c r="H5" i="2"/>
  <c r="J27" i="2"/>
  <c r="L27" i="2" s="1"/>
  <c r="D54" i="2" s="1"/>
  <c r="E117" i="1" s="1"/>
  <c r="C65" i="3"/>
  <c r="F175" i="3"/>
  <c r="D175" i="3"/>
  <c r="F393" i="6"/>
  <c r="E18" i="5"/>
  <c r="J28" i="7"/>
  <c r="M65" i="7"/>
  <c r="L65" i="7"/>
  <c r="K65" i="7"/>
  <c r="E172" i="3"/>
  <c r="E177" i="3" s="1"/>
  <c r="E155" i="3"/>
  <c r="H27" i="5"/>
  <c r="D125" i="3"/>
  <c r="E162" i="3"/>
  <c r="E166" i="3" s="1"/>
  <c r="D162" i="3"/>
  <c r="D166" i="3" s="1"/>
  <c r="E171" i="3"/>
  <c r="E176" i="3" s="1"/>
  <c r="E147" i="1"/>
  <c r="E160" i="3"/>
  <c r="E165" i="3" s="1"/>
  <c r="D160" i="3"/>
  <c r="E89" i="4"/>
  <c r="F89" i="4" s="1"/>
  <c r="G89" i="4" s="1"/>
  <c r="M66" i="7"/>
  <c r="L66" i="7"/>
  <c r="K66" i="7"/>
  <c r="L95" i="7"/>
  <c r="K95" i="7"/>
  <c r="M95" i="7"/>
  <c r="J174" i="7"/>
  <c r="M173" i="7" s="1"/>
  <c r="M172" i="7"/>
  <c r="M257" i="7"/>
  <c r="D165" i="3"/>
  <c r="M71" i="7"/>
  <c r="L71" i="7"/>
  <c r="K71" i="7"/>
  <c r="F438" i="6"/>
  <c r="F436" i="6"/>
  <c r="F437" i="6"/>
  <c r="M72" i="7"/>
  <c r="L72" i="7"/>
  <c r="K72" i="7"/>
  <c r="M167" i="7"/>
  <c r="L167" i="7"/>
  <c r="F160" i="3"/>
  <c r="F165" i="3" s="1"/>
  <c r="C224" i="3" s="1"/>
  <c r="F177" i="3"/>
  <c r="C229" i="3" s="1"/>
  <c r="D42" i="5"/>
  <c r="L19" i="7"/>
  <c r="K19" i="7"/>
  <c r="M19" i="7"/>
  <c r="M44" i="7"/>
  <c r="L44" i="7"/>
  <c r="M249" i="7"/>
  <c r="F173" i="3"/>
  <c r="D173" i="3"/>
  <c r="D177" i="3" s="1"/>
  <c r="C226" i="3"/>
  <c r="E62" i="4"/>
  <c r="D52" i="5"/>
  <c r="E24" i="5"/>
  <c r="D65" i="5"/>
  <c r="D38" i="5"/>
  <c r="E26" i="5"/>
  <c r="E20" i="5"/>
  <c r="E23" i="5"/>
  <c r="L20" i="7"/>
  <c r="K20" i="7"/>
  <c r="M20" i="7"/>
  <c r="M162" i="7"/>
  <c r="L163" i="7"/>
  <c r="K163" i="7"/>
  <c r="L162" i="7"/>
  <c r="E173" i="3"/>
  <c r="C230" i="3"/>
  <c r="C426" i="6"/>
  <c r="C438" i="6" s="1"/>
  <c r="C452" i="6" s="1"/>
  <c r="J241" i="6"/>
  <c r="J243" i="6" s="1"/>
  <c r="C425" i="6" s="1"/>
  <c r="C437" i="6" s="1"/>
  <c r="C451" i="6" s="1"/>
  <c r="M39" i="7"/>
  <c r="L39" i="7"/>
  <c r="K41" i="7"/>
  <c r="L89" i="7"/>
  <c r="K89" i="7"/>
  <c r="M89" i="7"/>
  <c r="K162" i="7"/>
  <c r="M245" i="7"/>
  <c r="L245" i="7"/>
  <c r="J247" i="7"/>
  <c r="L246" i="7" s="1"/>
  <c r="E164" i="1"/>
  <c r="H24" i="5"/>
  <c r="D27" i="5"/>
  <c r="D63" i="5"/>
  <c r="D69" i="5" s="1"/>
  <c r="D67" i="5"/>
  <c r="J53" i="6"/>
  <c r="J55" i="6" s="1"/>
  <c r="C405" i="6" s="1"/>
  <c r="C424" i="6" s="1"/>
  <c r="C436" i="6" s="1"/>
  <c r="C450" i="6" s="1"/>
  <c r="M40" i="7"/>
  <c r="L40" i="7"/>
  <c r="M45" i="7"/>
  <c r="L45" i="7"/>
  <c r="L50" i="7"/>
  <c r="K132" i="7"/>
  <c r="L153" i="7"/>
  <c r="K153" i="7"/>
  <c r="K192" i="7"/>
  <c r="M246" i="7"/>
  <c r="K72" i="8"/>
  <c r="C72" i="8"/>
  <c r="C76" i="8" s="1"/>
  <c r="J72" i="8"/>
  <c r="J76" i="8" s="1"/>
  <c r="J78" i="8" s="1"/>
  <c r="H72" i="8"/>
  <c r="H76" i="8" s="1"/>
  <c r="H78" i="8" s="1"/>
  <c r="W86" i="8"/>
  <c r="G72" i="8"/>
  <c r="F72" i="8"/>
  <c r="F76" i="8" s="1"/>
  <c r="F78" i="8" s="1"/>
  <c r="Q191" i="22"/>
  <c r="S191" i="22" s="1"/>
  <c r="C261" i="22"/>
  <c r="H18" i="5"/>
  <c r="D20" i="5"/>
  <c r="H23" i="5"/>
  <c r="M41" i="7"/>
  <c r="L41" i="7"/>
  <c r="M48" i="7"/>
  <c r="L48" i="7"/>
  <c r="L154" i="7"/>
  <c r="K154" i="7"/>
  <c r="M195" i="7"/>
  <c r="L195" i="7"/>
  <c r="N72" i="8"/>
  <c r="M39" i="9"/>
  <c r="O74" i="9"/>
  <c r="E58" i="4"/>
  <c r="E72" i="4"/>
  <c r="E76" i="4" s="1"/>
  <c r="F76" i="4" s="1"/>
  <c r="G76" i="4" s="1"/>
  <c r="G27" i="5"/>
  <c r="L16" i="7"/>
  <c r="K16" i="7"/>
  <c r="L24" i="7"/>
  <c r="K24" i="7"/>
  <c r="K48" i="7"/>
  <c r="M62" i="7"/>
  <c r="L62" i="7"/>
  <c r="M68" i="7"/>
  <c r="L68" i="7"/>
  <c r="L92" i="7"/>
  <c r="K92" i="7"/>
  <c r="M149" i="7"/>
  <c r="L149" i="7"/>
  <c r="L173" i="7"/>
  <c r="L248" i="7"/>
  <c r="K248" i="7"/>
  <c r="D72" i="8"/>
  <c r="H95" i="12"/>
  <c r="F126" i="12" s="1"/>
  <c r="M43" i="7"/>
  <c r="L43" i="7"/>
  <c r="M166" i="7"/>
  <c r="L166" i="7"/>
  <c r="M196" i="7"/>
  <c r="L196" i="7"/>
  <c r="C47" i="10"/>
  <c r="T53" i="16"/>
  <c r="U53" i="16" s="1"/>
  <c r="R57" i="16"/>
  <c r="M57" i="16"/>
  <c r="I16" i="5"/>
  <c r="G26" i="5" s="1"/>
  <c r="G20" i="5"/>
  <c r="L17" i="7"/>
  <c r="K17" i="7"/>
  <c r="M17" i="7" s="1"/>
  <c r="J25" i="7"/>
  <c r="K43" i="7"/>
  <c r="L49" i="7"/>
  <c r="M63" i="7"/>
  <c r="L63" i="7"/>
  <c r="M69" i="7"/>
  <c r="L69" i="7"/>
  <c r="L88" i="7"/>
  <c r="K88" i="7"/>
  <c r="L94" i="7"/>
  <c r="K94" i="7"/>
  <c r="K131" i="7"/>
  <c r="M150" i="7"/>
  <c r="L150" i="7"/>
  <c r="K166" i="7"/>
  <c r="K196" i="7"/>
  <c r="L249" i="7"/>
  <c r="K249" i="7"/>
  <c r="U40" i="8"/>
  <c r="I72" i="8"/>
  <c r="T59" i="9"/>
  <c r="V59" i="9" s="1"/>
  <c r="X59" i="9" s="1"/>
  <c r="L72" i="8"/>
  <c r="E61" i="9"/>
  <c r="K61" i="9" s="1"/>
  <c r="M61" i="9" s="1"/>
  <c r="O61" i="9" s="1"/>
  <c r="E65" i="1" s="1"/>
  <c r="M53" i="7"/>
  <c r="M81" i="7"/>
  <c r="J103" i="7"/>
  <c r="M145" i="7"/>
  <c r="M191" i="7"/>
  <c r="J254" i="7"/>
  <c r="K252" i="7" s="1"/>
  <c r="G15" i="11"/>
  <c r="D54" i="11"/>
  <c r="G83" i="12"/>
  <c r="G87" i="12"/>
  <c r="H87" i="12" s="1"/>
  <c r="F118" i="12" s="1"/>
  <c r="M24" i="16"/>
  <c r="R24" i="16"/>
  <c r="K8" i="7"/>
  <c r="J258" i="7"/>
  <c r="V68" i="9"/>
  <c r="X68" i="9" s="1"/>
  <c r="G89" i="12"/>
  <c r="H89" i="12" s="1"/>
  <c r="F120" i="12" s="1"/>
  <c r="G81" i="12"/>
  <c r="H81" i="12" s="1"/>
  <c r="F112" i="12" s="1"/>
  <c r="G73" i="12"/>
  <c r="H73" i="12" s="1"/>
  <c r="G94" i="12"/>
  <c r="H94" i="12" s="1"/>
  <c r="F125" i="12" s="1"/>
  <c r="G86" i="12"/>
  <c r="H86" i="12" s="1"/>
  <c r="F117" i="12" s="1"/>
  <c r="H117" i="12" s="1"/>
  <c r="G78" i="12"/>
  <c r="H78" i="12" s="1"/>
  <c r="F109" i="12" s="1"/>
  <c r="G88" i="12"/>
  <c r="H88" i="12" s="1"/>
  <c r="F119" i="12" s="1"/>
  <c r="G80" i="12"/>
  <c r="H80" i="12" s="1"/>
  <c r="F111" i="12" s="1"/>
  <c r="G93" i="12"/>
  <c r="G85" i="12"/>
  <c r="H85" i="12" s="1"/>
  <c r="F116" i="12" s="1"/>
  <c r="G77" i="12"/>
  <c r="H77" i="12" s="1"/>
  <c r="F108" i="12" s="1"/>
  <c r="G90" i="12"/>
  <c r="H90" i="12" s="1"/>
  <c r="F121" i="12" s="1"/>
  <c r="G82" i="12"/>
  <c r="H82" i="12" s="1"/>
  <c r="F113" i="12" s="1"/>
  <c r="G74" i="12"/>
  <c r="H74" i="12" s="1"/>
  <c r="F105" i="12" s="1"/>
  <c r="G50" i="12"/>
  <c r="H50" i="12" s="1"/>
  <c r="G112" i="12" s="1"/>
  <c r="G63" i="12"/>
  <c r="H63" i="12" s="1"/>
  <c r="G125" i="12" s="1"/>
  <c r="G75" i="12"/>
  <c r="G79" i="12"/>
  <c r="H79" i="12" s="1"/>
  <c r="F110" i="12" s="1"/>
  <c r="T42" i="16"/>
  <c r="U42" i="16" s="1"/>
  <c r="V42" i="16" s="1"/>
  <c r="W42" i="16" s="1"/>
  <c r="C60" i="20"/>
  <c r="E67" i="9"/>
  <c r="K67" i="9" s="1"/>
  <c r="M67" i="9" s="1"/>
  <c r="O67" i="9" s="1"/>
  <c r="K93" i="9"/>
  <c r="G46" i="12"/>
  <c r="H46" i="12" s="1"/>
  <c r="G108" i="12" s="1"/>
  <c r="G92" i="12"/>
  <c r="H92" i="12" s="1"/>
  <c r="F123" i="12" s="1"/>
  <c r="G21" i="13"/>
  <c r="G35" i="13" s="1"/>
  <c r="G31" i="13"/>
  <c r="I33" i="13"/>
  <c r="U21" i="16"/>
  <c r="V21" i="16" s="1"/>
  <c r="W21" i="16" s="1"/>
  <c r="T51" i="16"/>
  <c r="U51" i="16" s="1"/>
  <c r="V51" i="16" s="1"/>
  <c r="W51" i="16" s="1"/>
  <c r="O61" i="22"/>
  <c r="AG67" i="9"/>
  <c r="G35" i="10"/>
  <c r="E50" i="10" s="1"/>
  <c r="T18" i="16"/>
  <c r="U18" i="16" s="1"/>
  <c r="T32" i="17"/>
  <c r="T33" i="17" s="1"/>
  <c r="T17" i="17"/>
  <c r="T19" i="17" s="1"/>
  <c r="T26" i="17"/>
  <c r="T27" i="17" s="1"/>
  <c r="Q32" i="17"/>
  <c r="Q33" i="17" s="1"/>
  <c r="Q26" i="17"/>
  <c r="Q27" i="17" s="1"/>
  <c r="Q17" i="17"/>
  <c r="Q19" i="17" s="1"/>
  <c r="E34" i="19"/>
  <c r="F26" i="19"/>
  <c r="S117" i="22"/>
  <c r="AA96" i="22" s="1"/>
  <c r="J9" i="7"/>
  <c r="J178" i="7"/>
  <c r="K177" i="7" s="1"/>
  <c r="E69" i="9"/>
  <c r="K69" i="9" s="1"/>
  <c r="M69" i="9" s="1"/>
  <c r="O69" i="9" s="1"/>
  <c r="AC106" i="9"/>
  <c r="AE106" i="9" s="1"/>
  <c r="J34" i="12"/>
  <c r="E105" i="12"/>
  <c r="G76" i="12"/>
  <c r="H76" i="12" s="1"/>
  <c r="F107" i="12" s="1"/>
  <c r="G76" i="13"/>
  <c r="G78" i="13" s="1"/>
  <c r="G80" i="13" s="1"/>
  <c r="E95" i="1" s="1"/>
  <c r="Y32" i="17"/>
  <c r="Y33" i="17" s="1"/>
  <c r="Y29" i="17" s="1"/>
  <c r="AC29" i="17" s="1"/>
  <c r="E154" i="1" s="1"/>
  <c r="Y17" i="17"/>
  <c r="Y19" i="17" s="1"/>
  <c r="T63" i="9"/>
  <c r="V63" i="9" s="1"/>
  <c r="X63" i="9" s="1"/>
  <c r="G60" i="12"/>
  <c r="G52" i="12"/>
  <c r="G44" i="12"/>
  <c r="G57" i="12"/>
  <c r="H57" i="12" s="1"/>
  <c r="G119" i="12" s="1"/>
  <c r="G49" i="12"/>
  <c r="H49" i="12" s="1"/>
  <c r="G111" i="12" s="1"/>
  <c r="G59" i="12"/>
  <c r="H59" i="12" s="1"/>
  <c r="G121" i="12" s="1"/>
  <c r="G51" i="12"/>
  <c r="H51" i="12" s="1"/>
  <c r="G113" i="12" s="1"/>
  <c r="G43" i="12"/>
  <c r="H43" i="12" s="1"/>
  <c r="G105" i="12" s="1"/>
  <c r="G64" i="12"/>
  <c r="H64" i="12" s="1"/>
  <c r="G126" i="12" s="1"/>
  <c r="G56" i="12"/>
  <c r="H56" i="12" s="1"/>
  <c r="G118" i="12" s="1"/>
  <c r="G48" i="12"/>
  <c r="H48" i="12" s="1"/>
  <c r="G110" i="12" s="1"/>
  <c r="G61" i="12"/>
  <c r="H61" i="12" s="1"/>
  <c r="G123" i="12" s="1"/>
  <c r="G53" i="12"/>
  <c r="H53" i="12" s="1"/>
  <c r="G115" i="12" s="1"/>
  <c r="G45" i="12"/>
  <c r="H45" i="12" s="1"/>
  <c r="G107" i="12" s="1"/>
  <c r="F19" i="10"/>
  <c r="G19" i="10" s="1"/>
  <c r="D47" i="10" s="1"/>
  <c r="F31" i="10"/>
  <c r="G31" i="10" s="1"/>
  <c r="F25" i="11"/>
  <c r="G25" i="11" s="1"/>
  <c r="F57" i="11" s="1"/>
  <c r="F37" i="11"/>
  <c r="G37" i="11" s="1"/>
  <c r="M45" i="16"/>
  <c r="R45" i="16"/>
  <c r="Q63" i="16"/>
  <c r="O63" i="16"/>
  <c r="P63" i="16" s="1"/>
  <c r="T73" i="16"/>
  <c r="U73" i="16" s="1"/>
  <c r="V73" i="16" s="1"/>
  <c r="W73" i="16" s="1"/>
  <c r="M124" i="22"/>
  <c r="K124" i="22"/>
  <c r="E245" i="22"/>
  <c r="F22" i="10"/>
  <c r="G22" i="10" s="1"/>
  <c r="D50" i="10" s="1"/>
  <c r="F34" i="10"/>
  <c r="G34" i="10" s="1"/>
  <c r="E49" i="10" s="1"/>
  <c r="F28" i="11"/>
  <c r="G28" i="11" s="1"/>
  <c r="F60" i="11" s="1"/>
  <c r="F40" i="11"/>
  <c r="G40" i="11" s="1"/>
  <c r="E57" i="11" s="1"/>
  <c r="W46" i="16"/>
  <c r="AC9" i="17"/>
  <c r="AC13" i="17" s="1"/>
  <c r="W105" i="22"/>
  <c r="S105" i="22"/>
  <c r="F23" i="11"/>
  <c r="G23" i="11" s="1"/>
  <c r="F55" i="11" s="1"/>
  <c r="F43" i="11"/>
  <c r="G43" i="11" s="1"/>
  <c r="E60" i="11" s="1"/>
  <c r="I68" i="13"/>
  <c r="U12" i="16"/>
  <c r="V12" i="16" s="1"/>
  <c r="W12" i="16" s="1"/>
  <c r="U19" i="16"/>
  <c r="V19" i="16" s="1"/>
  <c r="W19" i="16" s="1"/>
  <c r="U28" i="16"/>
  <c r="V28" i="16" s="1"/>
  <c r="W28" i="16" s="1"/>
  <c r="U36" i="16"/>
  <c r="V36" i="16" s="1"/>
  <c r="W36" i="16" s="1"/>
  <c r="U38" i="16"/>
  <c r="V38" i="16" s="1"/>
  <c r="W38" i="16" s="1"/>
  <c r="U49" i="16"/>
  <c r="V49" i="16" s="1"/>
  <c r="W49" i="16" s="1"/>
  <c r="Q61" i="16"/>
  <c r="V61" i="16" s="1"/>
  <c r="W61" i="16" s="1"/>
  <c r="O61" i="16"/>
  <c r="P61" i="16" s="1"/>
  <c r="U63" i="16"/>
  <c r="T63" i="16"/>
  <c r="V78" i="16"/>
  <c r="W78" i="16" s="1"/>
  <c r="M185" i="22"/>
  <c r="R23" i="16"/>
  <c r="M23" i="16"/>
  <c r="R33" i="16"/>
  <c r="M33" i="16"/>
  <c r="U44" i="16"/>
  <c r="V44" i="16" s="1"/>
  <c r="W44" i="16" s="1"/>
  <c r="T44" i="16"/>
  <c r="T72" i="16"/>
  <c r="U72" i="16" s="1"/>
  <c r="V72" i="16" s="1"/>
  <c r="W72" i="16" s="1"/>
  <c r="F23" i="10"/>
  <c r="G23" i="10" s="1"/>
  <c r="D51" i="10" s="1"/>
  <c r="F29" i="11"/>
  <c r="G29" i="11" s="1"/>
  <c r="F61" i="11" s="1"/>
  <c r="G61" i="11" s="1"/>
  <c r="F41" i="11"/>
  <c r="G41" i="11" s="1"/>
  <c r="E58" i="11" s="1"/>
  <c r="G18" i="15"/>
  <c r="Q11" i="16"/>
  <c r="O11" i="16"/>
  <c r="U48" i="16"/>
  <c r="V48" i="16" s="1"/>
  <c r="W48" i="16" s="1"/>
  <c r="Q53" i="16"/>
  <c r="O53" i="16"/>
  <c r="P53" i="16" s="1"/>
  <c r="Q75" i="16"/>
  <c r="V75" i="16" s="1"/>
  <c r="W75" i="16" s="1"/>
  <c r="O75" i="16"/>
  <c r="P75" i="16" s="1"/>
  <c r="U77" i="16"/>
  <c r="V77" i="16" s="1"/>
  <c r="W77" i="16" s="1"/>
  <c r="R26" i="17"/>
  <c r="R27" i="17" s="1"/>
  <c r="R32" i="17"/>
  <c r="R33" i="17" s="1"/>
  <c r="R17" i="17"/>
  <c r="R19" i="17" s="1"/>
  <c r="K26" i="17"/>
  <c r="K17" i="17"/>
  <c r="K19" i="17" s="1"/>
  <c r="U15" i="16"/>
  <c r="V15" i="16" s="1"/>
  <c r="W15" i="16" s="1"/>
  <c r="Q18" i="16"/>
  <c r="O18" i="16"/>
  <c r="P18" i="16" s="1"/>
  <c r="U67" i="16"/>
  <c r="V67" i="16" s="1"/>
  <c r="W67" i="16" s="1"/>
  <c r="S32" i="17"/>
  <c r="S33" i="17" s="1"/>
  <c r="S26" i="17"/>
  <c r="S27" i="17" s="1"/>
  <c r="C49" i="20"/>
  <c r="Q61" i="22"/>
  <c r="S32" i="22"/>
  <c r="U157" i="22"/>
  <c r="U185" i="22" s="1"/>
  <c r="O185" i="22"/>
  <c r="W209" i="22"/>
  <c r="Y199" i="22"/>
  <c r="Q16" i="16"/>
  <c r="V16" i="16" s="1"/>
  <c r="W16" i="16" s="1"/>
  <c r="K80" i="16"/>
  <c r="K84" i="16" s="1"/>
  <c r="J32" i="17"/>
  <c r="J33" i="17" s="1"/>
  <c r="M33" i="17" s="1"/>
  <c r="F48" i="19"/>
  <c r="Q71" i="22"/>
  <c r="S71" i="22" s="1"/>
  <c r="U71" i="22" s="1"/>
  <c r="R58" i="16"/>
  <c r="D17" i="17"/>
  <c r="D19" i="17" s="1"/>
  <c r="F19" i="17" s="1"/>
  <c r="C26" i="17"/>
  <c r="C27" i="17" s="1"/>
  <c r="F27" i="17" s="1"/>
  <c r="F31" i="19"/>
  <c r="F49" i="19"/>
  <c r="J17" i="20"/>
  <c r="Q74" i="22"/>
  <c r="S74" i="22" s="1"/>
  <c r="U74" i="22" s="1"/>
  <c r="W224" i="22"/>
  <c r="Y214" i="22"/>
  <c r="J70" i="19"/>
  <c r="F32" i="19"/>
  <c r="F9" i="19"/>
  <c r="F10" i="19" s="1"/>
  <c r="C84" i="19" s="1"/>
  <c r="E135" i="22"/>
  <c r="C125" i="22"/>
  <c r="S185" i="22"/>
  <c r="AA222" i="22"/>
  <c r="AC222" i="22" s="1"/>
  <c r="J17" i="17"/>
  <c r="J19" i="17" s="1"/>
  <c r="F27" i="19"/>
  <c r="G25" i="22"/>
  <c r="I6" i="22"/>
  <c r="Q82" i="22"/>
  <c r="S82" i="22" s="1"/>
  <c r="U82" i="22" s="1"/>
  <c r="W106" i="22"/>
  <c r="S106" i="22"/>
  <c r="E134" i="22"/>
  <c r="AC35" i="17"/>
  <c r="E155" i="1" s="1"/>
  <c r="F33" i="19"/>
  <c r="K117" i="22"/>
  <c r="L17" i="17"/>
  <c r="L19" i="17" s="1"/>
  <c r="E51" i="19"/>
  <c r="M10" i="21"/>
  <c r="S10" i="21" s="1"/>
  <c r="U10" i="21" s="1"/>
  <c r="AI16" i="21"/>
  <c r="AK16" i="21" s="1"/>
  <c r="AM16" i="21" s="1"/>
  <c r="C30" i="21" s="1"/>
  <c r="E163" i="1" s="1"/>
  <c r="U22" i="21"/>
  <c r="Y22" i="21" s="1"/>
  <c r="AA22" i="21" s="1"/>
  <c r="C33" i="21" s="1"/>
  <c r="C31" i="21" s="1"/>
  <c r="Q87" i="22"/>
  <c r="S87" i="22" s="1"/>
  <c r="U87" i="22" s="1"/>
  <c r="Q76" i="22"/>
  <c r="S76" i="22" s="1"/>
  <c r="U76" i="22" s="1"/>
  <c r="Q83" i="22"/>
  <c r="S83" i="22" s="1"/>
  <c r="U83" i="22" s="1"/>
  <c r="Q72" i="22"/>
  <c r="S72" i="22" s="1"/>
  <c r="U72" i="22" s="1"/>
  <c r="Q78" i="22"/>
  <c r="S78" i="22" s="1"/>
  <c r="U78" i="22" s="1"/>
  <c r="Q68" i="22"/>
  <c r="Q85" i="22"/>
  <c r="S85" i="22" s="1"/>
  <c r="U85" i="22" s="1"/>
  <c r="Q75" i="22"/>
  <c r="S75" i="22" s="1"/>
  <c r="U75" i="22" s="1"/>
  <c r="Q84" i="22"/>
  <c r="S84" i="22" s="1"/>
  <c r="U84" i="22" s="1"/>
  <c r="W96" i="22"/>
  <c r="W117" i="22" s="1"/>
  <c r="AA97" i="22" s="1"/>
  <c r="L28" i="20"/>
  <c r="L13" i="20"/>
  <c r="L17" i="20" s="1"/>
  <c r="D22" i="20" s="1"/>
  <c r="K157" i="22"/>
  <c r="K185" i="22" s="1"/>
  <c r="G189" i="22" s="1"/>
  <c r="D127" i="3" l="1"/>
  <c r="D132" i="3" s="1"/>
  <c r="H109" i="12"/>
  <c r="C132" i="3"/>
  <c r="H108" i="12"/>
  <c r="AG107" i="9"/>
  <c r="AG60" i="9"/>
  <c r="K86" i="16"/>
  <c r="K87" i="16" s="1"/>
  <c r="K90" i="16" s="1"/>
  <c r="H115" i="12"/>
  <c r="C47" i="20"/>
  <c r="C227" i="3"/>
  <c r="C256" i="3" s="1"/>
  <c r="E181" i="1" s="1"/>
  <c r="H119" i="12"/>
  <c r="E78" i="1"/>
  <c r="AG61" i="9"/>
  <c r="D19" i="20"/>
  <c r="C45" i="20" s="1"/>
  <c r="AG62" i="9"/>
  <c r="H110" i="12"/>
  <c r="AG69" i="9"/>
  <c r="AG66" i="9"/>
  <c r="G59" i="11"/>
  <c r="F48" i="10"/>
  <c r="D50" i="2"/>
  <c r="D57" i="2" s="1"/>
  <c r="E54" i="1"/>
  <c r="AG58" i="9"/>
  <c r="H113" i="12"/>
  <c r="AG57" i="9"/>
  <c r="E71" i="1"/>
  <c r="H112" i="12"/>
  <c r="AG71" i="9"/>
  <c r="H118" i="12"/>
  <c r="AG106" i="9"/>
  <c r="G55" i="11"/>
  <c r="E62" i="1"/>
  <c r="G58" i="11"/>
  <c r="G57" i="11"/>
  <c r="H116" i="12"/>
  <c r="G60" i="11"/>
  <c r="H121" i="12"/>
  <c r="H125" i="12"/>
  <c r="E70" i="1"/>
  <c r="E37" i="1"/>
  <c r="F49" i="10"/>
  <c r="E162" i="1"/>
  <c r="C36" i="21"/>
  <c r="E38" i="1"/>
  <c r="F50" i="10"/>
  <c r="F51" i="10"/>
  <c r="E46" i="1"/>
  <c r="E54" i="11"/>
  <c r="G45" i="11"/>
  <c r="E152" i="1"/>
  <c r="H123" i="12"/>
  <c r="E46" i="10"/>
  <c r="G37" i="10"/>
  <c r="H107" i="12"/>
  <c r="H111" i="12"/>
  <c r="AG63" i="9"/>
  <c r="E79" i="1"/>
  <c r="G104" i="12"/>
  <c r="H65" i="12"/>
  <c r="AG68" i="9"/>
  <c r="E55" i="1"/>
  <c r="L25" i="7"/>
  <c r="K25" i="7"/>
  <c r="M25" i="7"/>
  <c r="AA214" i="22"/>
  <c r="Y224" i="22"/>
  <c r="C247" i="22" s="1"/>
  <c r="E247" i="22" s="1"/>
  <c r="E146" i="1" s="1"/>
  <c r="T58" i="16"/>
  <c r="U58" i="16" s="1"/>
  <c r="V58" i="16" s="1"/>
  <c r="W58" i="16" s="1"/>
  <c r="P11" i="16"/>
  <c r="C407" i="6"/>
  <c r="M125" i="22"/>
  <c r="Q124" i="22" s="1"/>
  <c r="K125" i="22"/>
  <c r="W157" i="22" s="1"/>
  <c r="G190" i="22"/>
  <c r="G191" i="22"/>
  <c r="I191" i="22" s="1"/>
  <c r="K191" i="22" s="1"/>
  <c r="V11" i="16"/>
  <c r="W11" i="16" s="1"/>
  <c r="S37" i="21"/>
  <c r="F104" i="12"/>
  <c r="H96" i="12"/>
  <c r="F47" i="10"/>
  <c r="E40" i="1"/>
  <c r="H28" i="5"/>
  <c r="D22" i="5"/>
  <c r="K172" i="7"/>
  <c r="E22" i="5"/>
  <c r="K241" i="6" s="1"/>
  <c r="K243" i="6" s="1"/>
  <c r="C78" i="8"/>
  <c r="N78" i="8" s="1"/>
  <c r="N76" i="8"/>
  <c r="C252" i="22"/>
  <c r="AC96" i="22"/>
  <c r="AE96" i="22" s="1"/>
  <c r="E40" i="5"/>
  <c r="F40" i="5" s="1"/>
  <c r="G40" i="5" s="1"/>
  <c r="L257" i="7"/>
  <c r="K257" i="7"/>
  <c r="L256" i="7"/>
  <c r="K256" i="7"/>
  <c r="F51" i="19"/>
  <c r="C85" i="19" s="1"/>
  <c r="U32" i="22"/>
  <c r="S61" i="22"/>
  <c r="C241" i="22" s="1"/>
  <c r="E241" i="22" s="1"/>
  <c r="V18" i="16"/>
  <c r="W18" i="16" s="1"/>
  <c r="E94" i="1"/>
  <c r="U19" i="17"/>
  <c r="E32" i="1"/>
  <c r="G24" i="10"/>
  <c r="H22" i="5"/>
  <c r="K384" i="6" s="1"/>
  <c r="K393" i="6" s="1"/>
  <c r="K253" i="7"/>
  <c r="F27" i="5"/>
  <c r="H19" i="5"/>
  <c r="L172" i="7"/>
  <c r="C251" i="3"/>
  <c r="C240" i="3"/>
  <c r="C238" i="3" s="1"/>
  <c r="C70" i="3"/>
  <c r="C253" i="22"/>
  <c r="AC97" i="22"/>
  <c r="AE97" i="22" s="1"/>
  <c r="M241" i="6"/>
  <c r="M243" i="6" s="1"/>
  <c r="F34" i="19"/>
  <c r="C86" i="19" s="1"/>
  <c r="E42" i="1"/>
  <c r="S68" i="22"/>
  <c r="U68" i="22" s="1"/>
  <c r="Q89" i="22"/>
  <c r="S89" i="22" s="1"/>
  <c r="U89" i="22" s="1"/>
  <c r="E138" i="1" s="1"/>
  <c r="C133" i="22"/>
  <c r="C134" i="22" s="1"/>
  <c r="C135" i="22"/>
  <c r="Q33" i="16"/>
  <c r="V33" i="16" s="1"/>
  <c r="O33" i="16"/>
  <c r="P33" i="16" s="1"/>
  <c r="V63" i="16"/>
  <c r="W63" i="16" s="1"/>
  <c r="AE108" i="9"/>
  <c r="E58" i="1"/>
  <c r="U27" i="17"/>
  <c r="H120" i="12"/>
  <c r="T24" i="16"/>
  <c r="U24" i="16" s="1"/>
  <c r="AG59" i="9"/>
  <c r="E63" i="1"/>
  <c r="F26" i="5"/>
  <c r="D24" i="5"/>
  <c r="M53" i="6" s="1"/>
  <c r="M55" i="6" s="1"/>
  <c r="F20" i="5"/>
  <c r="E65" i="5" s="1"/>
  <c r="F65" i="5" s="1"/>
  <c r="G65" i="5" s="1"/>
  <c r="D19" i="5"/>
  <c r="F28" i="5"/>
  <c r="F23" i="5"/>
  <c r="F18" i="5"/>
  <c r="K280" i="6" s="1"/>
  <c r="K287" i="6" s="1"/>
  <c r="G23" i="5"/>
  <c r="G19" i="5"/>
  <c r="F19" i="5"/>
  <c r="L280" i="6" s="1"/>
  <c r="L287" i="6" s="1"/>
  <c r="D23" i="5"/>
  <c r="E28" i="5"/>
  <c r="H26" i="5"/>
  <c r="G18" i="5"/>
  <c r="K62" i="6" s="1"/>
  <c r="K64" i="6" s="1"/>
  <c r="E26" i="1" s="1"/>
  <c r="G28" i="5"/>
  <c r="G24" i="5"/>
  <c r="E63" i="5" s="1"/>
  <c r="D18" i="5"/>
  <c r="F24" i="5"/>
  <c r="H20" i="5"/>
  <c r="D28" i="5"/>
  <c r="H126" i="12"/>
  <c r="E45" i="1"/>
  <c r="D26" i="5"/>
  <c r="E19" i="5"/>
  <c r="E114" i="1"/>
  <c r="C48" i="20"/>
  <c r="C38" i="20"/>
  <c r="C36" i="20" s="1"/>
  <c r="AA199" i="22"/>
  <c r="Y209" i="22"/>
  <c r="C243" i="22" s="1"/>
  <c r="E243" i="22" s="1"/>
  <c r="E145" i="1" s="1"/>
  <c r="V53" i="16"/>
  <c r="W53" i="16" s="1"/>
  <c r="U23" i="16"/>
  <c r="T23" i="16"/>
  <c r="H105" i="12"/>
  <c r="I189" i="22"/>
  <c r="K189" i="22" s="1"/>
  <c r="C258" i="22"/>
  <c r="U33" i="16"/>
  <c r="T33" i="16"/>
  <c r="K70" i="19"/>
  <c r="C87" i="19" s="1"/>
  <c r="T45" i="16"/>
  <c r="U45" i="16" s="1"/>
  <c r="F54" i="11"/>
  <c r="E34" i="1" s="1"/>
  <c r="G30" i="11"/>
  <c r="E53" i="1"/>
  <c r="O24" i="16"/>
  <c r="P24" i="16" s="1"/>
  <c r="Q24" i="16"/>
  <c r="M253" i="7"/>
  <c r="L253" i="7"/>
  <c r="M252" i="7"/>
  <c r="L252" i="7"/>
  <c r="E64" i="1"/>
  <c r="Q57" i="16"/>
  <c r="O57" i="16"/>
  <c r="C223" i="3"/>
  <c r="I25" i="22"/>
  <c r="C240" i="22" s="1"/>
  <c r="K6" i="22"/>
  <c r="Q23" i="16"/>
  <c r="V23" i="16" s="1"/>
  <c r="W23" i="16" s="1"/>
  <c r="O23" i="16"/>
  <c r="P23" i="16" s="1"/>
  <c r="AC32" i="17"/>
  <c r="AC33" i="17" s="1"/>
  <c r="AC17" i="17"/>
  <c r="AC19" i="17" s="1"/>
  <c r="AC26" i="17"/>
  <c r="AC27" i="17" s="1"/>
  <c r="W158" i="22"/>
  <c r="O124" i="22"/>
  <c r="O45" i="16"/>
  <c r="P45" i="16" s="1"/>
  <c r="Q45" i="16"/>
  <c r="E41" i="1"/>
  <c r="M177" i="7"/>
  <c r="L177" i="7"/>
  <c r="M176" i="7"/>
  <c r="L176" i="7"/>
  <c r="T57" i="16"/>
  <c r="U57" i="16" s="1"/>
  <c r="K173" i="7"/>
  <c r="G22" i="5"/>
  <c r="F22" i="5"/>
  <c r="K246" i="7"/>
  <c r="K245" i="7"/>
  <c r="K176" i="7"/>
  <c r="E27" i="5"/>
  <c r="L28" i="7"/>
  <c r="K28" i="7"/>
  <c r="M28" i="7"/>
  <c r="M256" i="7"/>
  <c r="C248" i="3"/>
  <c r="E174" i="1"/>
  <c r="C35" i="20" l="1"/>
  <c r="C46" i="20"/>
  <c r="E68" i="1"/>
  <c r="C83" i="19"/>
  <c r="G54" i="11"/>
  <c r="G62" i="11" s="1"/>
  <c r="M57" i="6"/>
  <c r="E16" i="1" s="1"/>
  <c r="F63" i="5"/>
  <c r="D451" i="6"/>
  <c r="K245" i="6"/>
  <c r="K293" i="6" s="1"/>
  <c r="E22" i="1" s="1"/>
  <c r="D453" i="6"/>
  <c r="K395" i="6"/>
  <c r="E18" i="1" s="1"/>
  <c r="D409" i="6"/>
  <c r="E409" i="6" s="1"/>
  <c r="F409" i="6" s="1"/>
  <c r="G409" i="6" s="1"/>
  <c r="C257" i="22"/>
  <c r="U124" i="22"/>
  <c r="Y124" i="22" s="1"/>
  <c r="C251" i="22"/>
  <c r="S124" i="22"/>
  <c r="W124" i="22" s="1"/>
  <c r="M62" i="6"/>
  <c r="M64" i="6" s="1"/>
  <c r="E28" i="1" s="1"/>
  <c r="D452" i="6"/>
  <c r="D407" i="6"/>
  <c r="E407" i="6" s="1"/>
  <c r="F407" i="6" s="1"/>
  <c r="G407" i="6" s="1"/>
  <c r="K289" i="6"/>
  <c r="Q80" i="16"/>
  <c r="P57" i="16"/>
  <c r="U84" i="16"/>
  <c r="U86" i="16" s="1"/>
  <c r="U88" i="16" s="1"/>
  <c r="M245" i="6"/>
  <c r="D437" i="6"/>
  <c r="E437" i="6" s="1"/>
  <c r="G437" i="6" s="1"/>
  <c r="E451" i="6" s="1"/>
  <c r="P80" i="16"/>
  <c r="U102" i="16" s="1"/>
  <c r="U104" i="16" s="1"/>
  <c r="E157" i="1" s="1"/>
  <c r="V57" i="16"/>
  <c r="W57" i="16" s="1"/>
  <c r="E54" i="5"/>
  <c r="F54" i="5" s="1"/>
  <c r="G54" i="5" s="1"/>
  <c r="L384" i="6"/>
  <c r="L393" i="6" s="1"/>
  <c r="O84" i="16"/>
  <c r="O86" i="16" s="1"/>
  <c r="C250" i="3"/>
  <c r="E176" i="1"/>
  <c r="E91" i="1"/>
  <c r="C255" i="3"/>
  <c r="C231" i="3"/>
  <c r="O80" i="16"/>
  <c r="E76" i="1"/>
  <c r="V24" i="16"/>
  <c r="W24" i="16" s="1"/>
  <c r="E43" i="1"/>
  <c r="W33" i="16"/>
  <c r="E52" i="1"/>
  <c r="T80" i="16"/>
  <c r="U90" i="16" s="1"/>
  <c r="U92" i="16" s="1"/>
  <c r="L53" i="6"/>
  <c r="L55" i="6" s="1"/>
  <c r="E50" i="5"/>
  <c r="E93" i="1"/>
  <c r="E192" i="1" s="1"/>
  <c r="E83" i="1"/>
  <c r="E39" i="1"/>
  <c r="I190" i="22"/>
  <c r="K190" i="22" s="1"/>
  <c r="G192" i="22"/>
  <c r="C239" i="22"/>
  <c r="E239" i="22" s="1"/>
  <c r="E240" i="22"/>
  <c r="AC199" i="22"/>
  <c r="AC209" i="22" s="1"/>
  <c r="AA209" i="22"/>
  <c r="W32" i="22"/>
  <c r="W61" i="22" s="1"/>
  <c r="U61" i="22"/>
  <c r="C59" i="20"/>
  <c r="C52" i="20"/>
  <c r="E60" i="1"/>
  <c r="M384" i="6"/>
  <c r="M393" i="6" s="1"/>
  <c r="E67" i="5"/>
  <c r="F67" i="5" s="1"/>
  <c r="G67" i="5" s="1"/>
  <c r="M280" i="6"/>
  <c r="M287" i="6" s="1"/>
  <c r="W159" i="22"/>
  <c r="E160" i="1"/>
  <c r="E173" i="1"/>
  <c r="E56" i="1"/>
  <c r="E38" i="5"/>
  <c r="F38" i="5" s="1"/>
  <c r="G38" i="5" s="1"/>
  <c r="V45" i="16"/>
  <c r="W45" i="16" s="1"/>
  <c r="K92" i="16"/>
  <c r="D426" i="6"/>
  <c r="E426" i="6" s="1"/>
  <c r="G426" i="6" s="1"/>
  <c r="F452" i="6" s="1"/>
  <c r="L289" i="6"/>
  <c r="R87" i="8"/>
  <c r="E29" i="1"/>
  <c r="K25" i="22"/>
  <c r="M6" i="22"/>
  <c r="M25" i="22" s="1"/>
  <c r="E143" i="1"/>
  <c r="L241" i="6"/>
  <c r="L243" i="6" s="1"/>
  <c r="E52" i="5"/>
  <c r="F52" i="5" s="1"/>
  <c r="G52" i="5" s="1"/>
  <c r="E36" i="5"/>
  <c r="K53" i="6"/>
  <c r="K55" i="6" s="1"/>
  <c r="L62" i="6"/>
  <c r="L64" i="6" s="1"/>
  <c r="E27" i="1" s="1"/>
  <c r="E171" i="1"/>
  <c r="F127" i="12"/>
  <c r="H104" i="12"/>
  <c r="H127" i="12" s="1"/>
  <c r="AC214" i="22"/>
  <c r="AC224" i="22" s="1"/>
  <c r="AA224" i="22"/>
  <c r="E33" i="1"/>
  <c r="F46" i="10"/>
  <c r="F52" i="10" s="1"/>
  <c r="E35" i="1"/>
  <c r="O90" i="16" l="1"/>
  <c r="O92" i="16" s="1"/>
  <c r="C235" i="22"/>
  <c r="E235" i="22" s="1"/>
  <c r="D405" i="6"/>
  <c r="K57" i="6"/>
  <c r="E14" i="1" s="1"/>
  <c r="E56" i="5"/>
  <c r="F50" i="5"/>
  <c r="E89" i="1"/>
  <c r="M289" i="6"/>
  <c r="M293" i="6" s="1"/>
  <c r="E24" i="1" s="1"/>
  <c r="D438" i="6"/>
  <c r="E438" i="6" s="1"/>
  <c r="G438" i="6" s="1"/>
  <c r="E452" i="6" s="1"/>
  <c r="G452" i="6" s="1"/>
  <c r="I192" i="22"/>
  <c r="K192" i="22" s="1"/>
  <c r="C255" i="22"/>
  <c r="C250" i="22" s="1"/>
  <c r="L57" i="6"/>
  <c r="E15" i="1" s="1"/>
  <c r="D424" i="6"/>
  <c r="E175" i="1"/>
  <c r="F36" i="5"/>
  <c r="E42" i="5"/>
  <c r="C254" i="3"/>
  <c r="C237" i="3" s="1"/>
  <c r="E180" i="1"/>
  <c r="D427" i="6"/>
  <c r="E427" i="6" s="1"/>
  <c r="G427" i="6" s="1"/>
  <c r="F453" i="6" s="1"/>
  <c r="L395" i="6"/>
  <c r="E19" i="1" s="1"/>
  <c r="E25" i="1"/>
  <c r="D425" i="6"/>
  <c r="E425" i="6" s="1"/>
  <c r="G425" i="6" s="1"/>
  <c r="F451" i="6" s="1"/>
  <c r="G451" i="6" s="1"/>
  <c r="L245" i="6"/>
  <c r="L293" i="6" s="1"/>
  <c r="E23" i="1" s="1"/>
  <c r="E189" i="1"/>
  <c r="U96" i="16"/>
  <c r="U98" i="16" s="1"/>
  <c r="U94" i="16"/>
  <c r="G63" i="5"/>
  <c r="G69" i="5" s="1"/>
  <c r="F69" i="5"/>
  <c r="O190" i="22"/>
  <c r="W164" i="22"/>
  <c r="O189" i="22" s="1"/>
  <c r="D439" i="6"/>
  <c r="E439" i="6" s="1"/>
  <c r="G439" i="6" s="1"/>
  <c r="E453" i="6" s="1"/>
  <c r="M395" i="6"/>
  <c r="E20" i="1" s="1"/>
  <c r="C232" i="22"/>
  <c r="E232" i="22" s="1"/>
  <c r="E137" i="1"/>
  <c r="E69" i="5"/>
  <c r="D436" i="6"/>
  <c r="E436" i="6" s="1"/>
  <c r="G436" i="6" s="1"/>
  <c r="E190" i="1"/>
  <c r="E47" i="1"/>
  <c r="C231" i="22"/>
  <c r="E133" i="1"/>
  <c r="E81" i="1"/>
  <c r="E31" i="1"/>
  <c r="E17" i="1" l="1"/>
  <c r="G453" i="6"/>
  <c r="G36" i="5"/>
  <c r="G42" i="5" s="1"/>
  <c r="F42" i="5"/>
  <c r="G50" i="5"/>
  <c r="G56" i="5" s="1"/>
  <c r="F56" i="5"/>
  <c r="E80" i="1"/>
  <c r="E191" i="1" s="1"/>
  <c r="E30" i="1"/>
  <c r="E188" i="1" s="1"/>
  <c r="C260" i="22"/>
  <c r="Q190" i="22"/>
  <c r="S190" i="22" s="1"/>
  <c r="E424" i="6"/>
  <c r="G424" i="6" s="1"/>
  <c r="D428" i="6"/>
  <c r="E135" i="1"/>
  <c r="U100" i="16"/>
  <c r="U111" i="16" s="1"/>
  <c r="E158" i="1" s="1"/>
  <c r="E21" i="1"/>
  <c r="E13" i="1"/>
  <c r="C259" i="22"/>
  <c r="C256" i="22" s="1"/>
  <c r="C262" i="22" s="1"/>
  <c r="C233" i="22" s="1"/>
  <c r="E233" i="22" s="1"/>
  <c r="E142" i="1" s="1"/>
  <c r="Q189" i="22"/>
  <c r="S189" i="22" s="1"/>
  <c r="C246" i="22"/>
  <c r="E131" i="1"/>
  <c r="E231" i="22"/>
  <c r="G440" i="6"/>
  <c r="E450" i="6"/>
  <c r="E454" i="6" s="1"/>
  <c r="E179" i="1"/>
  <c r="E170" i="1" s="1"/>
  <c r="E405" i="6"/>
  <c r="D411" i="6"/>
  <c r="D450" i="6"/>
  <c r="F450" i="6" l="1"/>
  <c r="F454" i="6" s="1"/>
  <c r="G428" i="6"/>
  <c r="E156" i="1"/>
  <c r="C236" i="22"/>
  <c r="E236" i="22" s="1"/>
  <c r="E411" i="6"/>
  <c r="F411" i="6" s="1"/>
  <c r="F405" i="6"/>
  <c r="G405" i="6" s="1"/>
  <c r="G411" i="6" s="1"/>
  <c r="E246" i="22"/>
  <c r="C244" i="22"/>
  <c r="E244" i="22" s="1"/>
  <c r="E139" i="1"/>
  <c r="D454" i="6"/>
  <c r="E12" i="1"/>
  <c r="E11" i="1" s="1"/>
  <c r="G450" i="6" l="1"/>
  <c r="G454" i="6"/>
  <c r="E151" i="1"/>
  <c r="E130" i="1"/>
  <c r="E193" i="1" s="1"/>
  <c r="E187" i="1"/>
  <c r="E10" i="1"/>
  <c r="E168" i="1" l="1"/>
  <c r="E182" i="1" s="1"/>
  <c r="E194" i="1"/>
  <c r="E195" i="1" s="1"/>
  <c r="D189" i="1"/>
  <c r="D192" i="1"/>
  <c r="D193" i="1"/>
  <c r="D190" i="1"/>
  <c r="D187" i="1"/>
  <c r="D195" i="1" s="1"/>
  <c r="D188" i="1"/>
  <c r="D194" i="1"/>
  <c r="D19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000-000001000000}">
      <text>
        <r>
          <rPr>
            <sz val="8"/>
            <color rgb="FF000000"/>
            <rFont val="Calibri"/>
            <scheme val="minor"/>
          </rPr>
          <t>HFC and PFC emissions are reported in aggregate as a combination of many gases each having unique lifetimes and global warming potentials. Therefore a single GWP is not reported here. HFC and PFC emissions are reported under the subsector of ODS Substitutes using GWPs from IPCC AR4.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1200-000001000000}">
      <text>
        <r>
          <rPr>
            <sz val="8"/>
            <color rgb="FF000000"/>
            <rFont val="Calibri"/>
            <scheme val="minor"/>
          </rPr>
          <t>======
ID#AAAAIbggkA4
    (2021-05-10 11:38:16)
MTCH4 are converted to MMTCO2E by multiplying by the GWP of CH4, or 21, and then dividing by 1,000,000</t>
        </r>
      </text>
    </comment>
    <comment ref="F22" authorId="0" shapeId="0" xr:uid="{00000000-0006-0000-1200-000002000000}">
      <text>
        <r>
          <rPr>
            <sz val="8"/>
            <color rgb="FF000000"/>
            <rFont val="Calibri"/>
            <scheme val="minor"/>
          </rPr>
          <t>======
ID#AAAAIbggj9A
    (2021-05-10 11:38:16)
MTCH4 are converted to MMTCO2E by multiplying by the GWP of CH4, or 21, and then dividing by 1,000,000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L4" authorId="0" shapeId="0" xr:uid="{00000000-0006-0000-1300-000001000000}">
      <text>
        <r>
          <rPr>
            <sz val="8"/>
            <color rgb="FF000000"/>
            <rFont val="Calibri"/>
            <scheme val="minor"/>
          </rPr>
          <t>======
ID#AAAAIbggkHg
    (2021-05-10 11:38:16)
Million cubic feet are converted to MTCH4 by multiplying by 19.2 grams/cubic feet of CH4.</t>
        </r>
      </text>
    </comment>
    <comment ref="N4" authorId="0" shapeId="0" xr:uid="{00000000-0006-0000-1300-000002000000}">
      <text>
        <r>
          <rPr>
            <sz val="8"/>
            <color rgb="FF000000"/>
            <rFont val="Calibri"/>
            <scheme val="minor"/>
          </rPr>
          <t>======
ID#AAAAIbggkEU
    (2021-05-10 11:38:16)
MTCH4 are converted to MTCO2E by multiplying first by the GWP of CH4, or 21.</t>
        </r>
      </text>
    </comment>
    <comment ref="J8" authorId="0" shapeId="0" xr:uid="{00000000-0006-0000-1300-000003000000}">
      <text>
        <r>
          <rPr>
            <sz val="8"/>
            <color rgb="FF000000"/>
            <rFont val="Calibri"/>
            <scheme val="minor"/>
          </rPr>
          <t>======
ID#AAAAIbggkEg
    (2021-05-10 11:38:16)
Thousand cubic feet are converted to MTCH4 by dividing by 1,000, then by 19.2 grams/cubic feet of CH4.</t>
        </r>
      </text>
    </comment>
    <comment ref="L8" authorId="0" shapeId="0" xr:uid="{00000000-0006-0000-1300-000004000000}">
      <text>
        <r>
          <rPr>
            <sz val="8"/>
            <color rgb="FF000000"/>
            <rFont val="Calibri"/>
            <scheme val="minor"/>
          </rPr>
          <t>======
ID#AAAAIbggkKQ
    (2021-05-10 11:38:16)
MTCH4 are converted to MTCO2E by multiplying first by the GWP of CH4, or 21.</t>
        </r>
      </text>
    </comment>
    <comment ref="J12" authorId="0" shapeId="0" xr:uid="{00000000-0006-0000-1300-000005000000}">
      <text>
        <r>
          <rPr>
            <sz val="8"/>
            <color rgb="FF000000"/>
            <rFont val="Calibri"/>
            <scheme val="minor"/>
          </rPr>
          <t>======
ID#AAAAIbggkD0
    (2021-05-10 11:38:16)
Thousand cubic feet are converted to MTCH4 by dividing by 1,000, then by 19.2 grams/cubic feet of CH4.</t>
        </r>
      </text>
    </comment>
    <comment ref="L12" authorId="0" shapeId="0" xr:uid="{00000000-0006-0000-1300-000006000000}">
      <text>
        <r>
          <rPr>
            <sz val="8"/>
            <color rgb="FF000000"/>
            <rFont val="Calibri"/>
            <scheme val="minor"/>
          </rPr>
          <t>======
ID#AAAAIbggkG4
    (2021-05-10 11:38:16)
MTCH4 are converted to MTCO2E by multiplying first by the GWP of CH4, or 21.</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F11" authorId="0" shapeId="0" xr:uid="{00000000-0006-0000-0C00-000001000000}">
      <text>
        <r>
          <rPr>
            <sz val="8"/>
            <color rgb="FF000000"/>
            <rFont val="Calibri"/>
            <scheme val="minor"/>
          </rPr>
          <t>======
ID#AAAAIbggkDg
amohammed    (2021-05-10 11:38:16)
Biogenic</t>
        </r>
      </text>
    </comment>
    <comment ref="G11" authorId="0" shapeId="0" xr:uid="{00000000-0006-0000-0C00-000002000000}">
      <text>
        <r>
          <rPr>
            <sz val="8"/>
            <color rgb="FF000000"/>
            <rFont val="Calibri"/>
            <scheme val="minor"/>
          </rPr>
          <t>======
ID#AAAAIbggj-w
Measured Biomass     (2021-05-10 11:38:16)
6.5 % of Total CO2 (CEM). 2011 Emission Certification Report.</t>
        </r>
      </text>
    </comment>
    <comment ref="E28" authorId="0" shapeId="0" xr:uid="{00000000-0006-0000-0C00-000003000000}">
      <text>
        <r>
          <rPr>
            <sz val="8"/>
            <color rgb="FF000000"/>
            <rFont val="Calibri"/>
            <scheme val="minor"/>
          </rPr>
          <t>======
ID#AAAAIbggj_c
    (2021-05-10 11:38:16)
1.10249937 Conversion factor used in ECR (metric to short ton)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H4" authorId="0" shapeId="0" xr:uid="{00000000-0006-0000-0100-000001000000}">
      <text>
        <r>
          <rPr>
            <sz val="8"/>
            <color rgb="FF000000"/>
            <rFont val="Calibri"/>
            <scheme val="minor"/>
          </rPr>
          <t>======
ID#AAAAIbggkAc
    (2021-05-10 11:38:16)
Metric Tons CO2 are converted into Metric Tons Carbon Equivalent by multiplying by the molecular weight ratio of carbon to carbon dioxide, or (12/44).</t>
        </r>
      </text>
    </comment>
    <comment ref="D5" authorId="0" shapeId="0" xr:uid="{00000000-0006-0000-0100-000002000000}">
      <text>
        <r>
          <rPr>
            <sz val="8"/>
            <color rgb="FF000000"/>
            <rFont val="Calibri"/>
            <scheme val="minor"/>
          </rPr>
          <t>======
ID#AAAAIbggkGs
    (2021-05-10 11:38:16)
2010 Limestone Used</t>
        </r>
      </text>
    </comment>
    <comment ref="C6" authorId="0" shapeId="0" xr:uid="{00000000-0006-0000-0100-000003000000}">
      <text>
        <r>
          <rPr>
            <sz val="8"/>
            <color rgb="FF000000"/>
            <rFont val="Calibri"/>
            <scheme val="minor"/>
          </rPr>
          <t>======
ID#AAAAIbggkAA
    (2021-05-10 11:38:16)
Do not include dolomite used in magnesium production.</t>
        </r>
      </text>
    </comment>
    <comment ref="H10" authorId="0" shapeId="0" xr:uid="{00000000-0006-0000-0100-000004000000}">
      <text>
        <r>
          <rPr>
            <sz val="8"/>
            <color rgb="FF000000"/>
            <rFont val="Calibri"/>
            <scheme val="minor"/>
          </rPr>
          <t>======
ID#AAAAIbggkH8
    (2021-05-10 11:38:16)
Metric Tons CO2 are converted into Metric Tons Carbon Equivalent by multiplying by the molecular weight ratio of carbon to carbon dioxide, or (12/44).</t>
        </r>
      </text>
    </comment>
    <comment ref="AI15" authorId="0" shapeId="0" xr:uid="{00000000-0006-0000-0100-000005000000}">
      <text>
        <r>
          <rPr>
            <sz val="8"/>
            <color rgb="FF000000"/>
            <rFont val="Calibri"/>
            <scheme val="minor"/>
          </rPr>
          <t>Estimated from 100-yr emissions using 2019 ratio of 20-yr/100-yr</t>
        </r>
      </text>
    </comment>
    <comment ref="D17" authorId="0" shapeId="0" xr:uid="{00000000-0006-0000-0100-000006000000}">
      <text>
        <r>
          <rPr>
            <sz val="8"/>
            <color rgb="FF000000"/>
            <rFont val="Calibri"/>
            <scheme val="minor"/>
          </rPr>
          <t>======
ID#AAAAIbggkBU
    (2021-05-10 11:38:16)
2009 Default data</t>
        </r>
      </text>
    </comment>
    <comment ref="H26" authorId="0" shapeId="0" xr:uid="{00000000-0006-0000-0100-000007000000}">
      <text>
        <r>
          <rPr>
            <sz val="8"/>
            <color rgb="FF000000"/>
            <rFont val="Calibri"/>
            <scheme val="minor"/>
          </rPr>
          <t>======
ID#AAAAIbggj_E
rthunell    (2021-05-10 11:38:16)
GWP SF6 = 23,900</t>
        </r>
      </text>
    </comment>
    <comment ref="J26" authorId="0" shapeId="0" xr:uid="{00000000-0006-0000-0100-000008000000}">
      <text>
        <r>
          <rPr>
            <sz val="8"/>
            <color rgb="FF000000"/>
            <rFont val="Calibri"/>
            <scheme val="minor"/>
          </rPr>
          <t>======
ID#AAAAIbggj9w
    (2021-05-10 11:38:16)
Metric Tons CO2 are converted into Metric Tons Carbon Equivalent by multiplying by the GWP of SF6 (23,900) and the molecular weight ratio of carbon to carbon dioxide (12/44).</t>
        </r>
      </text>
    </comment>
    <comment ref="L26" authorId="0" shapeId="0" xr:uid="{00000000-0006-0000-0100-000009000000}">
      <text>
        <r>
          <rPr>
            <sz val="8"/>
            <color rgb="FF000000"/>
            <rFont val="Calibri"/>
            <scheme val="minor"/>
          </rPr>
          <t>======
ID#AAAAIbggkCY
    (2021-05-10 11:38:16)
Metric Tons CO2 are converted into Metric Tons Carbon Equivalent by multiplying by the GWP of SF6 (23,900) and the molecular weight ratio of carbon to carbon dioxide (12/44).</t>
        </r>
      </text>
    </comment>
    <comment ref="J31" authorId="0" shapeId="0" xr:uid="{00000000-0006-0000-0100-00000A000000}">
      <text>
        <r>
          <rPr>
            <sz val="8"/>
            <color rgb="FF000000"/>
            <rFont val="Calibri"/>
            <scheme val="minor"/>
          </rPr>
          <t>======
ID#AAAAIbggkCM
    (2021-05-10 11:38:16)
Metric Tons CO2 are converted into Metric Tons Carbon Equivalent by multiplying by the molecular weight ratio of carbon to carbon dioxide, or (12/44).</t>
        </r>
      </text>
    </comment>
    <comment ref="L31" authorId="0" shapeId="0" xr:uid="{00000000-0006-0000-0100-00000B000000}">
      <text>
        <r>
          <rPr>
            <sz val="8"/>
            <color rgb="FF000000"/>
            <rFont val="Calibri"/>
            <scheme val="minor"/>
          </rPr>
          <t>======
ID#AAAAIbggkKA
    (2021-05-10 11:38:16)
Metric Tons CO2 are converted into Metric Tons Carbon Equivalent by multiplying by the molecular weight ratio of carbon to carbon dioxide, or (12/44).</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D00-000001000000}">
      <text>
        <r>
          <rPr>
            <sz val="8"/>
            <color rgb="FF000000"/>
            <rFont val="Calibri"/>
            <scheme val="minor"/>
          </rPr>
          <t>======
ID#AAAAIbggj88
    (2021-05-10 11:38:16)
2009 default data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00000000-0006-0000-1500-000001000000}">
      <text>
        <r>
          <rPr>
            <sz val="8"/>
            <color rgb="FF000000"/>
            <rFont val="Calibri"/>
            <scheme val="minor"/>
          </rPr>
          <t>======
ID#AAAAIbggj94
    (2021-05-10 11:38:16)
Kg of methane are converted to metric tons by dividing by 1000. This is then converted to MMTCH4 by dividing by 1,000,000.</t>
        </r>
      </text>
    </comment>
    <comment ref="K4" authorId="0" shapeId="0" xr:uid="{00000000-0006-0000-1500-000002000000}">
      <text>
        <r>
          <rPr>
            <sz val="8"/>
            <color rgb="FF000000"/>
            <rFont val="Calibri"/>
            <scheme val="minor"/>
          </rPr>
          <t>======
ID#AAAAIbggj-I
    (2021-05-10 11:38:16)
MMTCH4 are converted to MMTCE by multiply by methane's global warming potential (21) and then 12/44 (to convert from CO2 to C).</t>
        </r>
      </text>
    </comment>
    <comment ref="M4" authorId="0" shapeId="0" xr:uid="{00000000-0006-0000-1500-000003000000}">
      <text>
        <r>
          <rPr>
            <sz val="8"/>
            <color rgb="FF000000"/>
            <rFont val="Calibri"/>
            <scheme val="minor"/>
          </rPr>
          <t>======
ID#AAAAIbggkEs
    (2021-05-10 11:38:16)
MMTCE are converted to MMTCO2E by dividing by 12/44 (to convert from C to CO2).</t>
        </r>
      </text>
    </comment>
    <comment ref="C17" authorId="0" shapeId="0" xr:uid="{00000000-0006-0000-1500-000004000000}">
      <text>
        <r>
          <rPr>
            <sz val="8"/>
            <color rgb="FF000000"/>
            <rFont val="Calibri"/>
            <scheme val="minor"/>
          </rPr>
          <t>======
ID#AAAAIbggkEk
    (2021-05-10 11:38:16)
SIT 2010 default</t>
        </r>
      </text>
    </comment>
    <comment ref="C18" authorId="0" shapeId="0" xr:uid="{00000000-0006-0000-1500-000005000000}">
      <text>
        <r>
          <rPr>
            <sz val="8"/>
            <color rgb="FF000000"/>
            <rFont val="Calibri"/>
            <scheme val="minor"/>
          </rPr>
          <t>======
ID#AAAAIbggkD8
    (2021-05-10 11:38:16)
SIT 2010 Default</t>
        </r>
      </text>
    </comment>
    <comment ref="C21" authorId="0" shapeId="0" xr:uid="{00000000-0006-0000-1500-000006000000}">
      <text>
        <r>
          <rPr>
            <sz val="8"/>
            <color rgb="FF000000"/>
            <rFont val="Calibri"/>
            <scheme val="minor"/>
          </rPr>
          <t>======
ID#AAAAIbggkJg
    (2021-05-10 11:38:16)
USDA 2009 data</t>
        </r>
      </text>
    </comment>
    <comment ref="C24" authorId="0" shapeId="0" xr:uid="{00000000-0006-0000-1500-000007000000}">
      <text>
        <r>
          <rPr>
            <sz val="8"/>
            <color rgb="FF000000"/>
            <rFont val="Calibri"/>
            <scheme val="minor"/>
          </rPr>
          <t>======
ID#AAAAIbggkEY
    (2021-05-10 11:38:16)
2010 Maryland Equine Census,march 03,11; 2010 data</t>
        </r>
      </text>
    </comment>
    <comment ref="M30" authorId="0" shapeId="0" xr:uid="{00000000-0006-0000-1500-000008000000}">
      <text>
        <r>
          <rPr>
            <sz val="8"/>
            <color rgb="FF000000"/>
            <rFont val="Calibri"/>
            <scheme val="minor"/>
          </rPr>
          <t>======
ID#AAAAIbggkIM
    (2021-05-10 11:38:16)
Sum of MCF for each animal's management system x Percent of Manure Managed in that system</t>
        </r>
      </text>
    </comment>
    <comment ref="C35" authorId="0" shapeId="0" xr:uid="{00000000-0006-0000-1500-000009000000}">
      <text>
        <r>
          <rPr>
            <sz val="8"/>
            <color rgb="FF000000"/>
            <rFont val="Calibri"/>
            <scheme val="minor"/>
          </rPr>
          <t>======
ID#AAAAIbggkEA
    (2021-05-10 11:38:16)
not yet updated with 2011</t>
        </r>
      </text>
    </comment>
    <comment ref="C36" authorId="0" shapeId="0" xr:uid="{00000000-0006-0000-1500-00000A000000}">
      <text>
        <r>
          <rPr>
            <sz val="8"/>
            <color rgb="FF000000"/>
            <rFont val="Calibri"/>
            <scheme val="minor"/>
          </rPr>
          <t>======
ID#AAAAIbggkC0
    (2021-05-10 11:38:16)
not yet updated</t>
        </r>
      </text>
    </comment>
    <comment ref="C46" authorId="0" shapeId="0" xr:uid="{00000000-0006-0000-1500-00000B000000}">
      <text>
        <r>
          <rPr>
            <sz val="8"/>
            <color rgb="FF000000"/>
            <rFont val="Calibri"/>
            <scheme val="minor"/>
          </rPr>
          <t>======
ID#AAAAIbggkFg
    (2021-05-10 11:38:16)
SIT Default 2010 data</t>
        </r>
      </text>
    </comment>
    <comment ref="C51" authorId="0" shapeId="0" xr:uid="{00000000-0006-0000-1500-00000C000000}">
      <text>
        <r>
          <rPr>
            <sz val="8"/>
            <color rgb="FF000000"/>
            <rFont val="Calibri"/>
            <scheme val="minor"/>
          </rPr>
          <t>======
ID#AAAAIbggkG8
    (2021-05-10 11:38:16)
SIT 2010 Default data</t>
        </r>
      </text>
    </comment>
    <comment ref="B52" authorId="0" shapeId="0" xr:uid="{00000000-0006-0000-1500-00000D000000}">
      <text>
        <r>
          <rPr>
            <sz val="8"/>
            <color rgb="FF000000"/>
            <rFont val="Calibri"/>
            <scheme val="minor"/>
          </rPr>
          <t>======
ID#AAAAIbggkJQ
    (2021-05-10 11:38:16)
Includes:  Pullets laying, Pullets &gt; 3 mo., and Pullets &lt; 3 mo.</t>
        </r>
      </text>
    </comment>
    <comment ref="C52" authorId="0" shapeId="0" xr:uid="{00000000-0006-0000-1500-00000E000000}">
      <text>
        <r>
          <rPr>
            <sz val="8"/>
            <color rgb="FF000000"/>
            <rFont val="Calibri"/>
            <scheme val="minor"/>
          </rPr>
          <t>======
ID#AAAAIbggkIU
    (2021-05-10 11:38:16)
SIT 2010 Default data</t>
        </r>
      </text>
    </comment>
    <comment ref="C53" authorId="0" shapeId="0" xr:uid="{00000000-0006-0000-1500-00000F000000}">
      <text>
        <r>
          <rPr>
            <sz val="8"/>
            <color rgb="FF000000"/>
            <rFont val="Calibri"/>
            <scheme val="minor"/>
          </rPr>
          <t>======
ID#AAAAIbggkHc
    (2021-05-10 11:38:16)
SIT 2010 Default data</t>
        </r>
      </text>
    </comment>
    <comment ref="B54" authorId="0" shapeId="0" xr:uid="{00000000-0006-0000-1500-000010000000}">
      <text>
        <r>
          <rPr>
            <sz val="8"/>
            <color rgb="FF000000"/>
            <rFont val="Calibri"/>
            <scheme val="minor"/>
          </rPr>
          <t>======
ID#AAAAIbggkCc
    (2021-05-10 11:38:16)
Includes: Regular Broilers, Other (Lost), and Other (Sold)</t>
        </r>
      </text>
    </comment>
    <comment ref="C54" authorId="0" shapeId="0" xr:uid="{00000000-0006-0000-1500-000011000000}">
      <text>
        <r>
          <rPr>
            <sz val="8"/>
            <color rgb="FF000000"/>
            <rFont val="Calibri"/>
            <scheme val="minor"/>
          </rPr>
          <t>======
ID#AAAAIbggkBE
    (2021-05-10 11:38:16)
SIT 2010 Default data</t>
        </r>
      </text>
    </comment>
    <comment ref="C55" authorId="0" shapeId="0" xr:uid="{00000000-0006-0000-1500-000012000000}">
      <text>
        <r>
          <rPr>
            <sz val="8"/>
            <color rgb="FF000000"/>
            <rFont val="Calibri"/>
            <scheme val="minor"/>
          </rPr>
          <t>======
ID#AAAAIbggkAo
    (2021-05-10 11:38:16)
SIT 2010 Default data</t>
        </r>
      </text>
    </comment>
    <comment ref="B57" authorId="0" shapeId="0" xr:uid="{00000000-0006-0000-1500-000013000000}">
      <text>
        <r>
          <rPr>
            <sz val="8"/>
            <color rgb="FF000000"/>
            <rFont val="Calibri"/>
            <scheme val="minor"/>
          </rPr>
          <t>======
ID#AAAAIbggkEo
    (2021-05-10 11:38:16)
Sheep on feed that are in feedlots were assumed to be manged using a dry lot system, all others were assumed to be PRP.</t>
        </r>
      </text>
    </comment>
    <comment ref="C58" authorId="0" shapeId="0" xr:uid="{00000000-0006-0000-1500-000014000000}">
      <text>
        <r>
          <rPr>
            <sz val="8"/>
            <color rgb="FF000000"/>
            <rFont val="Calibri"/>
            <scheme val="minor"/>
          </rPr>
          <t>======
ID#AAAAIbggkDE
    (2021-05-10 11:38:16)
SIT Default 2010</t>
        </r>
      </text>
    </comment>
    <comment ref="C60" authorId="0" shapeId="0" xr:uid="{00000000-0006-0000-1500-000015000000}">
      <text>
        <r>
          <rPr>
            <sz val="8"/>
            <color rgb="FF000000"/>
            <rFont val="Calibri"/>
            <scheme val="minor"/>
          </rPr>
          <t>======
ID#AAAAIbggkDs
    (2021-05-10 11:38:16)
2010 Maryland Equine Census,march 03,11; 2010 data</t>
        </r>
      </text>
    </comment>
    <comment ref="S66" authorId="0" shapeId="0" xr:uid="{00000000-0006-0000-1500-000016000000}">
      <text>
        <r>
          <rPr>
            <sz val="8"/>
            <color rgb="FF000000"/>
            <rFont val="Calibri"/>
            <scheme val="minor"/>
          </rPr>
          <t>======
ID#AAAAIbggj-4
    (2021-05-10 11:38:16)
MTCE are converted to MMTCE by dividing by 1,000,000.</t>
        </r>
      </text>
    </comment>
    <comment ref="C71" authorId="0" shapeId="0" xr:uid="{00000000-0006-0000-1500-000017000000}">
      <text>
        <r>
          <rPr>
            <sz val="8"/>
            <color rgb="FF000000"/>
            <rFont val="Calibri"/>
            <scheme val="minor"/>
          </rPr>
          <t>======
ID#AAAAIbggkGo
    (2021-05-10 11:38:16)
SIT 2010 default</t>
        </r>
      </text>
    </comment>
    <comment ref="C72" authorId="0" shapeId="0" xr:uid="{00000000-0006-0000-1500-000018000000}">
      <text>
        <r>
          <rPr>
            <sz val="8"/>
            <color rgb="FF000000"/>
            <rFont val="Calibri"/>
            <scheme val="minor"/>
          </rPr>
          <t>======
ID#AAAAIbggj84
    (2021-05-10 11:38:16)
SIT 2010 Default</t>
        </r>
      </text>
    </comment>
    <comment ref="C76" authorId="0" shapeId="0" xr:uid="{00000000-0006-0000-1500-000019000000}">
      <text>
        <r>
          <rPr>
            <sz val="8"/>
            <color rgb="FF000000"/>
            <rFont val="Calibri"/>
            <scheme val="minor"/>
          </rPr>
          <t>======
ID#AAAAIbggkB8
    (2021-05-10 11:38:16)
SIT Default 2010</t>
        </r>
      </text>
    </comment>
    <comment ref="B81" authorId="0" shapeId="0" xr:uid="{00000000-0006-0000-1500-00001A000000}">
      <text>
        <r>
          <rPr>
            <sz val="8"/>
            <color rgb="FF000000"/>
            <rFont val="Calibri"/>
            <scheme val="minor"/>
          </rPr>
          <t>======
ID#AAAAIbggkHw
    (2021-05-10 11:38:16)
Includes: Regular Broilers, Other (Lost), and Other (Sold)</t>
        </r>
      </text>
    </comment>
    <comment ref="C81" authorId="0" shapeId="0" xr:uid="{00000000-0006-0000-1500-00001B000000}">
      <text>
        <r>
          <rPr>
            <sz val="8"/>
            <color rgb="FF000000"/>
            <rFont val="Calibri"/>
            <scheme val="minor"/>
          </rPr>
          <t>======
ID#AAAAIbggkGE
    (2021-05-10 11:38:16)
SIT 2010 Default data</t>
        </r>
      </text>
    </comment>
    <comment ref="C82" authorId="0" shapeId="0" xr:uid="{00000000-0006-0000-1500-00001C000000}">
      <text>
        <r>
          <rPr>
            <sz val="8"/>
            <color rgb="FF000000"/>
            <rFont val="Calibri"/>
            <scheme val="minor"/>
          </rPr>
          <t>======
ID#AAAAIbggkJ8
    (2021-05-10 11:38:16)
SIT 2010 Default data</t>
        </r>
      </text>
    </comment>
    <comment ref="C83" authorId="0" shapeId="0" xr:uid="{00000000-0006-0000-1500-00001D000000}">
      <text>
        <r>
          <rPr>
            <sz val="8"/>
            <color rgb="FF000000"/>
            <rFont val="Calibri"/>
            <scheme val="minor"/>
          </rPr>
          <t>======
ID#AAAAIbggj-A
    (2021-05-10 11:38:16)
SIT 2010 Default data</t>
        </r>
      </text>
    </comment>
    <comment ref="C84" authorId="0" shapeId="0" xr:uid="{00000000-0006-0000-1500-00001E000000}">
      <text>
        <r>
          <rPr>
            <sz val="8"/>
            <color rgb="FF000000"/>
            <rFont val="Calibri"/>
            <scheme val="minor"/>
          </rPr>
          <t>======
ID#AAAAIbggkBw
    (2021-05-10 11:38:16)
SIT 2010 Default data</t>
        </r>
      </text>
    </comment>
    <comment ref="C85" authorId="0" shapeId="0" xr:uid="{00000000-0006-0000-1500-00001F000000}">
      <text>
        <r>
          <rPr>
            <sz val="8"/>
            <color rgb="FF000000"/>
            <rFont val="Calibri"/>
            <scheme val="minor"/>
          </rPr>
          <t>======
ID#AAAAIbggkJE
    (2021-05-10 11:38:16)
SIT 2010 Default data</t>
        </r>
      </text>
    </comment>
    <comment ref="C88" authorId="0" shapeId="0" xr:uid="{00000000-0006-0000-1500-000020000000}">
      <text>
        <r>
          <rPr>
            <sz val="8"/>
            <color rgb="FF000000"/>
            <rFont val="Calibri"/>
            <scheme val="minor"/>
          </rPr>
          <t>======
ID#AAAAIbggj_Y
    (2021-05-10 11:38:16)
SIT Default 2010</t>
        </r>
      </text>
    </comment>
    <comment ref="E95" authorId="0" shapeId="0" xr:uid="{00000000-0006-0000-1500-000021000000}">
      <text>
        <r>
          <rPr>
            <sz val="8"/>
            <color rgb="FF000000"/>
            <rFont val="Calibri"/>
            <scheme val="minor"/>
          </rPr>
          <t>======
ID#AAAAIbggkFo
    (2021-05-10 11:38:16)
This data can be obtained departments in each state responsible for agricultural research.  USDA: http://www.nass.usda.gov/Data_and_Statistics/index.asp</t>
        </r>
      </text>
    </comment>
    <comment ref="G95" authorId="0" shapeId="0" xr:uid="{00000000-0006-0000-1500-000022000000}">
      <text>
        <r>
          <rPr>
            <sz val="8"/>
            <color rgb="FF000000"/>
            <rFont val="Calibri"/>
            <scheme val="minor"/>
          </rPr>
          <t>======
ID#AAAAIbggj8c
J Casola    (2021-05-10 11:38:16)
Corn for Grain, All Wheat, Barley, Sorghum, Oats, Rye, and Soybeans back-calculated from bushel and tonnage values found in "Field Crops, Final Estimates, 1992-1997" SB 947a USDA/NASS. Other crops assumed conversion 0.027215</t>
        </r>
      </text>
    </comment>
    <comment ref="I95" authorId="0" shapeId="0" xr:uid="{00000000-0006-0000-1500-000023000000}">
      <text>
        <r>
          <rPr>
            <sz val="8"/>
            <color rgb="FF000000"/>
            <rFont val="Calibri"/>
            <scheme val="minor"/>
          </rPr>
          <t>======
ID#AAAAIbggj_8
DLekas    (2021-05-10 11:38:16)
EIIP 1999 &amp; EPA 2001</t>
        </r>
      </text>
    </comment>
    <comment ref="AC95" authorId="0" shapeId="0" xr:uid="{00000000-0006-0000-1500-000024000000}">
      <text>
        <r>
          <rPr>
            <sz val="8"/>
            <color rgb="FF000000"/>
            <rFont val="Calibri"/>
            <scheme val="minor"/>
          </rPr>
          <t>======
ID#AAAAIbggkFU
    (2021-05-10 11:38:16)
Metric tons N2O are converted to MMTCE by multiplying by the N2O global warming potential (310 N2O/CO2). multiplying by 12/44 (to convert from CO2 to C), and then dividing by 1,000,000.</t>
        </r>
      </text>
    </comment>
    <comment ref="AE95" authorId="0" shapeId="0" xr:uid="{00000000-0006-0000-1500-000025000000}">
      <text>
        <r>
          <rPr>
            <sz val="8"/>
            <color rgb="FF000000"/>
            <rFont val="Calibri"/>
            <scheme val="minor"/>
          </rPr>
          <t>======
ID#AAAAIbggkBI
    (2021-05-10 11:38:16)
MMTCE are converted to MMTCO2E by dividing by 12/44 (to convert from C to CO2).</t>
        </r>
      </text>
    </comment>
    <comment ref="E123" authorId="0" shapeId="0" xr:uid="{00000000-0006-0000-1500-000026000000}">
      <text>
        <r>
          <rPr>
            <sz val="8"/>
            <color rgb="FF000000"/>
            <rFont val="Calibri"/>
            <scheme val="minor"/>
          </rPr>
          <t>======
ID#AAAAIbggj-0
    (2021-05-10 11:38:16)
According to the US Inventory, 65% of the fertilizer consumption takes place from Jan-June and 35% from July-Dec.</t>
        </r>
      </text>
    </comment>
    <comment ref="S123" authorId="0" shapeId="0" xr:uid="{00000000-0006-0000-1500-000027000000}">
      <text>
        <r>
          <rPr>
            <sz val="8"/>
            <color rgb="FF000000"/>
            <rFont val="Calibri"/>
            <scheme val="minor"/>
          </rPr>
          <t>======
ID#AAAAIbggkBk
    (2021-05-10 11:38:16)
Metric tons N2O are converted to MMTCE by multiplying by the N2O global warming potential (310 N2O/CO2). multiplying by 12/44 (to convert from CO2 to C), and then dividing by 1,000,000.</t>
        </r>
      </text>
    </comment>
    <comment ref="U123" authorId="0" shapeId="0" xr:uid="{00000000-0006-0000-1500-000028000000}">
      <text>
        <r>
          <rPr>
            <sz val="8"/>
            <color rgb="FF000000"/>
            <rFont val="Calibri"/>
            <scheme val="minor"/>
          </rPr>
          <t>======
ID#AAAAIbggkCo
    (2021-05-10 11:38:16)
Metric tons N2O are converted to MMTCE by multiplying by the N2O global warming potential (310 N2O/CO2). multiplying by 12/44 (to convert from CO2 to C), and then dividing by 1,000,000.</t>
        </r>
      </text>
    </comment>
    <comment ref="W123" authorId="0" shapeId="0" xr:uid="{00000000-0006-0000-1500-000029000000}">
      <text>
        <r>
          <rPr>
            <sz val="8"/>
            <color rgb="FF000000"/>
            <rFont val="Calibri"/>
            <scheme val="minor"/>
          </rPr>
          <t>======
ID#AAAAIbggkAk
    (2021-05-10 11:38:16)
MMTCE are converted to MMTCO2E by dividing by 12/44 (to convert from C to CO2).</t>
        </r>
      </text>
    </comment>
    <comment ref="Y123" authorId="0" shapeId="0" xr:uid="{00000000-0006-0000-1500-00002A000000}">
      <text>
        <r>
          <rPr>
            <sz val="8"/>
            <color rgb="FF000000"/>
            <rFont val="Calibri"/>
            <scheme val="minor"/>
          </rPr>
          <t>======
ID#AAAAIbggkHM
    (2021-05-10 11:38:16)
MMTCE are converted to MMTCO2E by dividing by 12/44 (to convert from C to CO2).</t>
        </r>
      </text>
    </comment>
    <comment ref="C124" authorId="0" shapeId="0" xr:uid="{00000000-0006-0000-1500-00002B000000}">
      <text>
        <r>
          <rPr>
            <sz val="8"/>
            <color rgb="FF000000"/>
            <rFont val="Calibri"/>
            <scheme val="minor"/>
          </rPr>
          <t>======
ID#AAAAIbggkAQ
    (2021-05-10 11:38:16)
Total Nitrogen "2011 Tonnage Report" -MDA
July 2010 - June 2011</t>
        </r>
      </text>
    </comment>
    <comment ref="O124" authorId="0" shapeId="0" xr:uid="{00000000-0006-0000-1500-00002C000000}">
      <text>
        <r>
          <rPr>
            <sz val="8"/>
            <color rgb="FF000000"/>
            <rFont val="Calibri"/>
            <scheme val="minor"/>
          </rPr>
          <t>======
ID#AAAAIbggkBo
rthunell    (2021-05-10 11:38:16)
Emissions = 
(Activity/kg_ MT CF) x EF_Dir x N2O_N2 CF
kg_MT CF = 1000
EF_DIR = 0.01
N2O_N2 CF = 44/28</t>
        </r>
      </text>
    </comment>
    <comment ref="Q124" authorId="0" shapeId="0" xr:uid="{00000000-0006-0000-1500-00002D000000}">
      <text>
        <r>
          <rPr>
            <sz val="8"/>
            <color rgb="FF000000"/>
            <rFont val="Calibri"/>
            <scheme val="minor"/>
          </rPr>
          <t>======
ID#AAAAIbggj9c
rthunell    (2021-05-10 11:38:16)
rthunell:
Emissions = 
(Activity/kg_ MT CF) x EF_VOL x N2O_N2 CF
kg_MT CF = 1000
EF_VOL = 0.01
N2O_N2 CF = 44/28</t>
        </r>
      </text>
    </comment>
    <comment ref="K125" authorId="0" shapeId="0" xr:uid="{00000000-0006-0000-1500-00002E000000}">
      <text>
        <r>
          <rPr>
            <sz val="8"/>
            <color rgb="FF000000"/>
            <rFont val="Calibri"/>
            <scheme val="minor"/>
          </rPr>
          <t>======
ID#AAAAIbggkFc
    (2021-05-10 11:38:16)
According to the IPCC Good Practice Guidance, the manure portion of organic fertilizers is subtracted from the total of organic fertilizers.</t>
        </r>
      </text>
    </comment>
    <comment ref="M125" authorId="0" shapeId="0" xr:uid="{00000000-0006-0000-1500-00002F000000}">
      <text>
        <r>
          <rPr>
            <sz val="8"/>
            <color rgb="FF000000"/>
            <rFont val="Calibri"/>
            <scheme val="minor"/>
          </rPr>
          <t>======
ID#AAAAIbggkCU
    (2021-05-10 11:38:16)
According to the IPCC Good Practice Guidance, the manure portion of organic fertilizers is subtracted from the total of organic fertilizers.</t>
        </r>
      </text>
    </comment>
    <comment ref="B135" authorId="0" shapeId="0" xr:uid="{00000000-0006-0000-1500-000030000000}">
      <text>
        <r>
          <rPr>
            <sz val="8"/>
            <color rgb="FF000000"/>
            <rFont val="Calibri"/>
            <scheme val="minor"/>
          </rPr>
          <t>======
ID#AAAAIbggkEw
    (2021-05-10 11:38:16)
According to the IPCC Good Practice Guidance, the manure portion of organic fertilizers is subtracted from the total of organic fertilizers.</t>
        </r>
      </text>
    </comment>
    <comment ref="C140" authorId="0" shapeId="0" xr:uid="{00000000-0006-0000-1500-000031000000}">
      <text>
        <r>
          <rPr>
            <sz val="8"/>
            <color rgb="FF000000"/>
            <rFont val="Calibri"/>
            <scheme val="minor"/>
          </rPr>
          <t>======
ID#AAAAIbggj-o
    (2021-05-10 11:38:16)
Total Nitrogen "2012 Tonnage Report" -MDA
July 2011 - June 2012</t>
        </r>
      </text>
    </comment>
    <comment ref="B151" authorId="0" shapeId="0" xr:uid="{00000000-0006-0000-1500-000032000000}">
      <text>
        <r>
          <rPr>
            <sz val="8"/>
            <color rgb="FF000000"/>
            <rFont val="Calibri"/>
            <scheme val="minor"/>
          </rPr>
          <t>======
ID#AAAAIbggkBQ
    (2021-05-10 11:38:16)
According to the IPCC Good Practice Guidance, the manure portion of organic fertilizers is subtracted from the total of organic fertilizers.</t>
        </r>
      </text>
    </comment>
    <comment ref="E155" authorId="0" shapeId="0" xr:uid="{00000000-0006-0000-1500-000033000000}">
      <text>
        <r>
          <rPr>
            <sz val="8"/>
            <color rgb="FF000000"/>
            <rFont val="Calibri"/>
            <scheme val="minor"/>
          </rPr>
          <t>======
ID#AAAAIbggkGg
rthunell    (2021-05-10 11:38:16)
TAM: Typical Animal Mass</t>
        </r>
      </text>
    </comment>
    <comment ref="K155" authorId="0" shapeId="0" xr:uid="{00000000-0006-0000-1500-000034000000}">
      <text>
        <r>
          <rPr>
            <sz val="8"/>
            <color rgb="FF000000"/>
            <rFont val="Calibri"/>
            <scheme val="minor"/>
          </rPr>
          <t>======
ID#AAAAIbggkCI
    (2021-05-10 11:38:16)
Volatilization = 20%; 
NH3-NOx EF (kg N2O/kg N) = 0.01</t>
        </r>
      </text>
    </comment>
    <comment ref="S155" authorId="0" shapeId="0" xr:uid="{00000000-0006-0000-1500-000035000000}">
      <text>
        <r>
          <rPr>
            <sz val="8"/>
            <color rgb="FF000000"/>
            <rFont val="Calibri"/>
            <scheme val="minor"/>
          </rPr>
          <t>======
ID#AAAAIbggkFA
rthunell    (2021-05-10 11:38:16)
Volatilization = 20%; 
NonVOL EF (kg N2O/kg N) = 0.0125
Poultry Not Managed = 0.042</t>
        </r>
      </text>
    </comment>
    <comment ref="U155" authorId="0" shapeId="0" xr:uid="{00000000-0006-0000-1500-000036000000}">
      <text>
        <r>
          <rPr>
            <sz val="8"/>
            <color rgb="FF000000"/>
            <rFont val="Calibri"/>
            <scheme val="minor"/>
          </rPr>
          <t>======
ID#AAAAIbggkDA
rthunell    (2021-05-10 11:38:16)
prtEF = 0.02</t>
        </r>
      </text>
    </comment>
    <comment ref="W155" authorId="0" shapeId="0" xr:uid="{00000000-0006-0000-1500-000037000000}">
      <text>
        <r>
          <rPr>
            <sz val="8"/>
            <color rgb="FF000000"/>
            <rFont val="Calibri"/>
            <scheme val="minor"/>
          </rPr>
          <t>======
ID#AAAAIbggkIs
rthunell    (2021-05-10 11:38:16)
Leach EF = 0.30
Runoff/Leach EF = 0.0075</t>
        </r>
      </text>
    </comment>
    <comment ref="BN155" authorId="0" shapeId="0" xr:uid="{00000000-0006-0000-1500-000038000000}">
      <text>
        <r>
          <rPr>
            <sz val="8"/>
            <color rgb="FF000000"/>
            <rFont val="Calibri"/>
            <scheme val="minor"/>
          </rPr>
          <t>======
ID#AAAAIbggkIk
DLekas    (2021-05-10 11:38:16)
Source: EIIP Table 7.4.6</t>
        </r>
      </text>
    </comment>
    <comment ref="BQ155" authorId="0" shapeId="0" xr:uid="{00000000-0006-0000-1500-000039000000}">
      <text>
        <r>
          <rPr>
            <sz val="8"/>
            <color rgb="FF000000"/>
            <rFont val="Calibri"/>
            <scheme val="minor"/>
          </rPr>
          <t>======
ID#AAAAIbggj98
DLekas    (2021-05-10 11:38:16)
Source: EIIP Table 7.4.7</t>
        </r>
      </text>
    </comment>
    <comment ref="BU155" authorId="0" shapeId="0" xr:uid="{00000000-0006-0000-1500-00003A000000}">
      <text>
        <r>
          <rPr>
            <sz val="8"/>
            <color rgb="FF000000"/>
            <rFont val="Calibri"/>
            <scheme val="minor"/>
          </rPr>
          <t>======
ID#AAAAIbggj9g
DLekas    (2021-05-10 11:38:16)
US Inventory
0% was assumed for both on feed and not on feed sheep for states without sheep data</t>
        </r>
      </text>
    </comment>
    <comment ref="BY155" authorId="0" shapeId="0" xr:uid="{00000000-0006-0000-1500-00003B000000}">
      <text>
        <r>
          <rPr>
            <sz val="8"/>
            <color rgb="FF000000"/>
            <rFont val="Calibri"/>
            <scheme val="minor"/>
          </rPr>
          <t>======
ID#AAAAIbggkII
    (2021-05-10 11:38:16)
Pgroth: Changed to 100% PRP in 1/03 per discussion w/Joe Mangino.</t>
        </r>
      </text>
    </comment>
    <comment ref="CB155" authorId="0" shapeId="0" xr:uid="{00000000-0006-0000-1500-00003C000000}">
      <text>
        <r>
          <rPr>
            <sz val="8"/>
            <color rgb="FF000000"/>
            <rFont val="Calibri"/>
            <scheme val="minor"/>
          </rPr>
          <t>======
ID#AAAAIbggkDo
    (2021-05-10 11:38:16)
Pgroth: Changed to 100% PRP in 1/03 per discussion w/Joe Mangino.</t>
        </r>
      </text>
    </comment>
    <comment ref="BI156" authorId="0" shapeId="0" xr:uid="{00000000-0006-0000-1500-00003D000000}">
      <text>
        <r>
          <rPr>
            <sz val="8"/>
            <color rgb="FF000000"/>
            <rFont val="Calibri"/>
            <scheme val="minor"/>
          </rPr>
          <t>======
ID#AAAAIbggkB0
Philip Groth    (2021-05-10 11:38:16)
ERG:
Assumed "Other" Systems fall into a category with an emission factor similar to solid storage.</t>
        </r>
      </text>
    </comment>
    <comment ref="C160" authorId="0" shapeId="0" xr:uid="{00000000-0006-0000-1500-00003E000000}">
      <text>
        <r>
          <rPr>
            <sz val="8"/>
            <color rgb="FF000000"/>
            <rFont val="Calibri"/>
            <scheme val="minor"/>
          </rPr>
          <t>======
ID#AAAAIbggj_w
    (2021-05-10 11:38:16)
SIT 2009 default</t>
        </r>
      </text>
    </comment>
    <comment ref="C161" authorId="0" shapeId="0" xr:uid="{00000000-0006-0000-1500-00003F000000}">
      <text>
        <r>
          <rPr>
            <sz val="8"/>
            <color rgb="FF000000"/>
            <rFont val="Calibri"/>
            <scheme val="minor"/>
          </rPr>
          <t>======
ID#AAAAIbggkFk
    (2021-05-10 11:38:16)
SIT 2009 Default</t>
        </r>
      </text>
    </comment>
    <comment ref="B166" authorId="0" shapeId="0" xr:uid="{00000000-0006-0000-1500-000040000000}">
      <text>
        <r>
          <rPr>
            <sz val="8"/>
            <color rgb="FF000000"/>
            <rFont val="Calibri"/>
            <scheme val="minor"/>
          </rPr>
          <t>======
ID#AAAAIbggkBg
    (2021-05-10 11:38:16)
Includes Heifer Stockers and Beef Replacement Heifers.</t>
        </r>
      </text>
    </comment>
    <comment ref="C166" authorId="0" shapeId="0" xr:uid="{00000000-0006-0000-1500-000041000000}">
      <text>
        <r>
          <rPr>
            <sz val="8"/>
            <color rgb="FF000000"/>
            <rFont val="Calibri"/>
            <scheme val="minor"/>
          </rPr>
          <t>======
ID#AAAAIbggkDQ
    (2021-05-10 11:38:16)
Total Beef Heifers = Heifer Stockers + Beef Replacement Heifer</t>
        </r>
      </text>
    </comment>
    <comment ref="C170" authorId="0" shapeId="0" xr:uid="{00000000-0006-0000-1500-000042000000}">
      <text>
        <r>
          <rPr>
            <sz val="8"/>
            <color rgb="FF000000"/>
            <rFont val="Calibri"/>
            <scheme val="minor"/>
          </rPr>
          <t>======
ID#AAAAIbggkCQ
    (2021-05-10 11:38:16)
USDA 2007 data</t>
        </r>
      </text>
    </comment>
    <comment ref="C175" authorId="0" shapeId="0" xr:uid="{00000000-0006-0000-1500-000043000000}">
      <text>
        <r>
          <rPr>
            <sz val="8"/>
            <color rgb="FF000000"/>
            <rFont val="Calibri"/>
            <scheme val="minor"/>
          </rPr>
          <t>======
ID#AAAAIbggkF4
    (2021-05-10 11:38:16)
SIT 2009 Default data</t>
        </r>
      </text>
    </comment>
    <comment ref="C176" authorId="0" shapeId="0" xr:uid="{00000000-0006-0000-1500-000044000000}">
      <text>
        <r>
          <rPr>
            <sz val="8"/>
            <color rgb="FF000000"/>
            <rFont val="Calibri"/>
            <scheme val="minor"/>
          </rPr>
          <t>======
ID#AAAAIbggkAs
    (2021-05-10 11:38:16)
SIT 2009 Default data</t>
        </r>
      </text>
    </comment>
    <comment ref="C177" authorId="0" shapeId="0" xr:uid="{00000000-0006-0000-1500-000045000000}">
      <text>
        <r>
          <rPr>
            <sz val="8"/>
            <color rgb="FF000000"/>
            <rFont val="Calibri"/>
            <scheme val="minor"/>
          </rPr>
          <t>======
ID#AAAAIbggkCw
    (2021-05-10 11:38:16)
SIT 2009 Default data</t>
        </r>
      </text>
    </comment>
    <comment ref="C178" authorId="0" shapeId="0" xr:uid="{00000000-0006-0000-1500-000046000000}">
      <text>
        <r>
          <rPr>
            <sz val="8"/>
            <color rgb="FF000000"/>
            <rFont val="Calibri"/>
            <scheme val="minor"/>
          </rPr>
          <t>======
ID#AAAAIbggj_k
    (2021-05-10 11:38:16)
SIT 2009 Default data</t>
        </r>
      </text>
    </comment>
    <comment ref="C179" authorId="0" shapeId="0" xr:uid="{00000000-0006-0000-1500-000047000000}">
      <text>
        <r>
          <rPr>
            <sz val="8"/>
            <color rgb="FF000000"/>
            <rFont val="Calibri"/>
            <scheme val="minor"/>
          </rPr>
          <t>======
ID#AAAAIbggj_o
    (2021-05-10 11:38:16)
SIT 2009 Default data</t>
        </r>
      </text>
    </comment>
    <comment ref="C182" authorId="0" shapeId="0" xr:uid="{00000000-0006-0000-1500-000048000000}">
      <text>
        <r>
          <rPr>
            <sz val="8"/>
            <color rgb="FF000000"/>
            <rFont val="Calibri"/>
            <scheme val="minor"/>
          </rPr>
          <t>======
ID#AAAAIbggkFs
    (2021-05-10 11:38:16)
USDA 2009 data</t>
        </r>
      </text>
    </comment>
    <comment ref="G197" authorId="0" shapeId="0" xr:uid="{00000000-0006-0000-1500-000049000000}">
      <text>
        <r>
          <rPr>
            <sz val="8"/>
            <color rgb="FF000000"/>
            <rFont val="Calibri"/>
            <scheme val="minor"/>
          </rPr>
          <t>======
ID#AAAAIbggkHA
J Casola    (2021-05-10 11:38:16)
Corn for Grain, All Wheat, Barley, Sorghum, Oats, Rye, and Soybeans back-calculated from bushel and tonnage values found in "Field Crops, Final Estimates, 1992-1997" SB 947a USDA/NASS. Other crops assumed conversion 0.027215</t>
        </r>
      </text>
    </comment>
    <comment ref="Y197" authorId="0" shapeId="0" xr:uid="{00000000-0006-0000-1500-00004A000000}">
      <text>
        <r>
          <rPr>
            <sz val="8"/>
            <color rgb="FF000000"/>
            <rFont val="Calibri"/>
            <scheme val="minor"/>
          </rPr>
          <t>======
ID#AAAAIbggkIo
    (2021-05-10 11:38:16)
CH4 Emission = Total C Released (metric tons C) *CH4-C Emission Ratio (0.005) * CH4- C Conversion factor (16/12)</t>
        </r>
      </text>
    </comment>
    <comment ref="Y212" authorId="0" shapeId="0" xr:uid="{00000000-0006-0000-1500-00004B000000}">
      <text>
        <r>
          <rPr>
            <sz val="8"/>
            <color rgb="FF000000"/>
            <rFont val="Calibri"/>
            <scheme val="minor"/>
          </rPr>
          <t>======
ID#AAAAIbggkHo
    (2021-05-10 11:38:16)
N2O Emission = Total N Released (metric tons C) *N2O-N Emission Ratio (0.007) * N2O- N Conversion factor (1.57)</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Z29" authorId="0" shapeId="0" xr:uid="{00000000-0006-0000-1000-000001000000}">
      <text>
        <r>
          <rPr>
            <sz val="8"/>
            <color rgb="FF000000"/>
            <rFont val="Calibri"/>
            <scheme val="minor"/>
          </rPr>
          <t>======
ID#AAAAIbggkB4
    (2021-05-10 11:38:16)
NO CH4 Emission Reported</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P9" authorId="0" shapeId="0" xr:uid="{00000000-0006-0000-0F00-000001000000}">
      <text>
        <r>
          <rPr>
            <sz val="8"/>
            <color rgb="FF000000"/>
            <rFont val="Calibri"/>
            <scheme val="minor"/>
          </rPr>
          <t>======
ID#AAAAIbggkBM
Assuming Complete Combustion    (2021-05-10 11:38:16)
CH4  +   2O2  = CO2 + 2H2O
1 kmole CH4 (16 kg) yield 1 kmole CO2(44kg)</t>
        </r>
      </text>
    </comment>
    <comment ref="Q9" authorId="0" shapeId="0" xr:uid="{00000000-0006-0000-0F00-000002000000}">
      <text>
        <r>
          <rPr>
            <sz val="8"/>
            <color rgb="FF000000"/>
            <rFont val="Calibri"/>
            <scheme val="minor"/>
          </rPr>
          <t>======
ID#AAAAIbggkAI
    (2021-05-10 11:38:16)
Uncombusted Flare Emission of CH4 =
mass flow of CH4 (short tons/yr) x (normalized collection Efficiency) x (1 - flare control efficiency)</t>
        </r>
      </text>
    </comment>
    <comment ref="R9" authorId="0" shapeId="0" xr:uid="{00000000-0006-0000-0F00-000003000000}">
      <text>
        <r>
          <rPr>
            <sz val="8"/>
            <color rgb="FF000000"/>
            <rFont val="Calibri"/>
            <scheme val="minor"/>
          </rPr>
          <t>======
ID#AAAAIbggkD4
    (2021-05-10 11:38:16)
Fugitive Emission of CH4 =
(mass flow of CH4, tons/yr) x (1- normalized collection efiiciency) x (1- surface oxidation factor)</t>
        </r>
      </text>
    </comment>
    <comment ref="L11" authorId="0" shapeId="0" xr:uid="{00000000-0006-0000-0F00-000004000000}">
      <text>
        <r>
          <rPr>
            <sz val="8"/>
            <color rgb="FF000000"/>
            <rFont val="Calibri"/>
            <scheme val="minor"/>
          </rPr>
          <t>======
ID#AAAAIbggkBs
    (2021-05-10 11:38:16)
2011 Emission Certificate Report: LFG Flow to flare=558.4/LFG Generation Rate =773.0</t>
        </r>
      </text>
    </comment>
    <comment ref="K15" authorId="0" shapeId="0" xr:uid="{00000000-0006-0000-0F00-000005000000}">
      <text>
        <r>
          <rPr>
            <sz val="8"/>
            <color rgb="FF000000"/>
            <rFont val="Calibri"/>
            <scheme val="minor"/>
          </rPr>
          <t>======
ID#AAAAIbggkHs
Qudus    (2021-05-10 11:38:16)
New ECR Data</t>
        </r>
      </text>
    </comment>
    <comment ref="L16" authorId="0" shapeId="0" xr:uid="{00000000-0006-0000-0F00-000006000000}">
      <text>
        <r>
          <rPr>
            <sz val="8"/>
            <color rgb="FF000000"/>
            <rFont val="Calibri"/>
            <scheme val="minor"/>
          </rPr>
          <t>======
ID#AAAAIbggkDk
    (2021-05-10 11:38:16)
2011 Emission Certification Report.</t>
        </r>
      </text>
    </comment>
    <comment ref="D21" authorId="0" shapeId="0" xr:uid="{00000000-0006-0000-0F00-000007000000}">
      <text>
        <r>
          <rPr>
            <sz val="8"/>
            <color rgb="FF000000"/>
            <rFont val="Calibri"/>
            <scheme val="minor"/>
          </rPr>
          <t>======
ID#AAAAIbggj-Q
wsimms    (2021-05-10 11:38:16)
CHANGED 2008 FROM 13.8 TO 18.320622 MILLION.</t>
        </r>
      </text>
    </comment>
    <comment ref="D23" authorId="0" shapeId="0" xr:uid="{00000000-0006-0000-0F00-000008000000}">
      <text>
        <r>
          <rPr>
            <sz val="8"/>
            <color rgb="FF000000"/>
            <rFont val="Calibri"/>
            <scheme val="minor"/>
          </rPr>
          <t>======
ID#AAAAIbggkDM
wsimms    (2021-05-10 11:38:16)
CHANGED 2008 FROM 7.8 TO 22.813 MILLION.</t>
        </r>
      </text>
    </comment>
    <comment ref="L23" authorId="0" shapeId="0" xr:uid="{00000000-0006-0000-0F00-000009000000}">
      <text>
        <r>
          <rPr>
            <sz val="8"/>
            <color rgb="FF000000"/>
            <rFont val="Calibri"/>
            <scheme val="minor"/>
          </rPr>
          <t>======
ID#AAAAIbggj_U
    (2021-05-10 11:38:16)
2011 Emission Certification Report.</t>
        </r>
      </text>
    </comment>
    <comment ref="N23" authorId="0" shapeId="0" xr:uid="{00000000-0006-0000-0F00-00000A000000}">
      <text>
        <r>
          <rPr>
            <sz val="8"/>
            <color rgb="FF000000"/>
            <rFont val="Calibri"/>
            <scheme val="minor"/>
          </rPr>
          <t>======
ID#AAAAIbggkIA
    (2021-05-10 11:38:16)
Emission Certification Report.</t>
        </r>
      </text>
    </comment>
    <comment ref="D27" authorId="0" shapeId="0" xr:uid="{00000000-0006-0000-0F00-00000B000000}">
      <text>
        <r>
          <rPr>
            <sz val="8"/>
            <color rgb="FF000000"/>
            <rFont val="Calibri"/>
            <scheme val="minor"/>
          </rPr>
          <t>======
ID#AAAAIbggkFI
wsimms    (2021-05-10 11:38:16)
CHANGED 2008 2.1 TO 2.79929</t>
        </r>
      </text>
    </comment>
    <comment ref="D31" authorId="0" shapeId="0" xr:uid="{00000000-0006-0000-0F00-00000C000000}">
      <text>
        <r>
          <rPr>
            <sz val="8"/>
            <color rgb="FF000000"/>
            <rFont val="Calibri"/>
            <scheme val="minor"/>
          </rPr>
          <t>======
ID#AAAAIbggkKI
wsimms    (2021-05-10 11:38:16)
CHANGED 2008 FROM 2.6 TO 3.504187 MILLION.</t>
        </r>
      </text>
    </comment>
    <comment ref="L31" authorId="0" shapeId="0" xr:uid="{00000000-0006-0000-0F00-00000D000000}">
      <text>
        <r>
          <rPr>
            <sz val="8"/>
            <color rgb="FF000000"/>
            <rFont val="Calibri"/>
            <scheme val="minor"/>
          </rPr>
          <t>======
ID#AAAAIbggkJM
    (2021-05-10 11:38:16)
2011 Emission Certification Report.</t>
        </r>
      </text>
    </comment>
    <comment ref="N31" authorId="0" shapeId="0" xr:uid="{00000000-0006-0000-0F00-00000E000000}">
      <text>
        <r>
          <rPr>
            <sz val="8"/>
            <color rgb="FF000000"/>
            <rFont val="Calibri"/>
            <scheme val="minor"/>
          </rPr>
          <t>======
ID#AAAAIbggkAg
    (2021-05-10 11:38:16)
2011 Emission Certification Report.</t>
        </r>
      </text>
    </comment>
    <comment ref="L33" authorId="0" shapeId="0" xr:uid="{00000000-0006-0000-0F00-00000F000000}">
      <text>
        <r>
          <rPr>
            <sz val="8"/>
            <color rgb="FF000000"/>
            <rFont val="Calibri"/>
            <scheme val="minor"/>
          </rPr>
          <t>======
ID#AAAAIbggkFw
    (2021-05-10 11:38:16)
2011  GHGRP Report</t>
        </r>
      </text>
    </comment>
    <comment ref="N33" authorId="0" shapeId="0" xr:uid="{00000000-0006-0000-0F00-000010000000}">
      <text>
        <r>
          <rPr>
            <sz val="8"/>
            <color rgb="FF000000"/>
            <rFont val="Calibri"/>
            <scheme val="minor"/>
          </rPr>
          <t>======
ID#AAAAIbggkCs
    (2021-05-10 11:38:16)
Emission Certification Report.</t>
        </r>
      </text>
    </comment>
    <comment ref="D36" authorId="0" shapeId="0" xr:uid="{00000000-0006-0000-0F00-000011000000}">
      <text>
        <r>
          <rPr>
            <sz val="8"/>
            <color rgb="FF000000"/>
            <rFont val="Calibri"/>
            <scheme val="minor"/>
          </rPr>
          <t>======
ID#AAAAIbggkGU
wsimms    (2021-05-10 11:38:16)
CHANGED 2008 FROM 3.0 TO 4.505 MILLION.</t>
        </r>
      </text>
    </comment>
    <comment ref="L36" authorId="0" shapeId="0" xr:uid="{00000000-0006-0000-0F00-000012000000}">
      <text>
        <r>
          <rPr>
            <sz val="8"/>
            <color rgb="FF000000"/>
            <rFont val="Calibri"/>
            <scheme val="minor"/>
          </rPr>
          <t>======
ID#AAAAIbggkHk
    (2021-05-10 11:38:16)
2011 Emission Certificate Report.</t>
        </r>
      </text>
    </comment>
    <comment ref="N36" authorId="0" shapeId="0" xr:uid="{00000000-0006-0000-0F00-000013000000}">
      <text>
        <r>
          <rPr>
            <sz val="8"/>
            <color rgb="FF000000"/>
            <rFont val="Calibri"/>
            <scheme val="minor"/>
          </rPr>
          <t>======
ID#AAAAIbggkDU
    (2021-05-10 11:38:16)
2011 Emission Certification Report.</t>
        </r>
      </text>
    </comment>
    <comment ref="D38" authorId="0" shapeId="0" xr:uid="{00000000-0006-0000-0F00-000014000000}">
      <text>
        <r>
          <rPr>
            <sz val="8"/>
            <color rgb="FF000000"/>
            <rFont val="Calibri"/>
            <scheme val="minor"/>
          </rPr>
          <t>======
ID#AAAAIbggkKM
wsimms    (2021-05-10 11:38:16)
CHANGED 2008 FROM 3.2 TO 4.3747 MILLION.</t>
        </r>
      </text>
    </comment>
    <comment ref="D42" authorId="0" shapeId="0" xr:uid="{00000000-0006-0000-0F00-000015000000}">
      <text>
        <r>
          <rPr>
            <sz val="8"/>
            <color rgb="FF000000"/>
            <rFont val="Calibri"/>
            <scheme val="minor"/>
          </rPr>
          <t>======
ID#AAAAIbggj80
wsimms    (2021-05-10 11:38:16)
2005 CAPACITY 4.1 MILLION WAS NOT CHANGED EVEN THOUGH 2008 WAS LISTED AS 1.483205.</t>
        </r>
      </text>
    </comment>
    <comment ref="K42" authorId="0" shapeId="0" xr:uid="{00000000-0006-0000-0F00-000016000000}">
      <text>
        <r>
          <rPr>
            <sz val="8"/>
            <color rgb="FF000000"/>
            <rFont val="Calibri"/>
            <scheme val="minor"/>
          </rPr>
          <t>======
ID#AAAAIbggkIg
Qudus    (2021-05-10 11:38:16)
GHGRP_Data</t>
        </r>
      </text>
    </comment>
    <comment ref="D44" authorId="0" shapeId="0" xr:uid="{00000000-0006-0000-0F00-000017000000}">
      <text>
        <r>
          <rPr>
            <sz val="8"/>
            <color rgb="FF000000"/>
            <rFont val="Calibri"/>
            <scheme val="minor"/>
          </rPr>
          <t>======
ID#AAAAIbggkJ4
wsimms    (2021-05-10 11:38:16)
CHANGED 2008 FROM 0.75 TO 1.0009 MILLION.</t>
        </r>
      </text>
    </comment>
    <comment ref="L45" authorId="0" shapeId="0" xr:uid="{00000000-0006-0000-0F00-000018000000}">
      <text>
        <r>
          <rPr>
            <sz val="8"/>
            <color rgb="FF000000"/>
            <rFont val="Calibri"/>
            <scheme val="minor"/>
          </rPr>
          <t>======
ID#AAAAIbggj-g
    (2021-05-10 11:38:16)
2011 Emission Certification Report.</t>
        </r>
      </text>
    </comment>
    <comment ref="N45" authorId="0" shapeId="0" xr:uid="{00000000-0006-0000-0F00-000019000000}">
      <text>
        <r>
          <rPr>
            <sz val="8"/>
            <color rgb="FF000000"/>
            <rFont val="Calibri"/>
            <scheme val="minor"/>
          </rPr>
          <t>======
ID#AAAAIbggkCE
    (2021-05-10 11:38:16)
2011 Emission Certification Report.</t>
        </r>
      </text>
    </comment>
    <comment ref="D46" authorId="0" shapeId="0" xr:uid="{00000000-0006-0000-0F00-00001A000000}">
      <text>
        <r>
          <rPr>
            <sz val="8"/>
            <color rgb="FF000000"/>
            <rFont val="Calibri"/>
            <scheme val="minor"/>
          </rPr>
          <t>======
ID#AAAAIbggkI0
wsimms    (2021-05-10 11:38:16)
CHANGED 2008 FROM 3.2 TO 4.226188 MILLION.</t>
        </r>
      </text>
    </comment>
    <comment ref="C48" authorId="0" shapeId="0" xr:uid="{00000000-0006-0000-0F00-00001B000000}">
      <text>
        <r>
          <rPr>
            <sz val="8"/>
            <color rgb="FF000000"/>
            <rFont val="Calibri"/>
            <scheme val="minor"/>
          </rPr>
          <t>======
ID#AAAAIbggkBA
Walter A. Simms    (2021-05-10 11:38:16)
This landfill was known by the name Del Signiore, but it is now Garrett Co. SWD&amp;RF</t>
        </r>
      </text>
    </comment>
    <comment ref="D48" authorId="0" shapeId="0" xr:uid="{00000000-0006-0000-0F00-00001C000000}">
      <text>
        <r>
          <rPr>
            <sz val="8"/>
            <color rgb="FF000000"/>
            <rFont val="Calibri"/>
            <scheme val="minor"/>
          </rPr>
          <t>======
ID#AAAAIbggkIE
wsimms    (2021-05-10 11:38:16)
CHANGED 2008 FROM 1.5 TO 1.537185 MILLION.</t>
        </r>
      </text>
    </comment>
    <comment ref="D51" authorId="0" shapeId="0" xr:uid="{00000000-0006-0000-0F00-00001D000000}">
      <text>
        <r>
          <rPr>
            <sz val="8"/>
            <color rgb="FF000000"/>
            <rFont val="Calibri"/>
            <scheme val="minor"/>
          </rPr>
          <t>======
ID#AAAAIbggkEQ
wsimms    (2021-05-10 11:38:16)
CHANGED 2008 FROM 2.3 TO 2.98 MILLION.</t>
        </r>
      </text>
    </comment>
    <comment ref="D53" authorId="0" shapeId="0" xr:uid="{00000000-0006-0000-0F00-00001E000000}">
      <text>
        <r>
          <rPr>
            <sz val="8"/>
            <color rgb="FF000000"/>
            <rFont val="Calibri"/>
            <scheme val="minor"/>
          </rPr>
          <t>======
ID#AAAAIbggkI4
wsimms    (2021-05-10 11:38:16)
CHANGED 2008 7.1 TO 9.978 MILLION TONS.</t>
        </r>
      </text>
    </comment>
    <comment ref="L61" authorId="0" shapeId="0" xr:uid="{00000000-0006-0000-0F00-00001F000000}">
      <text>
        <r>
          <rPr>
            <sz val="8"/>
            <color rgb="FF000000"/>
            <rFont val="Calibri"/>
            <scheme val="minor"/>
          </rPr>
          <t>======
ID#AAAAIbggkGk
    (2021-05-10 11:38:16)
2011 Emission Certificate Report</t>
        </r>
      </text>
    </comment>
    <comment ref="N61" authorId="0" shapeId="0" xr:uid="{00000000-0006-0000-0F00-000020000000}">
      <text>
        <r>
          <rPr>
            <sz val="8"/>
            <color rgb="FF000000"/>
            <rFont val="Calibri"/>
            <scheme val="minor"/>
          </rPr>
          <t>======
ID#AAAAIbggkGY
    (2021-05-10 11:38:16)
2011 Emission Certificate Report</t>
        </r>
      </text>
    </comment>
    <comment ref="D62" authorId="0" shapeId="0" xr:uid="{00000000-0006-0000-0F00-000021000000}">
      <text>
        <r>
          <rPr>
            <sz val="8"/>
            <color rgb="FF000000"/>
            <rFont val="Calibri"/>
            <scheme val="minor"/>
          </rPr>
          <t>======
ID#AAAAIbggkAY
wsimms    (2021-05-10 11:38:16)
CHANGED 2008 FROM 12.4 TO 16.0</t>
        </r>
      </text>
    </comment>
    <comment ref="L62" authorId="0" shapeId="0" xr:uid="{00000000-0006-0000-0F00-000022000000}">
      <text>
        <r>
          <rPr>
            <sz val="8"/>
            <color rgb="FF000000"/>
            <rFont val="Calibri"/>
            <scheme val="minor"/>
          </rPr>
          <t>======
ID#AAAAIbggkCA
    (2021-05-10 11:38:16)
2011 Emission Certificate Report</t>
        </r>
      </text>
    </comment>
    <comment ref="N62" authorId="0" shapeId="0" xr:uid="{00000000-0006-0000-0F00-000023000000}">
      <text>
        <r>
          <rPr>
            <sz val="8"/>
            <color rgb="FF000000"/>
            <rFont val="Calibri"/>
            <scheme val="minor"/>
          </rPr>
          <t>======
ID#AAAAIbggkJc
    (2021-05-10 11:38:16)
2011 Emission Certificate Report.</t>
        </r>
      </text>
    </comment>
    <comment ref="I63" authorId="0" shapeId="0" xr:uid="{00000000-0006-0000-0F00-000024000000}">
      <text>
        <r>
          <rPr>
            <sz val="8"/>
            <color rgb="FF000000"/>
            <rFont val="Calibri"/>
            <scheme val="minor"/>
          </rPr>
          <t>======
ID#AAAAIbggj-k
Walter A. Simms    (2021-05-10 11:38:16)
CLOSED JUNE 2000</t>
        </r>
      </text>
    </comment>
    <comment ref="L63" authorId="0" shapeId="0" xr:uid="{00000000-0006-0000-0F00-000025000000}">
      <text>
        <r>
          <rPr>
            <sz val="8"/>
            <color rgb="FF000000"/>
            <rFont val="Calibri"/>
            <scheme val="minor"/>
          </rPr>
          <t>======
ID#AAAAIbggkIc
    (2021-05-10 11:38:16)
2011 Emission Certification Report.</t>
        </r>
      </text>
    </comment>
    <comment ref="N63" authorId="0" shapeId="0" xr:uid="{00000000-0006-0000-0F00-000026000000}">
      <text>
        <r>
          <rPr>
            <sz val="8"/>
            <color rgb="FF000000"/>
            <rFont val="Calibri"/>
            <scheme val="minor"/>
          </rPr>
          <t>======
ID#AAAAIbggj9E
    (2021-05-10 11:38:16)
2011 Emission Certification Report.</t>
        </r>
      </text>
    </comment>
    <comment ref="C64" authorId="0" shapeId="0" xr:uid="{00000000-0006-0000-0F00-000027000000}">
      <text>
        <r>
          <rPr>
            <sz val="8"/>
            <color rgb="FF000000"/>
            <rFont val="Calibri"/>
            <scheme val="minor"/>
          </rPr>
          <t>======
ID#AAAAIbggkFY
Walter A. Simms    (2021-05-10 11:38:16)
Both Area #1 and #2 are calculated on this row.</t>
        </r>
      </text>
    </comment>
    <comment ref="C66" authorId="0" shapeId="0" xr:uid="{00000000-0006-0000-0F00-000028000000}">
      <text>
        <r>
          <rPr>
            <sz val="8"/>
            <color rgb="FF000000"/>
            <rFont val="Calibri"/>
            <scheme val="minor"/>
          </rPr>
          <t>======
ID#AAAAIbggkC8
Walter A. Simms    (2021-05-10 11:38:16)
Somerset County MLF was also known as Fairmount Rd MLF.</t>
        </r>
      </text>
    </comment>
    <comment ref="D66" authorId="0" shapeId="0" xr:uid="{00000000-0006-0000-0F00-000029000000}">
      <text>
        <r>
          <rPr>
            <sz val="8"/>
            <color rgb="FF000000"/>
            <rFont val="Calibri"/>
            <scheme val="minor"/>
          </rPr>
          <t>======
ID#AAAAIbggkJs
wsimms    (2021-05-10 11:38:16)
CHANGED 2008 FROM 1.5 TO 1.610 MILLION.</t>
        </r>
      </text>
    </comment>
    <comment ref="D69" authorId="0" shapeId="0" xr:uid="{00000000-0006-0000-0F00-00002A000000}">
      <text>
        <r>
          <rPr>
            <sz val="8"/>
            <color rgb="FF000000"/>
            <rFont val="Calibri"/>
            <scheme val="minor"/>
          </rPr>
          <t>======
ID#AAAAIbggkFM
wsimms    (2021-05-10 11:38:16)
CHANGED 2008 FROM 2.2 TO 3.751244 MILLION.</t>
        </r>
      </text>
    </comment>
    <comment ref="C72" authorId="0" shapeId="0" xr:uid="{00000000-0006-0000-0F00-00002B000000}">
      <text>
        <r>
          <rPr>
            <sz val="8"/>
            <color rgb="FF000000"/>
            <rFont val="Calibri"/>
            <scheme val="minor"/>
          </rPr>
          <t>======
ID#AAAAIbggj9Q
Walter A. Simms    (2021-05-10 11:38:16)
OPENED 1982 CLOSED IN1998; REOPENED IN 1998 AND CLOSED IN 2000.</t>
        </r>
      </text>
    </comment>
    <comment ref="C73" authorId="0" shapeId="0" xr:uid="{00000000-0006-0000-0F00-00002C000000}">
      <text>
        <r>
          <rPr>
            <sz val="8"/>
            <color rgb="FF000000"/>
            <rFont val="Calibri"/>
            <scheme val="minor"/>
          </rPr>
          <t>======
ID#AAAAIbggkEE
Walter A. Simms    (2021-05-10 11:38:16)
NEW, OPENED 2000</t>
        </r>
      </text>
    </comment>
    <comment ref="D73" authorId="0" shapeId="0" xr:uid="{00000000-0006-0000-0F00-00002D000000}">
      <text>
        <r>
          <rPr>
            <sz val="8"/>
            <color rgb="FF000000"/>
            <rFont val="Calibri"/>
            <scheme val="minor"/>
          </rPr>
          <t>======
ID#AAAAIbggj_s
wsimms    (2021-05-10 11:38:16)
CHANGED 2008 FROM 11.8 TO 20.273 MILLION.</t>
        </r>
      </text>
    </comment>
    <comment ref="D75" authorId="0" shapeId="0" xr:uid="{00000000-0006-0000-0F00-00002E000000}">
      <text>
        <r>
          <rPr>
            <sz val="8"/>
            <color rgb="FF000000"/>
            <rFont val="Calibri"/>
            <scheme val="minor"/>
          </rPr>
          <t>======
ID#AAAAIbggj_g
wsimms    (2021-05-10 11:38:16)
CHANGED 2008 FROM 5.4 TO 7.2 MILLION.</t>
        </r>
      </text>
    </comment>
    <comment ref="D77" authorId="0" shapeId="0" xr:uid="{00000000-0006-0000-0F00-00002F000000}">
      <text>
        <r>
          <rPr>
            <sz val="8"/>
            <color rgb="FF000000"/>
            <rFont val="Calibri"/>
            <scheme val="minor"/>
          </rPr>
          <t>======
ID#AAAAIbggkFE
wsimms    (2021-05-10 11:38:16)
CHANGED 2008 FROM 8.6 TO 4.8 MILLION.</t>
        </r>
      </text>
    </comment>
    <comment ref="J87" authorId="0" shapeId="0" xr:uid="{00000000-0006-0000-0F00-000030000000}">
      <text>
        <r>
          <rPr>
            <sz val="8"/>
            <color rgb="FF000000"/>
            <rFont val="Calibri"/>
            <scheme val="minor"/>
          </rPr>
          <t>======
ID#AAAAIbggkA0
    (2021-05-10 11:38:16)
Assume 7 % of MSW)</t>
        </r>
      </text>
    </comment>
    <comment ref="M90" authorId="0" shapeId="0" xr:uid="{00000000-0006-0000-0F00-000031000000}">
      <text>
        <r>
          <rPr>
            <sz val="8"/>
            <color rgb="FF000000"/>
            <rFont val="Calibri"/>
            <scheme val="minor"/>
          </rPr>
          <t>======
ID#AAAAIbggkDY
    (2021-05-10 11:38:16)
Flared CH4 + Landill Gas-to-Energy CH4</t>
        </r>
      </text>
    </comment>
    <comment ref="U96" authorId="0" shapeId="0" xr:uid="{00000000-0006-0000-0F00-000032000000}">
      <text>
        <r>
          <rPr>
            <sz val="8"/>
            <color rgb="FF000000"/>
            <rFont val="Calibri"/>
            <scheme val="minor"/>
          </rPr>
          <t>======
ID#AAAAIbggkE8
    (2021-05-10 11:38:16)
Assumed 7% of MSW</t>
        </r>
      </text>
    </comment>
    <comment ref="U98" authorId="0" shapeId="0" xr:uid="{00000000-0006-0000-0F00-000033000000}">
      <text>
        <r>
          <rPr>
            <sz val="8"/>
            <color rgb="FF000000"/>
            <rFont val="Calibri"/>
            <scheme val="minor"/>
          </rPr>
          <t>======
ID#AAAAIbggkAM
    (2021-05-10 11:38:16)
Assumed 7% of MSW</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E10" authorId="0" shapeId="0" xr:uid="{00000000-0006-0000-1400-000001000000}">
      <text>
        <r>
          <rPr>
            <sz val="8"/>
            <color rgb="FF000000"/>
            <rFont val="Calibri"/>
            <scheme val="minor"/>
          </rPr>
          <t>======
ID#AAAAIbggj9I
    (2021-05-10 11:38:16)
Based on 2011 Pop.</t>
        </r>
      </text>
    </comment>
    <comment ref="E16" authorId="0" shapeId="0" xr:uid="{00000000-0006-0000-1400-000002000000}">
      <text>
        <r>
          <rPr>
            <sz val="8"/>
            <color rgb="FF000000"/>
            <rFont val="Calibri"/>
            <scheme val="minor"/>
          </rPr>
          <t>======
ID#AAAAIbggj9o
    (2021-05-10 11:38:16)
2010 Available data.</t>
        </r>
      </text>
    </comment>
    <comment ref="C22" authorId="0" shapeId="0" xr:uid="{00000000-0006-0000-1400-000003000000}">
      <text>
        <r>
          <rPr>
            <sz val="8"/>
            <color rgb="FF000000"/>
            <rFont val="Calibri"/>
            <scheme val="minor"/>
          </rPr>
          <t>======
ID#AAAAIbggkE0
sal    (2021-05-10 11:38:16)
SIT Default 2010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D200" authorId="0" shapeId="0" xr:uid="{00000000-0006-0000-0200-000001000000}">
      <text>
        <r>
          <rPr>
            <sz val="8"/>
            <color rgb="FF000000"/>
            <rFont val="Calibri"/>
            <scheme val="minor"/>
          </rPr>
          <t>Taken as ratio to methane emission from reservoir surface</t>
        </r>
      </text>
    </comment>
    <comment ref="D213" authorId="0" shapeId="0" xr:uid="{00000000-0006-0000-0200-000002000000}">
      <text>
        <r>
          <rPr>
            <sz val="8"/>
            <color rgb="FF000000"/>
            <rFont val="Calibri"/>
            <scheme val="minor"/>
          </rPr>
          <t>Taken as ratio to methane emission from reservoir surface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30" authorId="0" shapeId="0" xr:uid="{00000000-0006-0000-0500-000001000000}">
      <text>
        <r>
          <rPr>
            <sz val="8"/>
            <color rgb="FF000000"/>
            <rFont val="Calibri"/>
            <scheme val="minor"/>
          </rPr>
          <t>======
ID#AAAAIbggj_I
    (2021-05-10 11:38:16)
Equivalent to 12,000 Btu/lb</t>
        </r>
      </text>
    </comment>
    <comment ref="J101" authorId="0" shapeId="0" xr:uid="{00000000-0006-0000-0500-000002000000}">
      <text>
        <r>
          <rPr>
            <sz val="8"/>
            <color rgb="FF000000"/>
            <rFont val="Calibri"/>
            <scheme val="minor"/>
          </rPr>
          <t>======
ID#AAAAIbggkJ0
    (2021-05-10 11:38:16)
CEM MMBTU</t>
        </r>
      </text>
    </comment>
    <comment ref="J106" authorId="0" shapeId="0" xr:uid="{00000000-0006-0000-0500-000003000000}">
      <text>
        <r>
          <rPr>
            <sz val="8"/>
            <color rgb="FF000000"/>
            <rFont val="Calibri"/>
            <scheme val="minor"/>
          </rPr>
          <t>======
ID#AAAAIbggkI8
    (2021-05-10 11:38:16)
CEM MMBTU</t>
        </r>
      </text>
    </comment>
    <comment ref="J108" authorId="0" shapeId="0" xr:uid="{00000000-0006-0000-0500-000004000000}">
      <text>
        <r>
          <rPr>
            <sz val="8"/>
            <color rgb="FF000000"/>
            <rFont val="Calibri"/>
            <scheme val="minor"/>
          </rPr>
          <t>======
ID#AAAAIbggj_A
    (2021-05-10 11:38:16)
CEM MMBTU</t>
        </r>
      </text>
    </comment>
    <comment ref="J110" authorId="0" shapeId="0" xr:uid="{00000000-0006-0000-0500-000005000000}">
      <text>
        <r>
          <rPr>
            <sz val="8"/>
            <color rgb="FF000000"/>
            <rFont val="Calibri"/>
            <scheme val="minor"/>
          </rPr>
          <t>======
ID#AAAAIbggj-8
    (2021-05-10 11:38:16)
CEM MMBTU</t>
        </r>
      </text>
    </comment>
    <comment ref="F186" authorId="0" shapeId="0" xr:uid="{00000000-0006-0000-0500-000006000000}">
      <text>
        <r>
          <rPr>
            <sz val="8"/>
            <color rgb="FF000000"/>
            <rFont val="Calibri"/>
            <scheme val="minor"/>
          </rPr>
          <t>======
ID#AAAAIbggkEI
    (2021-05-10 11:38:16)
Back Calculation from MMBTU</t>
        </r>
      </text>
    </comment>
    <comment ref="J186" authorId="0" shapeId="0" xr:uid="{00000000-0006-0000-0500-000007000000}">
      <text>
        <r>
          <rPr>
            <sz val="8"/>
            <color rgb="FF000000"/>
            <rFont val="Calibri"/>
            <scheme val="minor"/>
          </rPr>
          <t>======
ID#AAAAIbggj90
    (2021-05-10 11:38:16)
Qty not reported, but MMBTU reported in ECR</t>
        </r>
      </text>
    </comment>
    <comment ref="F188" authorId="0" shapeId="0" xr:uid="{00000000-0006-0000-0500-000008000000}">
      <text>
        <r>
          <rPr>
            <sz val="8"/>
            <color rgb="FF000000"/>
            <rFont val="Calibri"/>
            <scheme val="minor"/>
          </rPr>
          <t>======
ID#AAAAIbggkGw
    (2021-05-10 11:38:16)
Back Calculation from MMBTU</t>
        </r>
      </text>
    </comment>
    <comment ref="J188" authorId="0" shapeId="0" xr:uid="{00000000-0006-0000-0500-000009000000}">
      <text>
        <r>
          <rPr>
            <sz val="8"/>
            <color rgb="FF000000"/>
            <rFont val="Calibri"/>
            <scheme val="minor"/>
          </rPr>
          <t>======
ID#AAAAIbggkJk
    (2021-05-10 11:38:16)
Qty not reported, but MMBTU reported in ECR</t>
        </r>
      </text>
    </comment>
    <comment ref="C226" authorId="0" shapeId="0" xr:uid="{00000000-0006-0000-0500-00000A000000}">
      <text>
        <r>
          <rPr>
            <sz val="8"/>
            <color rgb="FF000000"/>
            <rFont val="Calibri"/>
            <scheme val="minor"/>
          </rPr>
          <t>======
ID#AAAAIbggj8k
    (2021-05-10 11:38:16)
New Name: Calpine Corporation.</t>
        </r>
      </text>
    </comment>
    <comment ref="F371" authorId="0" shapeId="0" xr:uid="{00000000-0006-0000-0500-00000B000000}">
      <text>
        <r>
          <rPr>
            <sz val="8"/>
            <color rgb="FF000000"/>
            <rFont val="Calibri"/>
            <scheme val="minor"/>
          </rPr>
          <t>======
ID#AAAAIbggj-c
    (2021-05-10 11:38:16)
Back Cal from CO2 Emission.NO Qt,in CER</t>
        </r>
      </text>
    </comment>
    <comment ref="G422" authorId="0" shapeId="0" xr:uid="{00000000-0006-0000-0500-00000C000000}">
      <text>
        <r>
          <rPr>
            <sz val="8"/>
            <color rgb="FF000000"/>
            <rFont val="Calibri"/>
            <scheme val="minor"/>
          </rPr>
          <t>======
ID#AAAAIbggj8w
    (2021-05-10 11:38:16)
MMTCE is converted to MMTCO2E by multiplying by 44/12.</t>
        </r>
      </text>
    </comment>
    <comment ref="G434" authorId="0" shapeId="0" xr:uid="{00000000-0006-0000-0500-00000D000000}">
      <text>
        <r>
          <rPr>
            <sz val="8"/>
            <color rgb="FF000000"/>
            <rFont val="Calibri"/>
            <scheme val="minor"/>
          </rPr>
          <t>======
ID#AAAAIbggkDc
    (2021-05-10 11:38:16)
MMTCE is converted to MMTCO2E by multiplying by 44/12.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219" authorId="0" shapeId="0" xr:uid="{00000000-0006-0000-0600-000001000000}">
      <text>
        <r>
          <rPr>
            <sz val="8"/>
            <color rgb="FF000000"/>
            <rFont val="Calibri"/>
            <scheme val="minor"/>
          </rPr>
          <t>======
ID#AAAAIbggj9U
    (2021-05-10 11:38:16)
Back Caclulation from MMBTU</t>
        </r>
      </text>
    </comment>
    <comment ref="F220" authorId="0" shapeId="0" xr:uid="{00000000-0006-0000-0600-000002000000}">
      <text>
        <r>
          <rPr>
            <sz val="8"/>
            <color rgb="FF000000"/>
            <rFont val="Calibri"/>
            <scheme val="minor"/>
          </rPr>
          <t>======
ID#AAAAIbggj-s
    (2021-05-10 11:38:16)
Back calculated from Heat Input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15" authorId="0" shapeId="0" xr:uid="{00000000-0006-0000-0400-000001000000}">
      <text>
        <r>
          <rPr>
            <sz val="8"/>
            <color rgb="FF000000"/>
            <rFont val="Calibri"/>
            <scheme val="minor"/>
          </rPr>
          <t>======
ID#AAAAIbggj-M
    (2021-05-10 11:38:16)
10,862 Btu/lb HHV</t>
        </r>
      </text>
    </comment>
    <comment ref="E15" authorId="0" shapeId="0" xr:uid="{00000000-0006-0000-0400-000002000000}">
      <text>
        <r>
          <rPr>
            <sz val="8"/>
            <color rgb="FF000000"/>
            <rFont val="Calibri"/>
            <scheme val="minor"/>
          </rPr>
          <t>======
ID#AAAAIbggkGQ
    (2021-05-10 11:38:16)
141,324 Btu/gal</t>
        </r>
      </text>
    </comment>
    <comment ref="F15" authorId="0" shapeId="0" xr:uid="{00000000-0006-0000-0400-000003000000}">
      <text>
        <r>
          <rPr>
            <sz val="8"/>
            <color rgb="FF000000"/>
            <rFont val="Calibri"/>
            <scheme val="minor"/>
          </rPr>
          <t>======
ID#AAAAIbggj-E
    (2021-05-10 11:38:16)
140,001 Btu/gal</t>
        </r>
      </text>
    </comment>
    <comment ref="G15" authorId="0" shapeId="0" xr:uid="{00000000-0006-0000-0400-000004000000}">
      <text>
        <r>
          <rPr>
            <sz val="8"/>
            <color rgb="FF000000"/>
            <rFont val="Calibri"/>
            <scheme val="minor"/>
          </rPr>
          <t>======
ID#AAAAIbggj8g
    (2021-05-10 11:38:16)
4,643 Btu/lbs HHV.</t>
        </r>
      </text>
    </comment>
    <comment ref="H15" authorId="0" shapeId="0" xr:uid="{00000000-0006-0000-0400-000005000000}">
      <text>
        <r>
          <rPr>
            <sz val="8"/>
            <color rgb="FF000000"/>
            <rFont val="Calibri"/>
            <scheme val="minor"/>
          </rPr>
          <t>======
ID#AAAAIbggj-U
    (2021-05-10 11:38:16)
1,053 Btu/scf</t>
        </r>
      </text>
    </comment>
    <comment ref="I18" authorId="0" shapeId="0" xr:uid="{00000000-0006-0000-0400-000006000000}">
      <text>
        <r>
          <rPr>
            <sz val="8"/>
            <color rgb="FF000000"/>
            <rFont val="Calibri"/>
            <scheme val="minor"/>
          </rPr>
          <t>======
ID#AAAAIbggkA8
    (2021-05-10 11:38:16)
CEM Measurement.</t>
        </r>
      </text>
    </comment>
    <comment ref="I22" authorId="0" shapeId="0" xr:uid="{00000000-0006-0000-0400-000007000000}">
      <text>
        <r>
          <rPr>
            <sz val="8"/>
            <color rgb="FF000000"/>
            <rFont val="Calibri"/>
            <scheme val="minor"/>
          </rPr>
          <t>======
ID#AAAAIbggkBY
    (2021-05-10 11:38:16)
CEM Measurement.</t>
        </r>
      </text>
    </comment>
    <comment ref="I26" authorId="0" shapeId="0" xr:uid="{00000000-0006-0000-0400-000008000000}">
      <text>
        <r>
          <rPr>
            <sz val="8"/>
            <color rgb="FF000000"/>
            <rFont val="Calibri"/>
            <scheme val="minor"/>
          </rPr>
          <t>======
ID#AAAAIbggkH0
    (2021-05-10 11:38:16)
CEM Measurement.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86" authorId="0" shapeId="0" xr:uid="{00000000-0006-0000-0700-000001000000}">
      <text>
        <r>
          <rPr>
            <sz val="8"/>
            <color rgb="FF000000"/>
            <rFont val="Calibri"/>
            <scheme val="minor"/>
          </rPr>
          <t>======
ID#AAAAIbggkDw
rthunell    (2021-05-10 11:38:16)
Estimated value based on Emission Rates of Marginal Units
Presented only for Trends purposes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F5" authorId="0" shapeId="0" xr:uid="{00000000-0006-0000-0900-000001000000}">
      <text>
        <r>
          <rPr>
            <sz val="8"/>
            <color rgb="FF000000"/>
            <rFont val="Calibri"/>
            <scheme val="minor"/>
          </rPr>
          <t>======
ID#AAAAIbggj-Y
    (2021-05-10 11:38:16)
Billion Btus are converted to short tons of carbon by multiplying by the emission factor, combustion efficiency, 1,000 million/billion, and 0.0005 lbs/short ton.</t>
        </r>
      </text>
    </comment>
    <comment ref="C6" authorId="0" shapeId="0" xr:uid="{00000000-0006-0000-0900-000002000000}">
      <text>
        <r>
          <rPr>
            <sz val="8"/>
            <color rgb="FF000000"/>
            <rFont val="Calibri"/>
            <scheme val="minor"/>
          </rPr>
          <t>======
ID#AAAAIbggkAw
amohammed    (2021-05-10 11:38:16)
2010 EIA Data</t>
        </r>
      </text>
    </comment>
    <comment ref="C17" authorId="0" shapeId="0" xr:uid="{00000000-0006-0000-0900-000003000000}">
      <text>
        <r>
          <rPr>
            <sz val="8"/>
            <color rgb="FF000000"/>
            <rFont val="Calibri"/>
            <scheme val="minor"/>
          </rPr>
          <t>======
ID#AAAAIbggkBc
amohammed    (2021-05-10 11:38:16)
2010 EIA data</t>
        </r>
      </text>
    </comment>
    <comment ref="B23" authorId="0" shapeId="0" xr:uid="{00000000-0006-0000-0900-000004000000}">
      <text>
        <r>
          <rPr>
            <sz val="8"/>
            <color rgb="FF000000"/>
            <rFont val="Calibri"/>
            <scheme val="minor"/>
          </rPr>
          <t>======
ID#AAAAIbggkDI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29" authorId="0" shapeId="0" xr:uid="{00000000-0006-0000-0900-000005000000}">
      <text>
        <r>
          <rPr>
            <sz val="8"/>
            <color rgb="FF000000"/>
            <rFont val="Calibri"/>
            <scheme val="minor"/>
          </rPr>
          <t>======
ID#AAAAIbggkEc
    (2021-05-10 11:38:16)
MMTCE is converted to MMTCO2E by multiplying by 44/12.</t>
        </r>
      </text>
    </comment>
    <comment ref="C30" authorId="0" shapeId="0" xr:uid="{00000000-0006-0000-0900-000006000000}">
      <text>
        <r>
          <rPr>
            <sz val="8"/>
            <color rgb="FF000000"/>
            <rFont val="Calibri"/>
            <scheme val="minor"/>
          </rPr>
          <t>======
ID#AAAAIbggkEM
amohammed    (2021-05-10 11:38:16)
2010 EIA data</t>
        </r>
      </text>
    </comment>
    <comment ref="B36" authorId="0" shapeId="0" xr:uid="{00000000-0006-0000-0900-000007000000}">
      <text>
        <r>
          <rPr>
            <sz val="8"/>
            <color rgb="FF000000"/>
            <rFont val="Calibri"/>
            <scheme val="minor"/>
          </rPr>
          <t>======
ID#AAAAIbggkG0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B51" authorId="0" shapeId="0" xr:uid="{00000000-0006-0000-0900-000008000000}">
      <text>
        <r>
          <rPr>
            <sz val="8"/>
            <color rgb="FF000000"/>
            <rFont val="Calibri"/>
            <scheme val="minor"/>
          </rPr>
          <t>======
ID#AAAAIbggkGI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0A00-000001000000}">
      <text>
        <r>
          <rPr>
            <sz val="8"/>
            <color rgb="FF000000"/>
            <rFont val="Calibri"/>
            <scheme val="minor"/>
          </rPr>
          <t>======
ID#AAAAIbggkHU
    (2021-05-10 11:38:16)
Billion Btus are converted to short tons of carbon by multiplying by the emission factor, combustion efficiency, 1,000 million/billion, and 0.0005 lbs/short ton.</t>
        </r>
      </text>
    </comment>
    <comment ref="G6" authorId="0" shapeId="0" xr:uid="{00000000-0006-0000-0A00-000002000000}">
      <text>
        <r>
          <rPr>
            <sz val="8"/>
            <color rgb="FF000000"/>
            <rFont val="Calibri"/>
            <scheme val="minor"/>
          </rPr>
          <t>======
ID#AAAAIbggkF8
    (2021-05-10 11:38:16)
MMTCE is converted to MMTCO2E by multiplying by 44/12.</t>
        </r>
      </text>
    </comment>
    <comment ref="G20" authorId="0" shapeId="0" xr:uid="{00000000-0006-0000-0A00-000003000000}">
      <text>
        <r>
          <rPr>
            <sz val="8"/>
            <color rgb="FF000000"/>
            <rFont val="Calibri"/>
            <scheme val="minor"/>
          </rPr>
          <t>======
ID#AAAAIbggkF0
    (2021-05-10 11:38:16)
MMTCE is converted to MMTCO2E by multiplying by 44/12.</t>
        </r>
      </text>
    </comment>
    <comment ref="C21" authorId="0" shapeId="0" xr:uid="{00000000-0006-0000-0A00-000004000000}">
      <text>
        <r>
          <rPr>
            <sz val="8"/>
            <color rgb="FF000000"/>
            <rFont val="Calibri"/>
            <scheme val="minor"/>
          </rPr>
          <t>======
ID#AAAAIbggkHE
amohammed    (2021-05-10 11:38:16)
2010 EIA Data</t>
        </r>
      </text>
    </comment>
    <comment ref="B29" authorId="0" shapeId="0" xr:uid="{00000000-0006-0000-0A00-000005000000}">
      <text>
        <r>
          <rPr>
            <sz val="8"/>
            <color rgb="FF000000"/>
            <rFont val="Calibri"/>
            <scheme val="minor"/>
          </rPr>
          <t>======
ID#AAAAIbggkHY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35" authorId="0" shapeId="0" xr:uid="{00000000-0006-0000-0A00-000006000000}">
      <text>
        <r>
          <rPr>
            <sz val="8"/>
            <color rgb="FF000000"/>
            <rFont val="Calibri"/>
            <scheme val="minor"/>
          </rPr>
          <t>======
ID#AAAAIbggkIw
    (2021-05-10 11:38:16)
MMTCE is converted to MMTCO2E by multiplying by 44/12.</t>
        </r>
      </text>
    </comment>
    <comment ref="B44" authorId="0" shapeId="0" xr:uid="{00000000-0006-0000-0A00-000007000000}">
      <text>
        <r>
          <rPr>
            <sz val="8"/>
            <color rgb="FF000000"/>
            <rFont val="Calibri"/>
            <scheme val="minor"/>
          </rPr>
          <t>======
ID#AAAAIbggkH4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52" authorId="0" shapeId="0" xr:uid="{00000000-0006-0000-0A00-000008000000}">
      <text>
        <r>
          <rPr>
            <sz val="8"/>
            <color rgb="FF000000"/>
            <rFont val="Calibri"/>
            <scheme val="minor"/>
          </rPr>
          <t>======
ID#AAAAIbggj9s
    (2021-05-10 11:38:16)
MMTCE is converted to MMTCO2E by multiplying by 44/12.</t>
        </r>
      </text>
    </comment>
    <comment ref="B61" authorId="0" shapeId="0" xr:uid="{00000000-0006-0000-0A00-000009000000}">
      <text>
        <r>
          <rPr>
            <sz val="8"/>
            <color rgb="FF000000"/>
            <rFont val="Calibri"/>
            <scheme val="minor"/>
          </rPr>
          <t>======
ID#AAAAIbggkCk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B00-000001000000}">
      <text>
        <r>
          <rPr>
            <sz val="8"/>
            <color rgb="FF000000"/>
            <rFont val="Calibri"/>
            <scheme val="minor"/>
          </rPr>
          <t>======
ID#AAAAIbggj9Y
    (2021-05-10 11:38:16)
SED 2010 Default Data</t>
        </r>
      </text>
    </comment>
    <comment ref="I10" authorId="0" shapeId="0" xr:uid="{00000000-0006-0000-0B00-000002000000}">
      <text>
        <r>
          <rPr>
            <sz val="8"/>
            <color rgb="FF000000"/>
            <rFont val="Calibri"/>
            <scheme val="minor"/>
          </rPr>
          <t>======
ID#AAAAIbggkCg
    (2021-05-10 11:38:16)
Billion Btus are converted to short tons of carbon by multiplying by the emission factor, combustion efficiency, 1,000 million/billion, and 0.0005 lbs/short ton.</t>
        </r>
      </text>
    </comment>
    <comment ref="J10" authorId="0" shapeId="0" xr:uid="{00000000-0006-0000-0B00-000003000000}">
      <text>
        <r>
          <rPr>
            <sz val="8"/>
            <color rgb="FF000000"/>
            <rFont val="Calibri"/>
            <scheme val="minor"/>
          </rPr>
          <t>======
ID#AAAAIbggkJU
    (2021-05-10 11:38:16)
MMTCE is converted to MMTCO2E by multiplying by 44/12.</t>
        </r>
      </text>
    </comment>
    <comment ref="B31" authorId="0" shapeId="0" xr:uid="{00000000-0006-0000-0B00-000004000000}">
      <text>
        <r>
          <rPr>
            <sz val="8"/>
            <color rgb="FF000000"/>
            <rFont val="Calibri"/>
            <scheme val="minor"/>
          </rPr>
          <t>======
ID#AAAAIbggkGM
    (2021-05-10 11:38:16)
SEDR data show negative values for consumption.  Represents storage of energy, since oils are manufactured from other fuels.  "Negative" emissions serve to correct the overestimation of emissions attributed to the parent fuel.</t>
        </r>
      </text>
    </comment>
    <comment ref="H40" authorId="0" shapeId="0" xr:uid="{00000000-0006-0000-0B00-000005000000}">
      <text>
        <r>
          <rPr>
            <sz val="8"/>
            <color rgb="FF000000"/>
            <rFont val="Calibri"/>
            <scheme val="minor"/>
          </rPr>
          <t>======
ID#AAAAIbggkJY
    (2021-05-10 11:38:16)
metric tons N2O  converted to MMTCO2E by multiplying by GWP and diving by 106.</t>
        </r>
      </text>
    </comment>
    <comment ref="B61" authorId="0" shapeId="0" xr:uid="{00000000-0006-0000-0B00-000006000000}">
      <text>
        <r>
          <rPr>
            <sz val="8"/>
            <color rgb="FF000000"/>
            <rFont val="Calibri"/>
            <scheme val="minor"/>
          </rPr>
          <t>======
ID#AAAAIbggj8o
    (2021-05-10 11:38:16)
SEDR data show negative values for consumption.  Represents storage of energy, since oils are manufactured from other fuels.  "Negative" emissions serve to correct the overestimation of emissions attributed to the parent fuel.</t>
        </r>
      </text>
    </comment>
    <comment ref="B64" authorId="0" shapeId="0" xr:uid="{00000000-0006-0000-0B00-000007000000}">
      <text>
        <r>
          <rPr>
            <sz val="8"/>
            <color rgb="FF000000"/>
            <rFont val="Calibri"/>
            <scheme val="minor"/>
          </rPr>
          <t>======
ID#AAAAIbggkIY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C70" authorId="0" shapeId="0" xr:uid="{00000000-0006-0000-0B00-000008000000}">
      <text>
        <r>
          <rPr>
            <sz val="8"/>
            <color rgb="FF000000"/>
            <rFont val="Calibri"/>
            <scheme val="minor"/>
          </rPr>
          <t>======
ID#AAAAIbggkHQ
    (2021-05-10 11:38:16)
2010 SED Default Data</t>
        </r>
      </text>
    </comment>
    <comment ref="H71" authorId="0" shapeId="0" xr:uid="{00000000-0006-0000-0B00-000009000000}">
      <text>
        <r>
          <rPr>
            <sz val="8"/>
            <color rgb="FF000000"/>
            <rFont val="Calibri"/>
            <scheme val="minor"/>
          </rPr>
          <t>======
ID#AAAAIbggj_4
    (2021-05-10 11:38:16)
metric tons CH4 converted to MMTCO2E by multiplying by GWP. and Dividing by 106</t>
        </r>
      </text>
    </comment>
    <comment ref="B92" authorId="0" shapeId="0" xr:uid="{00000000-0006-0000-0B00-00000A000000}">
      <text>
        <r>
          <rPr>
            <sz val="8"/>
            <color rgb="FF000000"/>
            <rFont val="Calibri"/>
            <scheme val="minor"/>
          </rPr>
          <t>======
ID#AAAAIbggkJI
    (2021-05-10 11:38:16)
SEDR data show negative values for consumption.  Represents storage of energy, since oils are manufactured from other fuels.  "Negative" emissions serve to correct the overestimation of emissions attributed to the parent fuel.</t>
        </r>
      </text>
    </comment>
    <comment ref="B95" authorId="0" shapeId="0" xr:uid="{00000000-0006-0000-0B00-00000B000000}">
      <text>
        <r>
          <rPr>
            <sz val="8"/>
            <color rgb="FF000000"/>
            <rFont val="Calibri"/>
            <scheme val="minor"/>
          </rPr>
          <t>======
ID#AAAAIbggj9k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E102" authorId="0" shapeId="0" xr:uid="{00000000-0006-0000-0B00-00000C000000}">
      <text>
        <r>
          <rPr>
            <sz val="8"/>
            <color rgb="FF000000"/>
            <rFont val="Calibri"/>
            <scheme val="minor"/>
          </rPr>
          <t>======
ID#AAAAIbggj_Q
    (2021-05-10 11:38:16)
metric tons CH4 converted to MMTCO2E by multiplying by GWP. and Dividing by 106</t>
        </r>
      </text>
    </comment>
    <comment ref="F102" authorId="0" shapeId="0" xr:uid="{00000000-0006-0000-0B00-00000D000000}">
      <text>
        <r>
          <rPr>
            <sz val="8"/>
            <color rgb="FF000000"/>
            <rFont val="Calibri"/>
            <scheme val="minor"/>
          </rPr>
          <t>======
ID#AAAAIbggkGc
    (2021-05-10 11:38:16)
metric tons CH4 converted to MMTCO2E by multiplying by GWP. and Dividing by 106</t>
        </r>
      </text>
    </comment>
    <comment ref="G102" authorId="0" shapeId="0" xr:uid="{00000000-0006-0000-0B00-00000E000000}">
      <text>
        <r>
          <rPr>
            <sz val="8"/>
            <color rgb="FF000000"/>
            <rFont val="Calibri"/>
            <scheme val="minor"/>
          </rPr>
          <t>======
ID#AAAAIbggkJA
    (2021-05-10 11:38:16)
metric tons CH4 converted to MMTCO2E by multiplying by GWP. and Dividing by 106</t>
        </r>
      </text>
    </comment>
    <comment ref="H102" authorId="0" shapeId="0" xr:uid="{00000000-0006-0000-0B00-00000F000000}">
      <text>
        <r>
          <rPr>
            <sz val="8"/>
            <color rgb="FF000000"/>
            <rFont val="Calibri"/>
            <scheme val="minor"/>
          </rPr>
          <t>======
ID#AAAAIbggkJo
    (2021-05-10 11:38:16)
metric tons CH4 converted to MMTCO2E by multiplying by GWP. and Dividing by 106</t>
        </r>
      </text>
    </comment>
    <comment ref="B123" authorId="0" shapeId="0" xr:uid="{00000000-0006-0000-0B00-000010000000}">
      <text>
        <r>
          <rPr>
            <sz val="8"/>
            <color rgb="FF000000"/>
            <rFont val="Calibri"/>
            <scheme val="minor"/>
          </rPr>
          <t>======
ID#AAAAIbggkE4
    (2021-05-10 11:38:16)
SEDR data show negative values for consumption.  Represents storage of energy, since oils are manufactured from other fuels.  "Negative" emissions serve to correct the overestimation of emissions attributed to the parent fuel.</t>
        </r>
      </text>
    </comment>
    <comment ref="B126" authorId="0" shapeId="0" xr:uid="{00000000-0006-0000-0B00-000011000000}">
      <text>
        <r>
          <rPr>
            <sz val="8"/>
            <color rgb="FF000000"/>
            <rFont val="Calibri"/>
            <scheme val="minor"/>
          </rPr>
          <t>======
ID#AAAAIbggkKE
    (2021-05-10 11:38:16)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11" authorId="0" shapeId="0" xr:uid="{00000000-0006-0000-0800-000001000000}">
      <text>
        <r>
          <rPr>
            <sz val="8"/>
            <color rgb="FF000000"/>
            <rFont val="Calibri"/>
            <scheme val="minor"/>
          </rPr>
          <t>======
ID#AAAAIbggj8s
    (2021-05-10 11:38:16)
2011 Data</t>
        </r>
      </text>
    </comment>
    <comment ref="E11" authorId="0" shapeId="0" xr:uid="{00000000-0006-0000-0800-000002000000}">
      <text>
        <r>
          <rPr>
            <sz val="8"/>
            <color rgb="FF000000"/>
            <rFont val="Calibri"/>
            <scheme val="minor"/>
          </rPr>
          <t>======
ID#AAAAIbggkIQ
    (2021-05-10 11:38:16)
Total Gasoline Consumption from Controller of Maryland Motor Fuel Tax Bureau (2011 )= 2,668,912,714.</t>
        </r>
      </text>
    </comment>
    <comment ref="G11" authorId="0" shapeId="0" xr:uid="{00000000-0006-0000-0800-000003000000}">
      <text>
        <r>
          <rPr>
            <sz val="8"/>
            <color rgb="FF000000"/>
            <rFont val="Calibri"/>
            <scheme val="minor"/>
          </rPr>
          <t>======
ID#AAAAIbggkFQ
    (2021-05-10 11:38:16)
(MD Controller 2011 Consumption) /(Btu/gal)  *1E-09</t>
        </r>
      </text>
    </comment>
    <comment ref="B22" authorId="0" shapeId="0" xr:uid="{00000000-0006-0000-0800-000004000000}">
      <text>
        <r>
          <rPr>
            <sz val="8"/>
            <color rgb="FF000000"/>
            <rFont val="Calibri"/>
            <scheme val="minor"/>
          </rPr>
          <t>======
ID#AAAAIbggkC4
rthunell    (2021-05-10 11:38:16)
Source:  EPA NonRoad Model Output  &amp; FHWA Data MF-24 Table 
National Nonroad Model Ouput -"Other Gasoline Small Utility" data Allocated to State from FHWA MF-24  Data(Industrial and Commercial-Gasoline) percent.</t>
        </r>
      </text>
    </comment>
    <comment ref="I24" authorId="0" shapeId="0" xr:uid="{00000000-0006-0000-0800-000005000000}">
      <text>
        <r>
          <rPr>
            <sz val="8"/>
            <color rgb="FF000000"/>
            <rFont val="Calibri"/>
            <scheme val="minor"/>
          </rPr>
          <t>======
ID#AAAAIbggkAU
    (2021-05-10 11:38:16)
Total Gasoline from Controller of Maryland Motor Fuel Tax Bureau (2011) = 2,668,912,714</t>
        </r>
      </text>
    </comment>
    <comment ref="I25" authorId="0" shapeId="0" xr:uid="{00000000-0006-0000-0800-000006000000}">
      <text>
        <r>
          <rPr>
            <sz val="8"/>
            <color rgb="FF000000"/>
            <rFont val="Calibri"/>
            <scheme val="minor"/>
          </rPr>
          <t>======
ID#AAAAIbggkAE
sal    (2021-05-10 11:38:16)
MOVES Runs On-Road Gasoline =2,405,394 gallons.</t>
        </r>
      </text>
    </comment>
    <comment ref="I35" authorId="0" shapeId="0" xr:uid="{00000000-0006-0000-0800-000007000000}">
      <text>
        <r>
          <rPr>
            <sz val="8"/>
            <color rgb="FF000000"/>
            <rFont val="Calibri"/>
            <scheme val="minor"/>
          </rPr>
          <t>======
ID#AAAAIbggj9M
    (2021-05-10 11:38:16)
MDE Survey 2011</t>
        </r>
      </text>
    </comment>
    <comment ref="I38" authorId="0" shapeId="0" xr:uid="{00000000-0006-0000-0800-000008000000}">
      <text>
        <r>
          <rPr>
            <sz val="8"/>
            <color rgb="FF000000"/>
            <rFont val="Calibri"/>
            <scheme val="minor"/>
          </rPr>
          <t>======
ID#AAAAIbggj_0
sal    (2021-05-10 11:38:16)
MOVES Runs =528,232,000 gallons.</t>
        </r>
      </text>
    </comment>
    <comment ref="I39" authorId="0" shapeId="0" xr:uid="{00000000-0006-0000-0800-000009000000}">
      <text>
        <r>
          <rPr>
            <sz val="8"/>
            <color rgb="FF000000"/>
            <rFont val="Calibri"/>
            <scheme val="minor"/>
          </rPr>
          <t>======
ID#AAAAIbggkJw
    (2021-05-10 11:38:16)
Total Gasoline from Controller of Maryland Motor Fuel Tax Bureau = 2,721,404,088
EIA SED = 2,713,397,442</t>
        </r>
      </text>
    </comment>
  </commentList>
</comments>
</file>

<file path=xl/sharedStrings.xml><?xml version="1.0" encoding="utf-8"?>
<sst xmlns="http://schemas.openxmlformats.org/spreadsheetml/2006/main" count="5642" uniqueCount="1907">
  <si>
    <t>Maryland 2011 GHG Emissions by Sector</t>
  </si>
  <si>
    <t>Global Warming Potential</t>
  </si>
  <si>
    <t>AR5 100-yr GWP</t>
  </si>
  <si>
    <t>AR5 20-yr GWP</t>
  </si>
  <si>
    <t>CO2</t>
  </si>
  <si>
    <t>CH4</t>
  </si>
  <si>
    <t>N2O</t>
  </si>
  <si>
    <t>SF6</t>
  </si>
  <si>
    <t>HFCs &amp; PFCs</t>
  </si>
  <si>
    <t>see note</t>
  </si>
  <si>
    <t>100-yr GWP</t>
  </si>
  <si>
    <t>20-year GWP</t>
  </si>
  <si>
    <t>Electricity Production (in-state)</t>
  </si>
  <si>
    <t xml:space="preserve">      Coal</t>
  </si>
  <si>
    <t xml:space="preserve">      Natural Gas</t>
  </si>
  <si>
    <t xml:space="preserve">      Oil</t>
  </si>
  <si>
    <t xml:space="preserve">      Wood</t>
  </si>
  <si>
    <t xml:space="preserve">Net Imported Electricity </t>
  </si>
  <si>
    <t>Residential/Commercial/Industrial (RCI) Fuel Use</t>
  </si>
  <si>
    <t xml:space="preserve"> Coal</t>
  </si>
  <si>
    <t xml:space="preserve"> Natural Gas &amp; LPG</t>
  </si>
  <si>
    <t xml:space="preserve"> Petroleum</t>
  </si>
  <si>
    <t xml:space="preserve"> Wood </t>
  </si>
  <si>
    <t xml:space="preserve">Transportation </t>
  </si>
  <si>
    <t>Onroad Gasoline</t>
  </si>
  <si>
    <t>Nonroad Gasoline</t>
  </si>
  <si>
    <t>Onroad Diesel</t>
  </si>
  <si>
    <t>Nonroad Diesel</t>
  </si>
  <si>
    <t>Rail</t>
  </si>
  <si>
    <t>Marine Vessels (Gas &amp; Oil)</t>
  </si>
  <si>
    <t xml:space="preserve">Lubricants, Natural Gas, and LPG </t>
  </si>
  <si>
    <t>Jet Fuel and Aviation Gasoline</t>
  </si>
  <si>
    <t>Fossil Fuel Industry</t>
  </si>
  <si>
    <t xml:space="preserve"> Natural Gas Industry</t>
  </si>
  <si>
    <t xml:space="preserve"> Oil Industry</t>
  </si>
  <si>
    <t xml:space="preserve"> Coal Mining</t>
  </si>
  <si>
    <t>Industrial Processes and Product Use</t>
  </si>
  <si>
    <t xml:space="preserve"> Cement Manufacture</t>
  </si>
  <si>
    <t xml:space="preserve"> Limestone and Dolomite </t>
  </si>
  <si>
    <t xml:space="preserve"> Soda Ash </t>
  </si>
  <si>
    <t xml:space="preserve"> Iron and Steel</t>
  </si>
  <si>
    <t xml:space="preserve"> ODS Substitutes</t>
  </si>
  <si>
    <t xml:space="preserve"> Electricity Transmission and Dist.</t>
  </si>
  <si>
    <t xml:space="preserve"> Semiconductor Manufacturing</t>
  </si>
  <si>
    <t xml:space="preserve"> Ammonia and Urea Production (Nonfertilizer Usage)</t>
  </si>
  <si>
    <t xml:space="preserve"> Aluminum Production</t>
  </si>
  <si>
    <t>Agriculture</t>
  </si>
  <si>
    <t>Enteric Fermentation</t>
  </si>
  <si>
    <t>Manure Management</t>
  </si>
  <si>
    <t>Agricultural Soils</t>
  </si>
  <si>
    <t>Agricultural Burning</t>
  </si>
  <si>
    <t>Waste Management</t>
  </si>
  <si>
    <t>Waste Combustion</t>
  </si>
  <si>
    <t>Landfills</t>
  </si>
  <si>
    <t>Wastewater Management</t>
  </si>
  <si>
    <t>Residential Open Burning</t>
  </si>
  <si>
    <r>
      <rPr>
        <b/>
        <sz val="11"/>
        <color theme="1"/>
        <rFont val="Calibri"/>
      </rPr>
      <t>Gross Emissions</t>
    </r>
    <r>
      <rPr>
        <sz val="11"/>
        <color theme="1"/>
        <rFont val="Calibri"/>
      </rPr>
      <t xml:space="preserve"> (Consumption Basis; Excludes Sinks)</t>
    </r>
  </si>
  <si>
    <t>Forestry and Land Use</t>
  </si>
  <si>
    <t>Tree and Forest Carbon</t>
  </si>
  <si>
    <t>Wood Products and Landfilled Carbon</t>
  </si>
  <si>
    <t>Settlement Soils</t>
  </si>
  <si>
    <t>Forest Fires</t>
  </si>
  <si>
    <t>Agricultural Soil Carbon</t>
  </si>
  <si>
    <t>Wetlands and SAV</t>
  </si>
  <si>
    <r>
      <rPr>
        <b/>
        <sz val="11"/>
        <color theme="1"/>
        <rFont val="Calibri"/>
      </rPr>
      <t xml:space="preserve">Net Emissions </t>
    </r>
    <r>
      <rPr>
        <sz val="11"/>
        <color theme="1"/>
        <rFont val="Calibri"/>
      </rPr>
      <t>(Consumption Basis; Including forestry, land use, and ag sinks)</t>
    </r>
  </si>
  <si>
    <t>Electricity Use (Consumption)</t>
  </si>
  <si>
    <t>RCI Fuel Use</t>
  </si>
  <si>
    <t>Transportation - Onroad</t>
  </si>
  <si>
    <t>Transportation - Nonroad</t>
  </si>
  <si>
    <r>
      <rPr>
        <b/>
        <sz val="11"/>
        <color theme="1"/>
        <rFont val="Calibri"/>
      </rPr>
      <t>Limestone &amp; Dolomite; Soda Ash; Ammonia &amp; Urea; ODS; Electric Power T&amp;D Summary (MTCO</t>
    </r>
    <r>
      <rPr>
        <b/>
        <vertAlign val="subscript"/>
        <sz val="14"/>
        <color theme="1"/>
        <rFont val="Comic Sans MS"/>
      </rPr>
      <t>2</t>
    </r>
    <r>
      <rPr>
        <b/>
        <sz val="11"/>
        <color theme="1"/>
        <rFont val="Calibri"/>
      </rPr>
      <t>E</t>
    </r>
    <r>
      <rPr>
        <b/>
        <sz val="14"/>
        <color theme="1"/>
        <rFont val="Comic Sans MS"/>
      </rPr>
      <t>)</t>
    </r>
  </si>
  <si>
    <t>FINAL</t>
  </si>
  <si>
    <t>Limestone and Dolomite Use</t>
  </si>
  <si>
    <t>Consumption
(Metric Tons)</t>
  </si>
  <si>
    <r>
      <rPr>
        <b/>
        <sz val="11"/>
        <color theme="1"/>
        <rFont val="Calibri"/>
      </rPr>
      <t>Emission Factor
(t CO</t>
    </r>
    <r>
      <rPr>
        <b/>
        <vertAlign val="subscript"/>
        <sz val="9"/>
        <color theme="1"/>
        <rFont val="Calibri"/>
      </rPr>
      <t>2</t>
    </r>
    <r>
      <rPr>
        <b/>
        <sz val="9"/>
        <color theme="1"/>
        <rFont val="Calibri"/>
      </rPr>
      <t>/t production)</t>
    </r>
  </si>
  <si>
    <t>Emissions
(MTCE)</t>
  </si>
  <si>
    <r>
      <rPr>
        <b/>
        <sz val="11"/>
        <color theme="1"/>
        <rFont val="Calibri"/>
      </rPr>
      <t>Emissions
(MTCO</t>
    </r>
    <r>
      <rPr>
        <b/>
        <vertAlign val="subscript"/>
        <sz val="9"/>
        <color theme="1"/>
        <rFont val="Calibri"/>
      </rPr>
      <t>2</t>
    </r>
    <r>
      <rPr>
        <b/>
        <sz val="9"/>
        <color theme="1"/>
        <rFont val="Calibri"/>
      </rPr>
      <t>E)</t>
    </r>
  </si>
  <si>
    <t>Limestone</t>
  </si>
  <si>
    <t>x</t>
  </si>
  <si>
    <t>=</t>
  </si>
  <si>
    <t>Dolomite</t>
  </si>
  <si>
    <t>CO2_GWP=</t>
  </si>
  <si>
    <t>Magesium Production from Dolomite</t>
  </si>
  <si>
    <t>CH4_GWP =</t>
  </si>
  <si>
    <t>N2O_GWP=</t>
  </si>
  <si>
    <t>Soda Ash Use</t>
  </si>
  <si>
    <t>SF6_GWP =</t>
  </si>
  <si>
    <t>Manufacture and Consumption
(Metric tons)</t>
  </si>
  <si>
    <r>
      <rPr>
        <b/>
        <sz val="11"/>
        <color theme="1"/>
        <rFont val="Calibri"/>
      </rPr>
      <t>Emission Factor
(t CO</t>
    </r>
    <r>
      <rPr>
        <b/>
        <vertAlign val="subscript"/>
        <sz val="9"/>
        <color theme="1"/>
        <rFont val="Calibri"/>
      </rPr>
      <t>2</t>
    </r>
    <r>
      <rPr>
        <b/>
        <sz val="9"/>
        <color theme="1"/>
        <rFont val="Calibri"/>
      </rPr>
      <t>/t production)</t>
    </r>
  </si>
  <si>
    <r>
      <rPr>
        <b/>
        <sz val="11"/>
        <color theme="1"/>
        <rFont val="Calibri"/>
      </rPr>
      <t>Emissions
(MTCO</t>
    </r>
    <r>
      <rPr>
        <b/>
        <vertAlign val="subscript"/>
        <sz val="9"/>
        <color theme="1"/>
        <rFont val="Calibri"/>
      </rPr>
      <t>2</t>
    </r>
    <r>
      <rPr>
        <b/>
        <sz val="9"/>
        <color theme="1"/>
        <rFont val="Calibri"/>
      </rPr>
      <t>E)</t>
    </r>
  </si>
  <si>
    <t>Manufacture</t>
  </si>
  <si>
    <t>Consumption</t>
  </si>
  <si>
    <t>EPA U.S. Inventory State-Level Emission Estimates for Maryland</t>
  </si>
  <si>
    <t>Year</t>
  </si>
  <si>
    <t>Ammonia Production and Urea Consumption</t>
  </si>
  <si>
    <t>MMTCO2e (AR4 100-yr GWP)</t>
  </si>
  <si>
    <t>Production &amp; Consumption
(Metric Tons)</t>
  </si>
  <si>
    <r>
      <rPr>
        <b/>
        <sz val="11"/>
        <color theme="1"/>
        <rFont val="Calibri"/>
      </rPr>
      <t>Emission Factor
(mt CO</t>
    </r>
    <r>
      <rPr>
        <b/>
        <vertAlign val="subscript"/>
        <sz val="9"/>
        <color theme="1"/>
        <rFont val="Calibri"/>
      </rPr>
      <t>2</t>
    </r>
    <r>
      <rPr>
        <b/>
        <sz val="9"/>
        <color theme="1"/>
        <rFont val="Calibri"/>
      </rPr>
      <t>/mt activity)</t>
    </r>
  </si>
  <si>
    <t>Subract emissions from Urea</t>
  </si>
  <si>
    <r>
      <rPr>
        <b/>
        <sz val="11"/>
        <color theme="1"/>
        <rFont val="Calibri"/>
      </rPr>
      <t>Emissions
(MTCO</t>
    </r>
    <r>
      <rPr>
        <b/>
        <vertAlign val="subscript"/>
        <sz val="9"/>
        <color theme="1"/>
        <rFont val="Calibri"/>
      </rPr>
      <t>2</t>
    </r>
    <r>
      <rPr>
        <b/>
        <sz val="9"/>
        <color theme="1"/>
        <rFont val="Calibri"/>
      </rPr>
      <t>E)</t>
    </r>
  </si>
  <si>
    <t>MMTCO2e (AR4 20-yr GWP)</t>
  </si>
  <si>
    <t xml:space="preserve">Ammonia Production </t>
  </si>
  <si>
    <t>- (</t>
  </si>
  <si>
    <t>) =</t>
  </si>
  <si>
    <t>ratio 20-yr : 100-yr</t>
  </si>
  <si>
    <t>Urea Consumption</t>
  </si>
  <si>
    <t xml:space="preserve">   =</t>
  </si>
  <si>
    <t>100-yr emissions from EPA state-level GHG inventory, https://www.epa.gov/ghgemissions/state-ghg-emissions-and-removals
20-yr emissions from email correspondence, 6/28/2022</t>
  </si>
  <si>
    <t>Ozone Depleting Substances (ODS) Substitutes</t>
  </si>
  <si>
    <r>
      <rPr>
        <b/>
        <sz val="9"/>
        <color theme="1"/>
        <rFont val="Calibri"/>
      </rPr>
      <t xml:space="preserve"> National Emissions
(Metric Tons </t>
    </r>
    <r>
      <rPr>
        <b/>
        <vertAlign val="subscript"/>
        <sz val="9"/>
        <color theme="1"/>
        <rFont val="Calibri"/>
      </rPr>
      <t>C</t>
    </r>
    <r>
      <rPr>
        <b/>
        <sz val="9"/>
        <color theme="1"/>
        <rFont val="Calibri"/>
      </rPr>
      <t>O2 Eq.)</t>
    </r>
  </si>
  <si>
    <t>State Population</t>
  </si>
  <si>
    <t>Regional (NE) Population</t>
  </si>
  <si>
    <t xml:space="preserve">Regional ODS Consumption  %
</t>
  </si>
  <si>
    <r>
      <rPr>
        <b/>
        <sz val="9"/>
        <color theme="1"/>
        <rFont val="Calibri"/>
      </rPr>
      <t>Apportioned National Emissions
(MTCO</t>
    </r>
    <r>
      <rPr>
        <b/>
        <vertAlign val="subscript"/>
        <sz val="9"/>
        <color theme="1"/>
        <rFont val="Calibri"/>
      </rPr>
      <t>2</t>
    </r>
    <r>
      <rPr>
        <b/>
        <sz val="9"/>
        <color theme="1"/>
        <rFont val="Calibri"/>
      </rPr>
      <t>E)</t>
    </r>
  </si>
  <si>
    <t>/</t>
  </si>
  <si>
    <t>Electric Power Transmission &amp; Distribution (T&amp;D)</t>
  </si>
  <si>
    <r>
      <rPr>
        <b/>
        <sz val="11"/>
        <color theme="1"/>
        <rFont val="Calibri"/>
      </rPr>
      <t>SF</t>
    </r>
    <r>
      <rPr>
        <b/>
        <vertAlign val="subscript"/>
        <sz val="9"/>
        <color theme="1"/>
        <rFont val="Calibri"/>
      </rPr>
      <t>6</t>
    </r>
    <r>
      <rPr>
        <b/>
        <sz val="9"/>
        <color theme="1"/>
        <rFont val="Calibri"/>
      </rPr>
      <t xml:space="preserve"> Consumption
(Metric Tons)</t>
    </r>
  </si>
  <si>
    <r>
      <rPr>
        <b/>
        <sz val="11"/>
        <color theme="1"/>
        <rFont val="Calibri"/>
      </rPr>
      <t>Emission Factor
(t SF</t>
    </r>
    <r>
      <rPr>
        <b/>
        <vertAlign val="subscript"/>
        <sz val="9"/>
        <color theme="1"/>
        <rFont val="Calibri"/>
      </rPr>
      <t>6</t>
    </r>
    <r>
      <rPr>
        <b/>
        <sz val="9"/>
        <color theme="1"/>
        <rFont val="Calibri"/>
      </rPr>
      <t>/t Consumption)</t>
    </r>
  </si>
  <si>
    <r>
      <rPr>
        <b/>
        <sz val="11"/>
        <color theme="1"/>
        <rFont val="Calibri"/>
      </rPr>
      <t>Emissions
(Metric Tons SF</t>
    </r>
    <r>
      <rPr>
        <b/>
        <vertAlign val="subscript"/>
        <sz val="9"/>
        <color theme="1"/>
        <rFont val="Calibri"/>
      </rPr>
      <t>6</t>
    </r>
    <r>
      <rPr>
        <b/>
        <sz val="9"/>
        <color theme="1"/>
        <rFont val="Calibri"/>
      </rPr>
      <t>)</t>
    </r>
  </si>
  <si>
    <t xml:space="preserve">Emissions </t>
  </si>
  <si>
    <r>
      <rPr>
        <b/>
        <sz val="11"/>
        <color theme="1"/>
        <rFont val="Calibri"/>
      </rPr>
      <t>Emissions
(MTCO</t>
    </r>
    <r>
      <rPr>
        <b/>
        <vertAlign val="subscript"/>
        <sz val="9"/>
        <color theme="1"/>
        <rFont val="Calibri"/>
      </rPr>
      <t>2</t>
    </r>
    <r>
      <rPr>
        <b/>
        <sz val="9"/>
        <color theme="1"/>
        <rFont val="Calibri"/>
      </rPr>
      <t>E)</t>
    </r>
  </si>
  <si>
    <t>Aluminum Production (EastAlCo Shut Down)</t>
  </si>
  <si>
    <t>Production
(Metric Tons)</t>
  </si>
  <si>
    <t>Emission Factor
(t CE/t Production)</t>
  </si>
  <si>
    <r>
      <rPr>
        <b/>
        <sz val="11"/>
        <color theme="1"/>
        <rFont val="Calibri"/>
      </rPr>
      <t>Emissions
(MTCO</t>
    </r>
    <r>
      <rPr>
        <b/>
        <vertAlign val="subscript"/>
        <sz val="9"/>
        <color theme="1"/>
        <rFont val="Calibri"/>
      </rPr>
      <t>2</t>
    </r>
    <r>
      <rPr>
        <b/>
        <sz val="9"/>
        <color theme="1"/>
        <rFont val="Calibri"/>
      </rPr>
      <t>E)</t>
    </r>
  </si>
  <si>
    <t>Carbon Dioxide Emissions</t>
  </si>
  <si>
    <t>Cement Manufacture</t>
  </si>
  <si>
    <t>Lime Manufacture</t>
  </si>
  <si>
    <t>Soda Ash</t>
  </si>
  <si>
    <t>Ammonia &amp; Urea</t>
  </si>
  <si>
    <t>Iron &amp; Steel Production</t>
  </si>
  <si>
    <t>Nitrous Oxide Emissions</t>
  </si>
  <si>
    <t>Nitric Acid Production</t>
  </si>
  <si>
    <t>Adipic Acid Production</t>
  </si>
  <si>
    <t>HFC, PFC, and SF6 Emissions</t>
  </si>
  <si>
    <t>ODS Substitutes</t>
  </si>
  <si>
    <t>Semiconductor Manufacturing</t>
  </si>
  <si>
    <t>Magnesium Production</t>
  </si>
  <si>
    <t>Electric Power Transmission and Distribution Systems</t>
  </si>
  <si>
    <t>HCFC-22 Production</t>
  </si>
  <si>
    <t>Aluminum Production</t>
  </si>
  <si>
    <t>Total Emissions</t>
  </si>
  <si>
    <t>Land Use, Land-Use Change, and Forestry Emissions and Sequestration</t>
  </si>
  <si>
    <r>
      <rPr>
        <b/>
        <sz val="11"/>
        <color rgb="FF1155CC"/>
        <rFont val="Calibri"/>
      </rPr>
      <t xml:space="preserve">(A) NASA-CMS/UMD Forest Carbon Monitoring </t>
    </r>
    <r>
      <rPr>
        <sz val="11"/>
        <color rgb="FF1155CC"/>
        <rFont val="Calibri"/>
      </rPr>
      <t>(for above ground biomass)</t>
    </r>
  </si>
  <si>
    <t>AGB stocks (Tg C)</t>
  </si>
  <si>
    <t>Net AGB flux 
(Tg C/yr)</t>
  </si>
  <si>
    <t>AGB Flux from existing trees 
(Tg C/yr)</t>
  </si>
  <si>
    <t>AGB Flux from Forest to Non-forest conversion 
(Tg C/yr)</t>
  </si>
  <si>
    <t>AGB Flux from Non-forest to Forest conversion 
(Tg C/yr)</t>
  </si>
  <si>
    <r>
      <rPr>
        <b/>
        <sz val="11"/>
        <color rgb="FF1155CC"/>
        <rFont val="Calibri"/>
      </rPr>
      <t xml:space="preserve">(B) USFS Model state-level estimates </t>
    </r>
    <r>
      <rPr>
        <sz val="11"/>
        <color rgb="FF1155CC"/>
        <rFont val="Calibri"/>
      </rPr>
      <t>(for other forest pools)</t>
    </r>
  </si>
  <si>
    <t>https://www.nrs.fs.fed.us/pubs/62418</t>
  </si>
  <si>
    <t>https://www.fs.usda.gov/rds/archive/Catalog/RDS-2021-0035</t>
  </si>
  <si>
    <t>US_GHG_emissions_removals_from_forest_woodlands_urban_trees_1990_2019.xlsx</t>
  </si>
  <si>
    <t>Net CO2 Flux from Forest Pools in Forest Land Remaining Forest Land (MMT CO2 Eq.)</t>
  </si>
  <si>
    <t>State</t>
  </si>
  <si>
    <t>Carbon Pools</t>
  </si>
  <si>
    <t>Maryland</t>
  </si>
  <si>
    <t>Dead Wood</t>
  </si>
  <si>
    <t>Litter</t>
  </si>
  <si>
    <t>Soil (Mineral)</t>
  </si>
  <si>
    <t>Soil (Organic)</t>
  </si>
  <si>
    <t>Net CO2 Flux from Forest C Pools in Land Converted to Forest Land by Land Use Change Category (MMT CO2 Eq.)</t>
  </si>
  <si>
    <t>Land Use Conversion</t>
  </si>
  <si>
    <t>Land Use/Carbon Pool</t>
  </si>
  <si>
    <t>Totals (Pools)</t>
  </si>
  <si>
    <t>Total Dead Wood Flux</t>
  </si>
  <si>
    <t>Total Litter Flux</t>
  </si>
  <si>
    <t>Total Soil (Mineral) Flux</t>
  </si>
  <si>
    <t>Net CO2 Flux from Forest C Pools in Forest Land Converted to Land by Land Use Change Category (MMT CO2 Eq.)</t>
  </si>
  <si>
    <t>* 2019 Available Data</t>
  </si>
  <si>
    <t>Tree and Forest Carbon Summary</t>
  </si>
  <si>
    <t>Emissions (MMTCO2e)</t>
  </si>
  <si>
    <t>Above Ground Biomass Flux¹</t>
  </si>
  <si>
    <t>Below Ground Biomass Flux¹ ²</t>
  </si>
  <si>
    <t>Deadwood³</t>
  </si>
  <si>
    <t>Litter³</t>
  </si>
  <si>
    <t>Soil (Mineral)³</t>
  </si>
  <si>
    <t>Soil (Organic)³</t>
  </si>
  <si>
    <t>Total</t>
  </si>
  <si>
    <t>Landfilled Yard Trimmings and Food Scraps</t>
  </si>
  <si>
    <r>
      <rPr>
        <b/>
        <sz val="9"/>
        <color theme="1"/>
        <rFont val="Calibri"/>
      </rPr>
      <t>Emissions* (MMTCO</t>
    </r>
    <r>
      <rPr>
        <b/>
        <vertAlign val="subscript"/>
        <sz val="9"/>
        <color theme="1"/>
        <rFont val="Calibri"/>
      </rPr>
      <t>2</t>
    </r>
    <r>
      <rPr>
        <b/>
        <sz val="9"/>
        <color theme="1"/>
        <rFont val="Calibri"/>
      </rPr>
      <t>E)</t>
    </r>
  </si>
  <si>
    <t>Grass</t>
  </si>
  <si>
    <t>Leaves</t>
  </si>
  <si>
    <t>Branches</t>
  </si>
  <si>
    <t>Landfilled Food Scraps</t>
  </si>
  <si>
    <t>Total Wood Products and Landfills</t>
  </si>
  <si>
    <t>Net Sequestration/Emissions MMTCO2E</t>
  </si>
  <si>
    <t>Total wood products and landfills</t>
  </si>
  <si>
    <t>Total Synthetic Fertilizer Applied to Settlements
(Metric Tons N)</t>
  </si>
  <si>
    <t>Emission Factor
(percent)</t>
  </si>
  <si>
    <t>N2O-N</t>
  </si>
  <si>
    <t>N2O GWP</t>
  </si>
  <si>
    <t>Carbon Dioxide Emissions
(MMTCO2E)</t>
  </si>
  <si>
    <t>Area Burned (acres)-Other temperate forests</t>
  </si>
  <si>
    <t>Area Burned (ha)</t>
  </si>
  <si>
    <t>Average Biomass Density (kg d.m. / ha)</t>
  </si>
  <si>
    <t>Combustion efficiency</t>
  </si>
  <si>
    <t>Emission Factor (g/kg dry matter burned)</t>
  </si>
  <si>
    <t>MTN2O Emitted</t>
  </si>
  <si>
    <t>MTCH4 Emitted</t>
  </si>
  <si>
    <t>Area Burned (acres) -Shrublands</t>
  </si>
  <si>
    <t>CH4 GWP</t>
  </si>
  <si>
    <t>Emissions MMTCO2E</t>
  </si>
  <si>
    <t>Summary Forest Fire</t>
  </si>
  <si>
    <t>Net Sequestration/Emissions-MMTCO2E</t>
  </si>
  <si>
    <t>Wetlands and Submerged Aquatic Vegetation (SAV)</t>
  </si>
  <si>
    <t>Coastal Wetlands and SAV</t>
  </si>
  <si>
    <t>Area (acres)</t>
  </si>
  <si>
    <t>Wetland Category and Salinity</t>
  </si>
  <si>
    <t>Coastal Bays Estaurine Wetland</t>
  </si>
  <si>
    <t>Mesohaline Estaurine Wetlands</t>
  </si>
  <si>
    <t>Freshwater SAV</t>
  </si>
  <si>
    <t>Oligohaline SAV</t>
  </si>
  <si>
    <t>Mesohaline SAV</t>
  </si>
  <si>
    <t>Coastal Bays SAV</t>
  </si>
  <si>
    <t>Total, Wetlands</t>
  </si>
  <si>
    <t>Total, SAV</t>
  </si>
  <si>
    <t>Soil Carbon Burial (Mg CO2)</t>
  </si>
  <si>
    <t>Mg CO2 acre-1 yr-1</t>
  </si>
  <si>
    <t>Methane Emissions (Mg CH4)</t>
  </si>
  <si>
    <t>Mg CH4 ac-1 yr-1</t>
  </si>
  <si>
    <t>Carbon Flux from Wetland Landuse Change (Mg CO2)</t>
  </si>
  <si>
    <t>Wetland Land -Use Change from National Inventory</t>
  </si>
  <si>
    <t>Vegetated Coastal Wetlands Converted to Unvegetated Open Water Coastal Wetlands</t>
  </si>
  <si>
    <t>Biomass C Flux</t>
  </si>
  <si>
    <t>Dead Organic Matter C Flux</t>
  </si>
  <si>
    <t>Soil C Flux</t>
  </si>
  <si>
    <t>Unvegetated Open Water Coastal Wetlands Converted to Vegetated Coastal Wetlands</t>
  </si>
  <si>
    <t>Total, Wetland LU Change</t>
  </si>
  <si>
    <t>Flooded Lands</t>
  </si>
  <si>
    <t>IPCC Emission Factors</t>
  </si>
  <si>
    <t>Surface Area (ha)</t>
  </si>
  <si>
    <t>Annual Methane Emissions (MT CH4)</t>
  </si>
  <si>
    <t>Flooded Land Category</t>
  </si>
  <si>
    <t>Climate Zone</t>
  </si>
  <si>
    <t>kg CH4 /ha/yr</t>
  </si>
  <si>
    <t>MT CO2-C /ha/yr</t>
  </si>
  <si>
    <t>MT CO2 /ha/yr</t>
  </si>
  <si>
    <t>Reservoirs &gt; 20 years old (&gt;= 8 ha)</t>
  </si>
  <si>
    <t>Cool Temperate</t>
  </si>
  <si>
    <t>Warm temperate moist</t>
  </si>
  <si>
    <t>Reservoirs &lt;= 20 years old (&gt;= 8 ha)</t>
  </si>
  <si>
    <t>Downstream Emission</t>
  </si>
  <si>
    <t>All</t>
  </si>
  <si>
    <t>Freshwater Ponds &gt; 20 years (&lt; 8 ha)</t>
  </si>
  <si>
    <t>Freshwater Ponds &lt;= 20 years old (&lt; 8 ha)</t>
  </si>
  <si>
    <t>Canals &amp; Ditches</t>
  </si>
  <si>
    <t>Annual CO2 Emissions (MT CO2)</t>
  </si>
  <si>
    <t>Wetlands &amp; SAV Summary</t>
  </si>
  <si>
    <t>Coastal Wetlands</t>
  </si>
  <si>
    <t>SAV</t>
  </si>
  <si>
    <t>Flooded Land</t>
  </si>
  <si>
    <t>Net Forest and Landuse Emissions</t>
  </si>
  <si>
    <t>Net Forest and Landuse Emissions (MMTCO2e)</t>
  </si>
  <si>
    <t>Agricultural Soil Carbon Flux</t>
  </si>
  <si>
    <t>¹Includes the landuse categories of Forest Land Remaining Forest Land, Land Converted to Forest Land, Forest Land Converted to Land, and Settlement Trees</t>
  </si>
  <si>
    <t>²Calculated from ratio to aboveground biomass</t>
  </si>
  <si>
    <t>³USFS state-level estimates, exclusive of settlement trees</t>
  </si>
  <si>
    <t>POWER BOILERS (Severstal) 2011</t>
  </si>
  <si>
    <t>Emissions</t>
  </si>
  <si>
    <t># 6 Oil</t>
  </si>
  <si>
    <t>BFG</t>
  </si>
  <si>
    <t>NG</t>
  </si>
  <si>
    <t xml:space="preserve">Total </t>
  </si>
  <si>
    <t>(short tons)</t>
  </si>
  <si>
    <t>(gal)</t>
  </si>
  <si>
    <t>(scf)</t>
  </si>
  <si>
    <t>(mcf)</t>
  </si>
  <si>
    <t>Qty</t>
  </si>
  <si>
    <t>btus/unit</t>
  </si>
  <si>
    <t>Pennwood #1</t>
  </si>
  <si>
    <t>mmbtus</t>
  </si>
  <si>
    <r>
      <rPr>
        <b/>
        <sz val="11"/>
        <color theme="1"/>
        <rFont val="Calibri"/>
      </rPr>
      <t>CO</t>
    </r>
    <r>
      <rPr>
        <b/>
        <vertAlign val="subscript"/>
        <sz val="10"/>
        <color theme="1"/>
        <rFont val="Arial"/>
      </rPr>
      <t>2</t>
    </r>
    <r>
      <rPr>
        <b/>
        <sz val="10"/>
        <color theme="1"/>
        <rFont val="Arial"/>
      </rPr>
      <t xml:space="preserve"> emissions in metric tons</t>
    </r>
  </si>
  <si>
    <r>
      <rPr>
        <b/>
        <sz val="11"/>
        <color theme="1"/>
        <rFont val="Calibri"/>
      </rPr>
      <t>CH</t>
    </r>
    <r>
      <rPr>
        <b/>
        <vertAlign val="subscript"/>
        <sz val="10"/>
        <color theme="1"/>
        <rFont val="Arial"/>
      </rPr>
      <t>4</t>
    </r>
    <r>
      <rPr>
        <b/>
        <sz val="10"/>
        <color theme="1"/>
        <rFont val="Arial"/>
      </rPr>
      <t xml:space="preserve"> emissions in metric tons</t>
    </r>
  </si>
  <si>
    <r>
      <rPr>
        <b/>
        <sz val="11"/>
        <color theme="1"/>
        <rFont val="Calibri"/>
      </rPr>
      <t>N</t>
    </r>
    <r>
      <rPr>
        <b/>
        <vertAlign val="subscript"/>
        <sz val="10"/>
        <color theme="1"/>
        <rFont val="Arial"/>
      </rPr>
      <t>2</t>
    </r>
    <r>
      <rPr>
        <b/>
        <sz val="10"/>
        <color theme="1"/>
        <rFont val="Arial"/>
      </rPr>
      <t>O emissions  in metric tons</t>
    </r>
  </si>
  <si>
    <t>Pennwood #2</t>
  </si>
  <si>
    <r>
      <rPr>
        <b/>
        <sz val="11"/>
        <color theme="1"/>
        <rFont val="Calibri"/>
      </rPr>
      <t>CO</t>
    </r>
    <r>
      <rPr>
        <b/>
        <vertAlign val="subscript"/>
        <sz val="10"/>
        <color theme="1"/>
        <rFont val="Arial"/>
      </rPr>
      <t>2</t>
    </r>
    <r>
      <rPr>
        <b/>
        <sz val="10"/>
        <color theme="1"/>
        <rFont val="Arial"/>
      </rPr>
      <t xml:space="preserve"> emissions in metric tons</t>
    </r>
  </si>
  <si>
    <r>
      <rPr>
        <b/>
        <sz val="11"/>
        <color theme="1"/>
        <rFont val="Calibri"/>
      </rPr>
      <t>CH</t>
    </r>
    <r>
      <rPr>
        <b/>
        <vertAlign val="subscript"/>
        <sz val="10"/>
        <color theme="1"/>
        <rFont val="Arial"/>
      </rPr>
      <t>4</t>
    </r>
    <r>
      <rPr>
        <b/>
        <sz val="10"/>
        <color theme="1"/>
        <rFont val="Arial"/>
      </rPr>
      <t xml:space="preserve"> emissions in metric tons</t>
    </r>
  </si>
  <si>
    <r>
      <rPr>
        <b/>
        <sz val="11"/>
        <color theme="1"/>
        <rFont val="Calibri"/>
      </rPr>
      <t>N</t>
    </r>
    <r>
      <rPr>
        <b/>
        <vertAlign val="subscript"/>
        <sz val="10"/>
        <color theme="1"/>
        <rFont val="Arial"/>
      </rPr>
      <t>2</t>
    </r>
    <r>
      <rPr>
        <b/>
        <sz val="10"/>
        <color theme="1"/>
        <rFont val="Arial"/>
      </rPr>
      <t>O emissions in metric tons</t>
    </r>
  </si>
  <si>
    <t>Pennwood #3</t>
  </si>
  <si>
    <r>
      <rPr>
        <b/>
        <sz val="11"/>
        <color theme="1"/>
        <rFont val="Calibri"/>
      </rPr>
      <t>CO</t>
    </r>
    <r>
      <rPr>
        <b/>
        <vertAlign val="subscript"/>
        <sz val="10"/>
        <color theme="1"/>
        <rFont val="Arial"/>
      </rPr>
      <t>2</t>
    </r>
    <r>
      <rPr>
        <b/>
        <sz val="10"/>
        <color theme="1"/>
        <rFont val="Arial"/>
      </rPr>
      <t xml:space="preserve"> emissions in metric tons</t>
    </r>
  </si>
  <si>
    <r>
      <rPr>
        <b/>
        <sz val="11"/>
        <color theme="1"/>
        <rFont val="Calibri"/>
      </rPr>
      <t>CH</t>
    </r>
    <r>
      <rPr>
        <b/>
        <vertAlign val="subscript"/>
        <sz val="10"/>
        <color theme="1"/>
        <rFont val="Arial"/>
      </rPr>
      <t>4</t>
    </r>
    <r>
      <rPr>
        <b/>
        <sz val="10"/>
        <color theme="1"/>
        <rFont val="Arial"/>
      </rPr>
      <t xml:space="preserve"> emissions in metric tons</t>
    </r>
  </si>
  <si>
    <r>
      <rPr>
        <b/>
        <sz val="11"/>
        <color theme="1"/>
        <rFont val="Calibri"/>
      </rPr>
      <t>N</t>
    </r>
    <r>
      <rPr>
        <b/>
        <vertAlign val="subscript"/>
        <sz val="10"/>
        <color theme="1"/>
        <rFont val="Arial"/>
      </rPr>
      <t>2</t>
    </r>
    <r>
      <rPr>
        <b/>
        <sz val="10"/>
        <color theme="1"/>
        <rFont val="Arial"/>
      </rPr>
      <t>O emissions in metric tons</t>
    </r>
  </si>
  <si>
    <t>Pennwood #4</t>
  </si>
  <si>
    <r>
      <rPr>
        <b/>
        <sz val="11"/>
        <color theme="1"/>
        <rFont val="Calibri"/>
      </rPr>
      <t>CO</t>
    </r>
    <r>
      <rPr>
        <b/>
        <vertAlign val="subscript"/>
        <sz val="10"/>
        <color theme="1"/>
        <rFont val="Arial"/>
      </rPr>
      <t>2</t>
    </r>
    <r>
      <rPr>
        <b/>
        <sz val="10"/>
        <color theme="1"/>
        <rFont val="Arial"/>
      </rPr>
      <t xml:space="preserve"> emissions in metric tons</t>
    </r>
  </si>
  <si>
    <r>
      <rPr>
        <b/>
        <sz val="11"/>
        <color theme="1"/>
        <rFont val="Calibri"/>
      </rPr>
      <t>CH</t>
    </r>
    <r>
      <rPr>
        <b/>
        <vertAlign val="subscript"/>
        <sz val="10"/>
        <color theme="1"/>
        <rFont val="Arial"/>
      </rPr>
      <t>4</t>
    </r>
    <r>
      <rPr>
        <b/>
        <sz val="10"/>
        <color theme="1"/>
        <rFont val="Arial"/>
      </rPr>
      <t xml:space="preserve"> emissions in metric tons</t>
    </r>
  </si>
  <si>
    <r>
      <rPr>
        <b/>
        <sz val="11"/>
        <color theme="1"/>
        <rFont val="Calibri"/>
      </rPr>
      <t>N</t>
    </r>
    <r>
      <rPr>
        <b/>
        <vertAlign val="subscript"/>
        <sz val="10"/>
        <color theme="1"/>
        <rFont val="Arial"/>
      </rPr>
      <t>2</t>
    </r>
    <r>
      <rPr>
        <b/>
        <sz val="10"/>
        <color theme="1"/>
        <rFont val="Arial"/>
      </rPr>
      <t>O emissions in metric tons</t>
    </r>
  </si>
  <si>
    <t>Summary Fossil Fuel Combustion</t>
  </si>
  <si>
    <t>MMBTU</t>
  </si>
  <si>
    <r>
      <rPr>
        <b/>
        <sz val="11"/>
        <color theme="1"/>
        <rFont val="Calibri"/>
      </rPr>
      <t>CO</t>
    </r>
    <r>
      <rPr>
        <b/>
        <vertAlign val="subscript"/>
        <sz val="10"/>
        <color theme="1"/>
        <rFont val="Arial"/>
      </rPr>
      <t>2</t>
    </r>
    <r>
      <rPr>
        <b/>
        <sz val="10"/>
        <color theme="1"/>
        <rFont val="Arial"/>
      </rPr>
      <t xml:space="preserve"> Emission </t>
    </r>
  </si>
  <si>
    <r>
      <rPr>
        <b/>
        <sz val="11"/>
        <color theme="1"/>
        <rFont val="Calibri"/>
      </rPr>
      <t>CO</t>
    </r>
    <r>
      <rPr>
        <b/>
        <vertAlign val="subscript"/>
        <sz val="10"/>
        <color theme="1"/>
        <rFont val="Arial"/>
      </rPr>
      <t>2</t>
    </r>
    <r>
      <rPr>
        <b/>
        <sz val="10"/>
        <color theme="1"/>
        <rFont val="Arial"/>
      </rPr>
      <t xml:space="preserve"> Emission </t>
    </r>
  </si>
  <si>
    <r>
      <rPr>
        <b/>
        <sz val="11"/>
        <color theme="1"/>
        <rFont val="Calibri"/>
      </rPr>
      <t>CO</t>
    </r>
    <r>
      <rPr>
        <b/>
        <vertAlign val="subscript"/>
        <sz val="10"/>
        <color theme="1"/>
        <rFont val="Arial"/>
      </rPr>
      <t>2</t>
    </r>
    <r>
      <rPr>
        <b/>
        <sz val="10"/>
        <color theme="1"/>
        <rFont val="Arial"/>
      </rPr>
      <t xml:space="preserve"> Emission </t>
    </r>
  </si>
  <si>
    <t>(metric tons)</t>
  </si>
  <si>
    <t>(MMTCO2)</t>
  </si>
  <si>
    <t>Coal</t>
  </si>
  <si>
    <t>Petroleum</t>
  </si>
  <si>
    <t>Natural Gas</t>
  </si>
  <si>
    <r>
      <rPr>
        <b/>
        <sz val="11"/>
        <color theme="1"/>
        <rFont val="Calibri"/>
      </rPr>
      <t>CH</t>
    </r>
    <r>
      <rPr>
        <b/>
        <vertAlign val="subscript"/>
        <sz val="10"/>
        <color theme="1"/>
        <rFont val="Arial"/>
      </rPr>
      <t>4</t>
    </r>
    <r>
      <rPr>
        <b/>
        <sz val="10"/>
        <color theme="1"/>
        <rFont val="Arial"/>
      </rPr>
      <t xml:space="preserve"> Emission </t>
    </r>
  </si>
  <si>
    <r>
      <rPr>
        <b/>
        <sz val="11"/>
        <color theme="1"/>
        <rFont val="Calibri"/>
      </rPr>
      <t>CH</t>
    </r>
    <r>
      <rPr>
        <b/>
        <vertAlign val="subscript"/>
        <sz val="10"/>
        <color theme="1"/>
        <rFont val="Arial"/>
      </rPr>
      <t>4</t>
    </r>
    <r>
      <rPr>
        <b/>
        <sz val="10"/>
        <color theme="1"/>
        <rFont val="Arial"/>
      </rPr>
      <t xml:space="preserve"> Emission </t>
    </r>
  </si>
  <si>
    <r>
      <rPr>
        <b/>
        <sz val="11"/>
        <color theme="1"/>
        <rFont val="Calibri"/>
      </rPr>
      <t>CH</t>
    </r>
    <r>
      <rPr>
        <b/>
        <vertAlign val="subscript"/>
        <sz val="10"/>
        <color theme="1"/>
        <rFont val="Arial"/>
      </rPr>
      <t>4</t>
    </r>
    <r>
      <rPr>
        <b/>
        <sz val="10"/>
        <color theme="1"/>
        <rFont val="Arial"/>
      </rPr>
      <t xml:space="preserve"> Emission </t>
    </r>
  </si>
  <si>
    <r>
      <rPr>
        <b/>
        <sz val="11"/>
        <color theme="1"/>
        <rFont val="Calibri"/>
      </rPr>
      <t>N</t>
    </r>
    <r>
      <rPr>
        <b/>
        <vertAlign val="subscript"/>
        <sz val="10"/>
        <color theme="1"/>
        <rFont val="Arial"/>
      </rPr>
      <t>2</t>
    </r>
    <r>
      <rPr>
        <b/>
        <sz val="10"/>
        <color theme="1"/>
        <rFont val="Arial"/>
      </rPr>
      <t xml:space="preserve">O Emission </t>
    </r>
  </si>
  <si>
    <r>
      <rPr>
        <b/>
        <sz val="11"/>
        <color theme="1"/>
        <rFont val="Calibri"/>
      </rPr>
      <t>N</t>
    </r>
    <r>
      <rPr>
        <b/>
        <vertAlign val="subscript"/>
        <sz val="10"/>
        <color theme="1"/>
        <rFont val="Arial"/>
      </rPr>
      <t>2</t>
    </r>
    <r>
      <rPr>
        <b/>
        <sz val="10"/>
        <color theme="1"/>
        <rFont val="Arial"/>
      </rPr>
      <t xml:space="preserve">O Emission </t>
    </r>
  </si>
  <si>
    <r>
      <rPr>
        <b/>
        <sz val="11"/>
        <color theme="1"/>
        <rFont val="Calibri"/>
      </rPr>
      <t>N</t>
    </r>
    <r>
      <rPr>
        <b/>
        <vertAlign val="subscript"/>
        <sz val="10"/>
        <color theme="1"/>
        <rFont val="Arial"/>
      </rPr>
      <t>2</t>
    </r>
    <r>
      <rPr>
        <b/>
        <sz val="10"/>
        <color theme="1"/>
        <rFont val="Arial"/>
      </rPr>
      <t xml:space="preserve">O Emission </t>
    </r>
  </si>
  <si>
    <t>kg/mmBTU</t>
  </si>
  <si>
    <t>POWER BOILERS (LUKE) 2011</t>
  </si>
  <si>
    <r>
      <rPr>
        <b/>
        <sz val="11"/>
        <color theme="1"/>
        <rFont val="Calibri"/>
      </rPr>
      <t>CO</t>
    </r>
    <r>
      <rPr>
        <b/>
        <vertAlign val="subscript"/>
        <sz val="10"/>
        <color theme="1"/>
        <rFont val="Arial"/>
      </rPr>
      <t>2</t>
    </r>
  </si>
  <si>
    <t>CEM</t>
  </si>
  <si>
    <r>
      <rPr>
        <b/>
        <sz val="11"/>
        <color theme="1"/>
        <rFont val="Calibri"/>
      </rPr>
      <t>CH</t>
    </r>
    <r>
      <rPr>
        <b/>
        <vertAlign val="subscript"/>
        <sz val="10"/>
        <color theme="1"/>
        <rFont val="Arial"/>
      </rPr>
      <t>4</t>
    </r>
  </si>
  <si>
    <r>
      <rPr>
        <b/>
        <sz val="11"/>
        <color theme="1"/>
        <rFont val="Calibri"/>
      </rPr>
      <t>N</t>
    </r>
    <r>
      <rPr>
        <b/>
        <vertAlign val="subscript"/>
        <sz val="10"/>
        <color theme="1"/>
        <rFont val="Arial"/>
      </rPr>
      <t>2</t>
    </r>
    <r>
      <rPr>
        <b/>
        <sz val="10"/>
        <color theme="1"/>
        <rFont val="Arial"/>
      </rPr>
      <t>O</t>
    </r>
  </si>
  <si>
    <t>Oil(2,4)</t>
  </si>
  <si>
    <t>Oil(6)</t>
  </si>
  <si>
    <t>Gas</t>
  </si>
  <si>
    <t>Biomass</t>
  </si>
  <si>
    <t xml:space="preserve">% of Heat </t>
  </si>
  <si>
    <t>Share</t>
  </si>
  <si>
    <t># 2 Oil</t>
  </si>
  <si>
    <t># 4 Oil</t>
  </si>
  <si>
    <t>(tons)</t>
  </si>
  <si>
    <r>
      <rPr>
        <b/>
        <sz val="11"/>
        <color theme="1"/>
        <rFont val="Calibri"/>
      </rPr>
      <t>CO</t>
    </r>
    <r>
      <rPr>
        <b/>
        <vertAlign val="subscript"/>
        <sz val="10"/>
        <color theme="1"/>
        <rFont val="Arial"/>
      </rPr>
      <t>2</t>
    </r>
    <r>
      <rPr>
        <b/>
        <sz val="10"/>
        <color theme="1"/>
        <rFont val="Arial"/>
      </rPr>
      <t xml:space="preserve"> emissions (short tons)</t>
    </r>
  </si>
  <si>
    <t>No. 24</t>
  </si>
  <si>
    <r>
      <rPr>
        <b/>
        <sz val="11"/>
        <color theme="1"/>
        <rFont val="Calibri"/>
      </rPr>
      <t>CH</t>
    </r>
    <r>
      <rPr>
        <b/>
        <vertAlign val="subscript"/>
        <sz val="10"/>
        <color theme="1"/>
        <rFont val="Arial"/>
      </rPr>
      <t>4</t>
    </r>
    <r>
      <rPr>
        <b/>
        <sz val="10"/>
        <color theme="1"/>
        <rFont val="Arial"/>
      </rPr>
      <t xml:space="preserve"> emissions (short tons)</t>
    </r>
  </si>
  <si>
    <r>
      <rPr>
        <b/>
        <sz val="11"/>
        <color theme="1"/>
        <rFont val="Calibri"/>
      </rPr>
      <t>N</t>
    </r>
    <r>
      <rPr>
        <b/>
        <vertAlign val="subscript"/>
        <sz val="10"/>
        <color theme="1"/>
        <rFont val="Arial"/>
      </rPr>
      <t>2</t>
    </r>
    <r>
      <rPr>
        <b/>
        <sz val="10"/>
        <color theme="1"/>
        <rFont val="Arial"/>
      </rPr>
      <t>O emissions  (short tons)</t>
    </r>
  </si>
  <si>
    <r>
      <rPr>
        <b/>
        <sz val="11"/>
        <color theme="1"/>
        <rFont val="Calibri"/>
      </rPr>
      <t>CO</t>
    </r>
    <r>
      <rPr>
        <b/>
        <vertAlign val="subscript"/>
        <sz val="10"/>
        <color theme="1"/>
        <rFont val="Arial"/>
      </rPr>
      <t>2</t>
    </r>
    <r>
      <rPr>
        <b/>
        <sz val="10"/>
        <color theme="1"/>
        <rFont val="Arial"/>
      </rPr>
      <t xml:space="preserve"> emissions (short tons)</t>
    </r>
  </si>
  <si>
    <t>No. 25</t>
  </si>
  <si>
    <r>
      <rPr>
        <b/>
        <sz val="11"/>
        <color theme="1"/>
        <rFont val="Calibri"/>
      </rPr>
      <t>CH</t>
    </r>
    <r>
      <rPr>
        <b/>
        <vertAlign val="subscript"/>
        <sz val="10"/>
        <color theme="1"/>
        <rFont val="Arial"/>
      </rPr>
      <t>4</t>
    </r>
    <r>
      <rPr>
        <b/>
        <sz val="10"/>
        <color theme="1"/>
        <rFont val="Arial"/>
      </rPr>
      <t xml:space="preserve"> emissions (short tons)</t>
    </r>
  </si>
  <si>
    <r>
      <rPr>
        <b/>
        <sz val="11"/>
        <color theme="1"/>
        <rFont val="Calibri"/>
      </rPr>
      <t>N</t>
    </r>
    <r>
      <rPr>
        <b/>
        <vertAlign val="subscript"/>
        <sz val="10"/>
        <color theme="1"/>
        <rFont val="Arial"/>
      </rPr>
      <t>2</t>
    </r>
    <r>
      <rPr>
        <b/>
        <sz val="10"/>
        <color theme="1"/>
        <rFont val="Arial"/>
      </rPr>
      <t>O emissions (short tons)</t>
    </r>
  </si>
  <si>
    <r>
      <rPr>
        <b/>
        <sz val="11"/>
        <color theme="1"/>
        <rFont val="Calibri"/>
      </rPr>
      <t>CO</t>
    </r>
    <r>
      <rPr>
        <b/>
        <vertAlign val="subscript"/>
        <sz val="10"/>
        <color theme="1"/>
        <rFont val="Arial"/>
      </rPr>
      <t>2</t>
    </r>
    <r>
      <rPr>
        <b/>
        <sz val="10"/>
        <color theme="1"/>
        <rFont val="Arial"/>
      </rPr>
      <t xml:space="preserve"> emissions (short tons)</t>
    </r>
  </si>
  <si>
    <t>No. 26</t>
  </si>
  <si>
    <r>
      <rPr>
        <b/>
        <sz val="11"/>
        <color theme="1"/>
        <rFont val="Calibri"/>
      </rPr>
      <t>CH</t>
    </r>
    <r>
      <rPr>
        <b/>
        <vertAlign val="subscript"/>
        <sz val="10"/>
        <color theme="1"/>
        <rFont val="Arial"/>
      </rPr>
      <t>4</t>
    </r>
    <r>
      <rPr>
        <b/>
        <sz val="10"/>
        <color theme="1"/>
        <rFont val="Arial"/>
      </rPr>
      <t xml:space="preserve"> emissions (short tons)</t>
    </r>
  </si>
  <si>
    <r>
      <rPr>
        <b/>
        <sz val="11"/>
        <color theme="1"/>
        <rFont val="Calibri"/>
      </rPr>
      <t>N</t>
    </r>
    <r>
      <rPr>
        <b/>
        <vertAlign val="subscript"/>
        <sz val="10"/>
        <color theme="1"/>
        <rFont val="Arial"/>
      </rPr>
      <t>2</t>
    </r>
    <r>
      <rPr>
        <b/>
        <sz val="10"/>
        <color theme="1"/>
        <rFont val="Arial"/>
      </rPr>
      <t>O emissions  (short tons)</t>
    </r>
  </si>
  <si>
    <r>
      <rPr>
        <b/>
        <sz val="11"/>
        <color theme="1"/>
        <rFont val="Calibri"/>
      </rPr>
      <t>CO</t>
    </r>
    <r>
      <rPr>
        <b/>
        <vertAlign val="subscript"/>
        <sz val="10"/>
        <color theme="1"/>
        <rFont val="Arial"/>
      </rPr>
      <t>2</t>
    </r>
    <r>
      <rPr>
        <b/>
        <sz val="10"/>
        <color theme="1"/>
        <rFont val="Arial"/>
      </rPr>
      <t xml:space="preserve"> Emission </t>
    </r>
  </si>
  <si>
    <r>
      <rPr>
        <b/>
        <sz val="11"/>
        <color theme="1"/>
        <rFont val="Calibri"/>
      </rPr>
      <t>CO</t>
    </r>
    <r>
      <rPr>
        <b/>
        <vertAlign val="subscript"/>
        <sz val="10"/>
        <color theme="1"/>
        <rFont val="Arial"/>
      </rPr>
      <t>2</t>
    </r>
    <r>
      <rPr>
        <b/>
        <sz val="10"/>
        <color theme="1"/>
        <rFont val="Arial"/>
      </rPr>
      <t xml:space="preserve"> Emission </t>
    </r>
  </si>
  <si>
    <r>
      <rPr>
        <b/>
        <sz val="11"/>
        <color theme="1"/>
        <rFont val="Calibri"/>
      </rPr>
      <t>CO</t>
    </r>
    <r>
      <rPr>
        <b/>
        <vertAlign val="subscript"/>
        <sz val="10"/>
        <color theme="1"/>
        <rFont val="Arial"/>
      </rPr>
      <t>2</t>
    </r>
    <r>
      <rPr>
        <b/>
        <sz val="10"/>
        <color theme="1"/>
        <rFont val="Arial"/>
      </rPr>
      <t xml:space="preserve"> Emission </t>
    </r>
  </si>
  <si>
    <r>
      <rPr>
        <b/>
        <sz val="11"/>
        <color theme="1"/>
        <rFont val="Calibri"/>
      </rPr>
      <t>CH</t>
    </r>
    <r>
      <rPr>
        <b/>
        <vertAlign val="subscript"/>
        <sz val="10"/>
        <color theme="1"/>
        <rFont val="Arial"/>
      </rPr>
      <t>4</t>
    </r>
    <r>
      <rPr>
        <b/>
        <sz val="10"/>
        <color theme="1"/>
        <rFont val="Arial"/>
      </rPr>
      <t xml:space="preserve"> Emission </t>
    </r>
  </si>
  <si>
    <r>
      <rPr>
        <b/>
        <sz val="11"/>
        <color theme="1"/>
        <rFont val="Calibri"/>
      </rPr>
      <t>CH</t>
    </r>
    <r>
      <rPr>
        <b/>
        <vertAlign val="subscript"/>
        <sz val="10"/>
        <color theme="1"/>
        <rFont val="Arial"/>
      </rPr>
      <t>4</t>
    </r>
    <r>
      <rPr>
        <b/>
        <sz val="10"/>
        <color theme="1"/>
        <rFont val="Arial"/>
      </rPr>
      <t xml:space="preserve"> Emission </t>
    </r>
  </si>
  <si>
    <r>
      <rPr>
        <b/>
        <sz val="11"/>
        <color theme="1"/>
        <rFont val="Calibri"/>
      </rPr>
      <t>CH</t>
    </r>
    <r>
      <rPr>
        <b/>
        <vertAlign val="subscript"/>
        <sz val="10"/>
        <color theme="1"/>
        <rFont val="Arial"/>
      </rPr>
      <t>4</t>
    </r>
    <r>
      <rPr>
        <b/>
        <sz val="10"/>
        <color theme="1"/>
        <rFont val="Arial"/>
      </rPr>
      <t xml:space="preserve"> Emission </t>
    </r>
  </si>
  <si>
    <r>
      <rPr>
        <b/>
        <sz val="11"/>
        <color theme="1"/>
        <rFont val="Calibri"/>
      </rPr>
      <t>(MMTCO</t>
    </r>
    <r>
      <rPr>
        <b/>
        <vertAlign val="subscript"/>
        <sz val="10"/>
        <color theme="1"/>
        <rFont val="Arial"/>
      </rPr>
      <t>2</t>
    </r>
    <r>
      <rPr>
        <b/>
        <sz val="10"/>
        <color theme="1"/>
        <rFont val="Arial"/>
      </rPr>
      <t>)</t>
    </r>
  </si>
  <si>
    <r>
      <rPr>
        <b/>
        <sz val="11"/>
        <color theme="1"/>
        <rFont val="Calibri"/>
      </rPr>
      <t>N</t>
    </r>
    <r>
      <rPr>
        <b/>
        <vertAlign val="subscript"/>
        <sz val="10"/>
        <color theme="1"/>
        <rFont val="Arial"/>
      </rPr>
      <t>2</t>
    </r>
    <r>
      <rPr>
        <b/>
        <sz val="10"/>
        <color theme="1"/>
        <rFont val="Arial"/>
      </rPr>
      <t xml:space="preserve">O Emission </t>
    </r>
  </si>
  <si>
    <r>
      <rPr>
        <b/>
        <sz val="11"/>
        <color theme="1"/>
        <rFont val="Calibri"/>
      </rPr>
      <t>N</t>
    </r>
    <r>
      <rPr>
        <b/>
        <vertAlign val="subscript"/>
        <sz val="10"/>
        <color theme="1"/>
        <rFont val="Arial"/>
      </rPr>
      <t>2</t>
    </r>
    <r>
      <rPr>
        <b/>
        <sz val="10"/>
        <color theme="1"/>
        <rFont val="Arial"/>
      </rPr>
      <t xml:space="preserve">O Emission </t>
    </r>
  </si>
  <si>
    <r>
      <rPr>
        <b/>
        <sz val="11"/>
        <color theme="1"/>
        <rFont val="Calibri"/>
      </rPr>
      <t>N</t>
    </r>
    <r>
      <rPr>
        <b/>
        <vertAlign val="subscript"/>
        <sz val="10"/>
        <color theme="1"/>
        <rFont val="Arial"/>
      </rPr>
      <t>2</t>
    </r>
    <r>
      <rPr>
        <b/>
        <sz val="10"/>
        <color theme="1"/>
        <rFont val="Arial"/>
      </rPr>
      <t xml:space="preserve">O Emission </t>
    </r>
  </si>
  <si>
    <r>
      <rPr>
        <b/>
        <sz val="11"/>
        <color theme="1"/>
        <rFont val="Calibri"/>
      </rPr>
      <t>(MMTCO</t>
    </r>
    <r>
      <rPr>
        <b/>
        <vertAlign val="subscript"/>
        <sz val="10"/>
        <color theme="1"/>
        <rFont val="Arial"/>
      </rPr>
      <t>2</t>
    </r>
    <r>
      <rPr>
        <b/>
        <sz val="10"/>
        <color theme="1"/>
        <rFont val="Arial"/>
      </rPr>
      <t>)</t>
    </r>
  </si>
  <si>
    <t xml:space="preserve"> COAL COMBUSTION BY UNIT</t>
  </si>
  <si>
    <t>ECMPS data</t>
  </si>
  <si>
    <t>EPA Emissions Collection and Monitoring Plan System (ECMPS) data in accordance to 40 CFR Part 75</t>
  </si>
  <si>
    <t>Calculation:</t>
  </si>
  <si>
    <t>Usage X Heat Content</t>
  </si>
  <si>
    <t>Plant ID</t>
  </si>
  <si>
    <t xml:space="preserve">Plant Name </t>
  </si>
  <si>
    <t>Equipment Description</t>
  </si>
  <si>
    <t>Fuel Type</t>
  </si>
  <si>
    <t>Usage</t>
  </si>
  <si>
    <t>Usage Unit</t>
  </si>
  <si>
    <t>Heat Content</t>
  </si>
  <si>
    <t>Heat Content Unit</t>
  </si>
  <si>
    <t>Fuel Heat Input</t>
  </si>
  <si>
    <r>
      <rPr>
        <b/>
        <sz val="11"/>
        <color theme="1"/>
        <rFont val="Calibri"/>
      </rPr>
      <t>CO</t>
    </r>
    <r>
      <rPr>
        <b/>
        <vertAlign val="subscript"/>
        <sz val="10"/>
        <color theme="1"/>
        <rFont val="Arial"/>
      </rPr>
      <t>2</t>
    </r>
    <r>
      <rPr>
        <b/>
        <sz val="10"/>
        <color theme="1"/>
        <rFont val="Arial"/>
      </rPr>
      <t xml:space="preserve"> Emmission</t>
    </r>
  </si>
  <si>
    <r>
      <rPr>
        <b/>
        <sz val="11"/>
        <color theme="1"/>
        <rFont val="Calibri"/>
      </rPr>
      <t>CH</t>
    </r>
    <r>
      <rPr>
        <b/>
        <vertAlign val="subscript"/>
        <sz val="10"/>
        <color theme="1"/>
        <rFont val="Arial"/>
      </rPr>
      <t>4</t>
    </r>
    <r>
      <rPr>
        <b/>
        <sz val="10"/>
        <color theme="1"/>
        <rFont val="Arial"/>
      </rPr>
      <t xml:space="preserve">  Emission</t>
    </r>
  </si>
  <si>
    <r>
      <rPr>
        <b/>
        <sz val="11"/>
        <color theme="1"/>
        <rFont val="Calibri"/>
      </rPr>
      <t>N</t>
    </r>
    <r>
      <rPr>
        <b/>
        <vertAlign val="subscript"/>
        <sz val="10"/>
        <color theme="1"/>
        <rFont val="Arial"/>
      </rPr>
      <t>2</t>
    </r>
    <r>
      <rPr>
        <b/>
        <sz val="10"/>
        <color theme="1"/>
        <rFont val="Arial"/>
      </rPr>
      <t>O  Emission</t>
    </r>
  </si>
  <si>
    <t>Heat Input Ref:</t>
  </si>
  <si>
    <r>
      <rPr>
        <b/>
        <sz val="11"/>
        <color theme="1"/>
        <rFont val="Calibri"/>
      </rPr>
      <t>CO</t>
    </r>
    <r>
      <rPr>
        <b/>
        <vertAlign val="subscript"/>
        <sz val="8"/>
        <color theme="1"/>
        <rFont val="Arial"/>
      </rPr>
      <t>2</t>
    </r>
    <r>
      <rPr>
        <b/>
        <sz val="8"/>
        <color theme="1"/>
        <rFont val="Arial"/>
      </rPr>
      <t xml:space="preserve"> Emissions Ref</t>
    </r>
  </si>
  <si>
    <t>(MMBTU)</t>
  </si>
  <si>
    <t>001-0203</t>
  </si>
  <si>
    <t>AES WARRIOR RUN COGEN</t>
  </si>
  <si>
    <t>001-3-0127</t>
  </si>
  <si>
    <t xml:space="preserve">ACF Boiler </t>
  </si>
  <si>
    <t>tons</t>
  </si>
  <si>
    <t>Btu/lb</t>
  </si>
  <si>
    <t>003-0468</t>
  </si>
  <si>
    <t xml:space="preserve"> Brandon Shores </t>
  </si>
  <si>
    <t>3-0015</t>
  </si>
  <si>
    <t>Unit 1</t>
  </si>
  <si>
    <t>P-Coal</t>
  </si>
  <si>
    <t>Apportion from ECMPS data</t>
  </si>
  <si>
    <t>3-0016</t>
  </si>
  <si>
    <t>Unit 2</t>
  </si>
  <si>
    <t>24-005-0079</t>
  </si>
  <si>
    <t xml:space="preserve">C.P.Crane </t>
  </si>
  <si>
    <t>3-0108</t>
  </si>
  <si>
    <t>Boiler Unit 1</t>
  </si>
  <si>
    <t>3-0109</t>
  </si>
  <si>
    <t>Boiler Unit 2</t>
  </si>
  <si>
    <t>033-00014</t>
  </si>
  <si>
    <t>Chalk Point</t>
  </si>
  <si>
    <t>1600-14-30004</t>
  </si>
  <si>
    <t>Btu/ lb</t>
  </si>
  <si>
    <t>1600-14-30005</t>
  </si>
  <si>
    <t>003-0014</t>
  </si>
  <si>
    <t>HERBERT A WAGNER</t>
  </si>
  <si>
    <t>4-0308</t>
  </si>
  <si>
    <t>MMBtu/ tons</t>
  </si>
  <si>
    <t>3-0003</t>
  </si>
  <si>
    <t>Unit 3</t>
  </si>
  <si>
    <t>043-0005</t>
  </si>
  <si>
    <t>R P SMITH</t>
  </si>
  <si>
    <t>043-0005-3-0005</t>
  </si>
  <si>
    <t>Unit 3 (9)</t>
  </si>
  <si>
    <t>043-0005-3-0006</t>
  </si>
  <si>
    <t>Unit 4 (11)</t>
  </si>
  <si>
    <t>031-0019</t>
  </si>
  <si>
    <t>Mirant Dickerson</t>
  </si>
  <si>
    <t>1500-19-30001</t>
  </si>
  <si>
    <t>Boiler 1</t>
  </si>
  <si>
    <t>1500-19-30002</t>
  </si>
  <si>
    <t>Boiler 2</t>
  </si>
  <si>
    <t>1500-19-30003</t>
  </si>
  <si>
    <t>Boiler 3</t>
  </si>
  <si>
    <t>017-0014</t>
  </si>
  <si>
    <t>Mirant Morgantown</t>
  </si>
  <si>
    <t>0800-14-30002</t>
  </si>
  <si>
    <t>080-14-30003</t>
  </si>
  <si>
    <t>001-0011</t>
  </si>
  <si>
    <t>Luke (New Page)</t>
  </si>
  <si>
    <t>01-0011-3-0018</t>
  </si>
  <si>
    <t>Nos. 24,25 &amp; 26  Boiler</t>
  </si>
  <si>
    <t>Btu/ib</t>
  </si>
  <si>
    <t>Coal (Total)</t>
  </si>
  <si>
    <r>
      <rPr>
        <b/>
        <sz val="11"/>
        <color theme="1"/>
        <rFont val="Calibri"/>
      </rPr>
      <t>Coal (MMTCO</t>
    </r>
    <r>
      <rPr>
        <b/>
        <vertAlign val="subscript"/>
        <sz val="10"/>
        <color theme="1"/>
        <rFont val="Arial"/>
      </rPr>
      <t>2</t>
    </r>
    <r>
      <rPr>
        <b/>
        <sz val="10"/>
        <color theme="1"/>
        <rFont val="Arial"/>
      </rPr>
      <t>E)</t>
    </r>
  </si>
  <si>
    <t>01-0011-3-0019</t>
  </si>
  <si>
    <t>01-0011-5-0170</t>
  </si>
  <si>
    <r>
      <rPr>
        <b/>
        <sz val="11"/>
        <color theme="1"/>
        <rFont val="Calibri"/>
      </rPr>
      <t>Biomass (MMTCO</t>
    </r>
    <r>
      <rPr>
        <b/>
        <vertAlign val="subscript"/>
        <sz val="10"/>
        <color theme="1"/>
        <rFont val="Arial"/>
      </rPr>
      <t>2</t>
    </r>
    <r>
      <rPr>
        <b/>
        <sz val="10"/>
        <color theme="1"/>
        <rFont val="Arial"/>
      </rPr>
      <t>E)</t>
    </r>
  </si>
  <si>
    <t>OIL COMBUSTION BY UNIT</t>
  </si>
  <si>
    <r>
      <rPr>
        <b/>
        <sz val="11"/>
        <color theme="1"/>
        <rFont val="Calibri"/>
      </rPr>
      <t>CO</t>
    </r>
    <r>
      <rPr>
        <b/>
        <vertAlign val="subscript"/>
        <sz val="10"/>
        <color theme="1"/>
        <rFont val="Arial"/>
      </rPr>
      <t xml:space="preserve">2 </t>
    </r>
    <r>
      <rPr>
        <b/>
        <sz val="10"/>
        <color theme="1"/>
        <rFont val="Arial"/>
      </rPr>
      <t>Emmission</t>
    </r>
  </si>
  <si>
    <r>
      <rPr>
        <b/>
        <sz val="11"/>
        <color theme="1"/>
        <rFont val="Calibri"/>
      </rPr>
      <t>CH</t>
    </r>
    <r>
      <rPr>
        <b/>
        <vertAlign val="subscript"/>
        <sz val="10"/>
        <color theme="1"/>
        <rFont val="Arial"/>
      </rPr>
      <t>4</t>
    </r>
    <r>
      <rPr>
        <b/>
        <sz val="10"/>
        <color theme="1"/>
        <rFont val="Arial"/>
      </rPr>
      <t xml:space="preserve"> </t>
    </r>
    <r>
      <rPr>
        <b/>
        <vertAlign val="subscript"/>
        <sz val="10"/>
        <color theme="1"/>
        <rFont val="Arial"/>
      </rPr>
      <t xml:space="preserve"> </t>
    </r>
    <r>
      <rPr>
        <b/>
        <sz val="10"/>
        <color theme="1"/>
        <rFont val="Arial"/>
      </rPr>
      <t>Emission</t>
    </r>
  </si>
  <si>
    <r>
      <rPr>
        <b/>
        <sz val="11"/>
        <color theme="1"/>
        <rFont val="Calibri"/>
      </rPr>
      <t>N</t>
    </r>
    <r>
      <rPr>
        <b/>
        <vertAlign val="subscript"/>
        <sz val="10"/>
        <color theme="1"/>
        <rFont val="Arial"/>
      </rPr>
      <t>2</t>
    </r>
    <r>
      <rPr>
        <b/>
        <sz val="10"/>
        <color theme="1"/>
        <rFont val="Arial"/>
      </rPr>
      <t xml:space="preserve">O </t>
    </r>
    <r>
      <rPr>
        <b/>
        <vertAlign val="subscript"/>
        <sz val="10"/>
        <color theme="1"/>
        <rFont val="Arial"/>
      </rPr>
      <t xml:space="preserve"> </t>
    </r>
    <r>
      <rPr>
        <b/>
        <sz val="10"/>
        <color theme="1"/>
        <rFont val="Arial"/>
      </rPr>
      <t>Emission</t>
    </r>
  </si>
  <si>
    <t xml:space="preserve">  #2 Oil</t>
  </si>
  <si>
    <t>Diesel</t>
  </si>
  <si>
    <t>gallons</t>
  </si>
  <si>
    <t>Btu/gal</t>
  </si>
  <si>
    <t>Calculation</t>
  </si>
  <si>
    <t>001-9-0081</t>
  </si>
  <si>
    <t>Emergency Engine (Boiler Feed Pump)</t>
  </si>
  <si>
    <t>S-No. 2 Oil</t>
  </si>
  <si>
    <t>MMBtu/ 1E+03 gal</t>
  </si>
  <si>
    <t>4-0091</t>
  </si>
  <si>
    <t>Aux Boiler # 2</t>
  </si>
  <si>
    <t>4-1107</t>
  </si>
  <si>
    <t>Aux Boiler # 3</t>
  </si>
  <si>
    <t>4-0089</t>
  </si>
  <si>
    <t>CT (14 MW)</t>
  </si>
  <si>
    <t>#2 Oli</t>
  </si>
  <si>
    <t>1600-14-40778</t>
  </si>
  <si>
    <t xml:space="preserve"> CT 1</t>
  </si>
  <si>
    <t>1600-14-41145</t>
  </si>
  <si>
    <t>CT2</t>
  </si>
  <si>
    <t>1600-14-90752</t>
  </si>
  <si>
    <t>CT3**</t>
  </si>
  <si>
    <t>1600-14-90753</t>
  </si>
  <si>
    <t>CT4**</t>
  </si>
  <si>
    <t>1600-14-90754</t>
  </si>
  <si>
    <t>CT5**</t>
  </si>
  <si>
    <t>1600-14-90755</t>
  </si>
  <si>
    <t>CT6**</t>
  </si>
  <si>
    <t>1600-14-41156</t>
  </si>
  <si>
    <t>CE  Aux. Boiler 5</t>
  </si>
  <si>
    <t>1600-14-41157</t>
  </si>
  <si>
    <t>CE  Aux. Boiler 6</t>
  </si>
  <si>
    <t>1600-14-41158</t>
  </si>
  <si>
    <t>CE   Aux. Boiler 7</t>
  </si>
  <si>
    <t>033-01827</t>
  </si>
  <si>
    <t xml:space="preserve">Chalkpoint -SMECO </t>
  </si>
  <si>
    <t>1827-5-074990</t>
  </si>
  <si>
    <t>Combustion Turbine</t>
  </si>
  <si>
    <t>4-0007</t>
  </si>
  <si>
    <t>CT</t>
  </si>
  <si>
    <t>No.2 Oil</t>
  </si>
  <si>
    <t>MMBTU/10E+03 gallons</t>
  </si>
  <si>
    <t>024-025-0024</t>
  </si>
  <si>
    <t xml:space="preserve">Perryman </t>
  </si>
  <si>
    <t>5-0088</t>
  </si>
  <si>
    <t>Unit 51 CT</t>
  </si>
  <si>
    <t>4-0081</t>
  </si>
  <si>
    <t>Unit 1 CT</t>
  </si>
  <si>
    <t>4-0082</t>
  </si>
  <si>
    <t>Unit 2 CT</t>
  </si>
  <si>
    <t>4-0083</t>
  </si>
  <si>
    <t>Unit 3 CT</t>
  </si>
  <si>
    <t>4-0084</t>
  </si>
  <si>
    <t>Unit 4 CT</t>
  </si>
  <si>
    <t>#2 Oil</t>
  </si>
  <si>
    <t>Btu/ gal</t>
  </si>
  <si>
    <t>005-0078</t>
  </si>
  <si>
    <t>Riverside</t>
  </si>
  <si>
    <t>4-0658</t>
  </si>
  <si>
    <t>Combustion Turbine # 7</t>
  </si>
  <si>
    <t>4-0659</t>
  </si>
  <si>
    <t xml:space="preserve">Combustion Turbine #8 </t>
  </si>
  <si>
    <t>019-0013</t>
  </si>
  <si>
    <t>Vienna Generating Station</t>
  </si>
  <si>
    <t>4-0065-70</t>
  </si>
  <si>
    <t>Unit 8</t>
  </si>
  <si>
    <t>Btu/gallons</t>
  </si>
  <si>
    <t>4-0020-69</t>
  </si>
  <si>
    <t>AUX Boiler</t>
  </si>
  <si>
    <t>4-0114-79</t>
  </si>
  <si>
    <t>1500-19-40907</t>
  </si>
  <si>
    <r>
      <rPr>
        <sz val="11"/>
        <color theme="1"/>
        <rFont val="Calibri"/>
      </rPr>
      <t xml:space="preserve">Combustion Turbine  </t>
    </r>
    <r>
      <rPr>
        <b/>
        <sz val="10"/>
        <color theme="1"/>
        <rFont val="Arial"/>
      </rPr>
      <t>CT1</t>
    </r>
  </si>
  <si>
    <t>Oil</t>
  </si>
  <si>
    <t>031-1822</t>
  </si>
  <si>
    <t>Mirant Station H</t>
  </si>
  <si>
    <t>1518-22-90362</t>
  </si>
  <si>
    <t>CT 1</t>
  </si>
  <si>
    <t>158-22-90363</t>
  </si>
  <si>
    <t>CT 2</t>
  </si>
  <si>
    <t>Btu/ gallons</t>
  </si>
  <si>
    <t>0800-14-40016</t>
  </si>
  <si>
    <t>Aux 2</t>
  </si>
  <si>
    <t>0800-14-40018</t>
  </si>
  <si>
    <t>Aux 4</t>
  </si>
  <si>
    <t>0800-14-4-0068</t>
  </si>
  <si>
    <t>0800-14-4-0069</t>
  </si>
  <si>
    <t>0800-14-4-0070</t>
  </si>
  <si>
    <t>CT 3</t>
  </si>
  <si>
    <t>No. 2 Fuel Oil</t>
  </si>
  <si>
    <t>0800-14-4-0071</t>
  </si>
  <si>
    <t>CT 4</t>
  </si>
  <si>
    <t>0800-14-4-0074</t>
  </si>
  <si>
    <t>CT 5</t>
  </si>
  <si>
    <t>0800-14-4-0075</t>
  </si>
  <si>
    <t>CT 6</t>
  </si>
  <si>
    <t>033-2200</t>
  </si>
  <si>
    <t>Panda Brandywine</t>
  </si>
  <si>
    <t>5-0844</t>
  </si>
  <si>
    <t>Fuel Oil</t>
  </si>
  <si>
    <t>5-0845</t>
  </si>
  <si>
    <t>510-265</t>
  </si>
  <si>
    <t>CPSG- Philadelphia Road Power</t>
  </si>
  <si>
    <t>4-0431</t>
  </si>
  <si>
    <t>No. 2 Oil</t>
  </si>
  <si>
    <t>MMBTU/ 1E+03 gallons</t>
  </si>
  <si>
    <t>4-0432</t>
  </si>
  <si>
    <t>4-0433</t>
  </si>
  <si>
    <t>4-0434</t>
  </si>
  <si>
    <t>041-0029</t>
  </si>
  <si>
    <t>Easton Utility</t>
  </si>
  <si>
    <t>9-0032</t>
  </si>
  <si>
    <t>Unit 101</t>
  </si>
  <si>
    <t>#2 Fuel Oil</t>
  </si>
  <si>
    <t>MMBTU/ 10E+03 gallons</t>
  </si>
  <si>
    <t>9-0031</t>
  </si>
  <si>
    <t>Unit 102</t>
  </si>
  <si>
    <t>9-0023</t>
  </si>
  <si>
    <t>Unit 7</t>
  </si>
  <si>
    <t>9-0024</t>
  </si>
  <si>
    <t>9-0025</t>
  </si>
  <si>
    <t>Unit 9</t>
  </si>
  <si>
    <t>9-0026</t>
  </si>
  <si>
    <t>Unit 10</t>
  </si>
  <si>
    <t>9-0027</t>
  </si>
  <si>
    <t>Unit 11</t>
  </si>
  <si>
    <t>9-0028</t>
  </si>
  <si>
    <t>Unit 12</t>
  </si>
  <si>
    <t>9-0029</t>
  </si>
  <si>
    <t>Unit 13</t>
  </si>
  <si>
    <t>9-0030</t>
  </si>
  <si>
    <t>Unit 14</t>
  </si>
  <si>
    <t>041-0069</t>
  </si>
  <si>
    <t>Easton Utility-Airport Park</t>
  </si>
  <si>
    <t>20-9-0037</t>
  </si>
  <si>
    <t>Unit 201</t>
  </si>
  <si>
    <t>Btu/gallon</t>
  </si>
  <si>
    <t>20-9-0038</t>
  </si>
  <si>
    <t>Unit 202</t>
  </si>
  <si>
    <t>20-4-0101</t>
  </si>
  <si>
    <t>Unit 203</t>
  </si>
  <si>
    <t>2044-0102</t>
  </si>
  <si>
    <t>Unit 204</t>
  </si>
  <si>
    <t>20-9-0033</t>
  </si>
  <si>
    <t>Unit 21</t>
  </si>
  <si>
    <t>20-9-0034</t>
  </si>
  <si>
    <t>Unit 22</t>
  </si>
  <si>
    <t>20-9-0035</t>
  </si>
  <si>
    <t>Unit 23</t>
  </si>
  <si>
    <t>20-9-0036</t>
  </si>
  <si>
    <t>Unit 24</t>
  </si>
  <si>
    <t>047-0044</t>
  </si>
  <si>
    <t>Berlin Town Power Plant</t>
  </si>
  <si>
    <t>EMD Diesel Gen</t>
  </si>
  <si>
    <t>FM Diesel Gen</t>
  </si>
  <si>
    <t>Mitsu  Diesel Gen</t>
  </si>
  <si>
    <t>9-0033</t>
  </si>
  <si>
    <t>Mistsu. Diesel Gen</t>
  </si>
  <si>
    <t>039-0017</t>
  </si>
  <si>
    <t xml:space="preserve">Connectiv - Crisfield Generation </t>
  </si>
  <si>
    <t>4-0024</t>
  </si>
  <si>
    <t>Unit 1 General Motors 2.5 MW</t>
  </si>
  <si>
    <t>4-0025</t>
  </si>
  <si>
    <t>Unit 2 General Motors 2.5 MW</t>
  </si>
  <si>
    <t>4-0026</t>
  </si>
  <si>
    <t>Unit 3 General Motors 2.5 MW</t>
  </si>
  <si>
    <t>4-0027</t>
  </si>
  <si>
    <t>Unit 4 General Motors 2.5 MW</t>
  </si>
  <si>
    <t>009-0012</t>
  </si>
  <si>
    <t>Calvert Cliffs Parkway Nuclear PP</t>
  </si>
  <si>
    <t>4-0014</t>
  </si>
  <si>
    <t xml:space="preserve">  11    Auxilliary Boiler</t>
  </si>
  <si>
    <t>4-0016</t>
  </si>
  <si>
    <t>1 B Emergency Generator</t>
  </si>
  <si>
    <t>4-0017</t>
  </si>
  <si>
    <t xml:space="preserve"> 2A Emergency Generator</t>
  </si>
  <si>
    <t>4-0018</t>
  </si>
  <si>
    <t xml:space="preserve"> 2B Emergency Generator</t>
  </si>
  <si>
    <t>9-0015 &amp;9-0016</t>
  </si>
  <si>
    <t xml:space="preserve">  1A Emergency Generator</t>
  </si>
  <si>
    <t>9-0017 &amp;9-0018</t>
  </si>
  <si>
    <t xml:space="preserve">  OC Emergency Generator</t>
  </si>
  <si>
    <t>9-0019</t>
  </si>
  <si>
    <t xml:space="preserve">  Security Diesel Generator</t>
  </si>
  <si>
    <t>MMBtu/gal</t>
  </si>
  <si>
    <r>
      <rPr>
        <b/>
        <sz val="11"/>
        <color theme="1"/>
        <rFont val="Calibri"/>
      </rPr>
      <t>No. 2 Oil (MMTCO</t>
    </r>
    <r>
      <rPr>
        <b/>
        <vertAlign val="subscript"/>
        <sz val="10"/>
        <color theme="1"/>
        <rFont val="Arial"/>
      </rPr>
      <t>2</t>
    </r>
    <r>
      <rPr>
        <b/>
        <sz val="10"/>
        <color theme="1"/>
        <rFont val="Arial"/>
      </rPr>
      <t>E)</t>
    </r>
  </si>
  <si>
    <r>
      <rPr>
        <b/>
        <sz val="11"/>
        <color theme="1"/>
        <rFont val="Calibri"/>
      </rPr>
      <t>CO</t>
    </r>
    <r>
      <rPr>
        <b/>
        <vertAlign val="subscript"/>
        <sz val="10"/>
        <color theme="1"/>
        <rFont val="Arial"/>
      </rPr>
      <t xml:space="preserve">2 </t>
    </r>
    <r>
      <rPr>
        <b/>
        <sz val="10"/>
        <color theme="1"/>
        <rFont val="Arial"/>
      </rPr>
      <t>Emmission</t>
    </r>
  </si>
  <si>
    <r>
      <rPr>
        <b/>
        <sz val="11"/>
        <color theme="1"/>
        <rFont val="Calibri"/>
      </rPr>
      <t>CH</t>
    </r>
    <r>
      <rPr>
        <b/>
        <vertAlign val="subscript"/>
        <sz val="10"/>
        <color theme="1"/>
        <rFont val="Arial"/>
      </rPr>
      <t>4</t>
    </r>
    <r>
      <rPr>
        <b/>
        <sz val="10"/>
        <color theme="1"/>
        <rFont val="Arial"/>
      </rPr>
      <t xml:space="preserve"> </t>
    </r>
    <r>
      <rPr>
        <b/>
        <vertAlign val="subscript"/>
        <sz val="10"/>
        <color theme="1"/>
        <rFont val="Arial"/>
      </rPr>
      <t xml:space="preserve"> </t>
    </r>
    <r>
      <rPr>
        <b/>
        <sz val="10"/>
        <color theme="1"/>
        <rFont val="Arial"/>
      </rPr>
      <t>Emission</t>
    </r>
  </si>
  <si>
    <r>
      <rPr>
        <b/>
        <sz val="11"/>
        <color theme="1"/>
        <rFont val="Calibri"/>
      </rPr>
      <t>N</t>
    </r>
    <r>
      <rPr>
        <b/>
        <vertAlign val="subscript"/>
        <sz val="10"/>
        <color theme="1"/>
        <rFont val="Arial"/>
      </rPr>
      <t>2</t>
    </r>
    <r>
      <rPr>
        <b/>
        <sz val="10"/>
        <color theme="1"/>
        <rFont val="Arial"/>
      </rPr>
      <t xml:space="preserve">O </t>
    </r>
    <r>
      <rPr>
        <b/>
        <vertAlign val="subscript"/>
        <sz val="10"/>
        <color theme="1"/>
        <rFont val="Arial"/>
      </rPr>
      <t xml:space="preserve"> </t>
    </r>
    <r>
      <rPr>
        <b/>
        <sz val="10"/>
        <color theme="1"/>
        <rFont val="Arial"/>
      </rPr>
      <t>Emission</t>
    </r>
  </si>
  <si>
    <t xml:space="preserve">  #6 Oil</t>
  </si>
  <si>
    <t>1600-14-40998</t>
  </si>
  <si>
    <t>#6 Oil</t>
  </si>
  <si>
    <t>1600-14-40999</t>
  </si>
  <si>
    <t>Unit 4</t>
  </si>
  <si>
    <t>Boiler 2  (Unit 4)</t>
  </si>
  <si>
    <t>P-No.6 Oil</t>
  </si>
  <si>
    <t xml:space="preserve"> gallons</t>
  </si>
  <si>
    <t># 6 Fuel Oil</t>
  </si>
  <si>
    <t>No.4 Oil</t>
  </si>
  <si>
    <t>023-0042</t>
  </si>
  <si>
    <t>Severstal (RG Steel)</t>
  </si>
  <si>
    <t>5-0491-15</t>
  </si>
  <si>
    <r>
      <rPr>
        <b/>
        <sz val="11"/>
        <color theme="1"/>
        <rFont val="Calibri"/>
      </rPr>
      <t>Pennwood Boilers</t>
    </r>
    <r>
      <rPr>
        <sz val="8"/>
        <color theme="1"/>
        <rFont val="Arial"/>
      </rPr>
      <t xml:space="preserve"> No. 1 -  No. 4</t>
    </r>
  </si>
  <si>
    <r>
      <rPr>
        <b/>
        <sz val="11"/>
        <color theme="1"/>
        <rFont val="Calibri"/>
      </rPr>
      <t># 6 Fuel Oil (MMTCO</t>
    </r>
    <r>
      <rPr>
        <b/>
        <vertAlign val="subscript"/>
        <sz val="10"/>
        <color theme="1"/>
        <rFont val="Arial"/>
      </rPr>
      <t>2</t>
    </r>
    <r>
      <rPr>
        <b/>
        <sz val="10"/>
        <color theme="1"/>
        <rFont val="Arial"/>
      </rPr>
      <t>E)</t>
    </r>
  </si>
  <si>
    <t>Total Petroleum (MMBTU)</t>
  </si>
  <si>
    <t xml:space="preserve"> NATURAL GAS COMBUSTION BY UNIT</t>
  </si>
  <si>
    <r>
      <rPr>
        <b/>
        <sz val="11"/>
        <color theme="1"/>
        <rFont val="Calibri"/>
      </rPr>
      <t>CO</t>
    </r>
    <r>
      <rPr>
        <b/>
        <vertAlign val="subscript"/>
        <sz val="10"/>
        <color theme="1"/>
        <rFont val="Arial"/>
      </rPr>
      <t>2</t>
    </r>
    <r>
      <rPr>
        <b/>
        <sz val="10"/>
        <color theme="1"/>
        <rFont val="Arial"/>
      </rPr>
      <t xml:space="preserve"> Emmission</t>
    </r>
  </si>
  <si>
    <r>
      <rPr>
        <b/>
        <sz val="11"/>
        <color theme="1"/>
        <rFont val="Calibri"/>
      </rPr>
      <t>CH</t>
    </r>
    <r>
      <rPr>
        <b/>
        <vertAlign val="subscript"/>
        <sz val="10"/>
        <color theme="1"/>
        <rFont val="Arial"/>
      </rPr>
      <t>4</t>
    </r>
    <r>
      <rPr>
        <b/>
        <sz val="10"/>
        <color theme="1"/>
        <rFont val="Arial"/>
      </rPr>
      <t xml:space="preserve">  Emission</t>
    </r>
  </si>
  <si>
    <r>
      <rPr>
        <b/>
        <sz val="11"/>
        <color theme="1"/>
        <rFont val="Calibri"/>
      </rPr>
      <t>N</t>
    </r>
    <r>
      <rPr>
        <b/>
        <vertAlign val="subscript"/>
        <sz val="10"/>
        <color theme="1"/>
        <rFont val="Arial"/>
      </rPr>
      <t>2</t>
    </r>
    <r>
      <rPr>
        <b/>
        <sz val="10"/>
        <color theme="1"/>
        <rFont val="Arial"/>
      </rPr>
      <t>O  Emission</t>
    </r>
  </si>
  <si>
    <t xml:space="preserve"> Natural Gas</t>
  </si>
  <si>
    <t>001-6-0136</t>
  </si>
  <si>
    <t>Limestone Dryer</t>
  </si>
  <si>
    <t>scf</t>
  </si>
  <si>
    <t>Btu/scf</t>
  </si>
  <si>
    <t>S-Gas</t>
  </si>
  <si>
    <t>MMBtu/1E+06 scf</t>
  </si>
  <si>
    <t>4-0307</t>
  </si>
  <si>
    <t>MMBTU/ 10E+06 scf</t>
  </si>
  <si>
    <t>4-1363</t>
  </si>
  <si>
    <t xml:space="preserve">Combustion Turbine # 6 </t>
  </si>
  <si>
    <t>MMBTU/10E+06 scf</t>
  </si>
  <si>
    <t>4-1082</t>
  </si>
  <si>
    <t xml:space="preserve"> Boiler #4</t>
  </si>
  <si>
    <t>510-0006</t>
  </si>
  <si>
    <t xml:space="preserve"> Westport</t>
  </si>
  <si>
    <t>5-0005</t>
  </si>
  <si>
    <t xml:space="preserve">Combustion Turbine Unit 5 </t>
  </si>
  <si>
    <t>MMBtu/ scf</t>
  </si>
  <si>
    <t>MMBtu/  scf</t>
  </si>
  <si>
    <t>(005-0076)</t>
  </si>
  <si>
    <t xml:space="preserve">CPSG- Notch Cliff </t>
  </si>
  <si>
    <t>MMBTU/ 1 E+06 scf</t>
  </si>
  <si>
    <t>5-0006</t>
  </si>
  <si>
    <t>5-0007</t>
  </si>
  <si>
    <t xml:space="preserve"> scf</t>
  </si>
  <si>
    <t>5-0008</t>
  </si>
  <si>
    <t>51,35</t>
  </si>
  <si>
    <t>5-0009</t>
  </si>
  <si>
    <t>Unit 5 CT</t>
  </si>
  <si>
    <t>5-0010</t>
  </si>
  <si>
    <t>Unit 6 CT</t>
  </si>
  <si>
    <t>5-0011</t>
  </si>
  <si>
    <t>Unit 7 CT</t>
  </si>
  <si>
    <t>5-0012</t>
  </si>
  <si>
    <t>Unit 8 CT</t>
  </si>
  <si>
    <t>015-0202</t>
  </si>
  <si>
    <t xml:space="preserve">Rock Spring </t>
  </si>
  <si>
    <t>5-0076</t>
  </si>
  <si>
    <t>Turbine 1</t>
  </si>
  <si>
    <t>5-0077</t>
  </si>
  <si>
    <t>Turbine 2</t>
  </si>
  <si>
    <t>5-0078</t>
  </si>
  <si>
    <t>Turbine 3</t>
  </si>
  <si>
    <t>5-0079</t>
  </si>
  <si>
    <t>Turbine 4</t>
  </si>
  <si>
    <t>6-0205</t>
  </si>
  <si>
    <t>NG Fuel Gas Heater</t>
  </si>
  <si>
    <t>510-0007</t>
  </si>
  <si>
    <t>CPSG- Gould Street</t>
  </si>
  <si>
    <t>4-0536</t>
  </si>
  <si>
    <t>Unit 3-Utility B</t>
  </si>
  <si>
    <r>
      <rPr>
        <b/>
        <sz val="11"/>
        <color theme="1"/>
        <rFont val="Calibri"/>
      </rPr>
      <t>Pennwood Boilers</t>
    </r>
    <r>
      <rPr>
        <sz val="8"/>
        <color theme="1"/>
        <rFont val="Arial"/>
      </rPr>
      <t xml:space="preserve"> No. 1 -  No. 4</t>
    </r>
  </si>
  <si>
    <t>MMBTU/ 1E+03 scf</t>
  </si>
  <si>
    <r>
      <rPr>
        <b/>
        <sz val="11"/>
        <color theme="1"/>
        <rFont val="Calibri"/>
      </rPr>
      <t>Pennwood Boilers</t>
    </r>
    <r>
      <rPr>
        <sz val="8"/>
        <color theme="1"/>
        <rFont val="Arial"/>
      </rPr>
      <t xml:space="preserve"> No. 1 -  No. 4</t>
    </r>
  </si>
  <si>
    <t>Blast furnace Gas</t>
  </si>
  <si>
    <r>
      <rPr>
        <b/>
        <sz val="11"/>
        <color theme="1"/>
        <rFont val="Calibri"/>
      </rPr>
      <t>Natural Gas (MMTCO</t>
    </r>
    <r>
      <rPr>
        <b/>
        <vertAlign val="subscript"/>
        <sz val="10"/>
        <color theme="1"/>
        <rFont val="Arial"/>
      </rPr>
      <t>2</t>
    </r>
    <r>
      <rPr>
        <b/>
        <sz val="10"/>
        <color theme="1"/>
        <rFont val="Arial"/>
      </rPr>
      <t>E)</t>
    </r>
  </si>
  <si>
    <r>
      <rPr>
        <b/>
        <sz val="11"/>
        <color rgb="FF0000FF"/>
        <rFont val="Calibri"/>
      </rPr>
      <t>CO</t>
    </r>
    <r>
      <rPr>
        <b/>
        <vertAlign val="subscript"/>
        <sz val="16"/>
        <color rgb="FF0000FF"/>
        <rFont val="Calibri"/>
      </rPr>
      <t>2</t>
    </r>
    <r>
      <rPr>
        <b/>
        <sz val="16"/>
        <color rgb="FF0000FF"/>
        <rFont val="Calibri"/>
      </rPr>
      <t xml:space="preserve"> EMISSION SUMMARY</t>
    </r>
  </si>
  <si>
    <t xml:space="preserve"> ALL UNITS</t>
  </si>
  <si>
    <r>
      <rPr>
        <b/>
        <sz val="11"/>
        <color theme="1"/>
        <rFont val="Calibri"/>
      </rPr>
      <t>CO</t>
    </r>
    <r>
      <rPr>
        <b/>
        <vertAlign val="subscript"/>
        <sz val="10"/>
        <color theme="1"/>
        <rFont val="Arial"/>
      </rPr>
      <t>2</t>
    </r>
    <r>
      <rPr>
        <b/>
        <sz val="10"/>
        <color theme="1"/>
        <rFont val="Arial"/>
      </rPr>
      <t xml:space="preserve"> Emission </t>
    </r>
  </si>
  <si>
    <r>
      <rPr>
        <b/>
        <sz val="11"/>
        <color theme="1"/>
        <rFont val="Calibri"/>
      </rPr>
      <t>CO</t>
    </r>
    <r>
      <rPr>
        <b/>
        <vertAlign val="subscript"/>
        <sz val="10"/>
        <color theme="1"/>
        <rFont val="Arial"/>
      </rPr>
      <t>2</t>
    </r>
    <r>
      <rPr>
        <b/>
        <sz val="10"/>
        <color theme="1"/>
        <rFont val="Arial"/>
      </rPr>
      <t xml:space="preserve"> Emission </t>
    </r>
  </si>
  <si>
    <r>
      <rPr>
        <b/>
        <sz val="11"/>
        <color theme="1"/>
        <rFont val="Calibri"/>
      </rPr>
      <t>CO</t>
    </r>
    <r>
      <rPr>
        <b/>
        <vertAlign val="subscript"/>
        <sz val="10"/>
        <color theme="1"/>
        <rFont val="Arial"/>
      </rPr>
      <t>2</t>
    </r>
    <r>
      <rPr>
        <b/>
        <sz val="10"/>
        <color theme="1"/>
        <rFont val="Arial"/>
      </rPr>
      <t xml:space="preserve"> Emission</t>
    </r>
  </si>
  <si>
    <r>
      <rPr>
        <b/>
        <sz val="11"/>
        <color theme="1"/>
        <rFont val="Calibri"/>
      </rPr>
      <t>CO</t>
    </r>
    <r>
      <rPr>
        <b/>
        <vertAlign val="subscript"/>
        <sz val="10"/>
        <color theme="1"/>
        <rFont val="Arial"/>
      </rPr>
      <t>2</t>
    </r>
    <r>
      <rPr>
        <b/>
        <sz val="10"/>
        <color theme="1"/>
        <rFont val="Arial"/>
      </rPr>
      <t xml:space="preserve"> Emission </t>
    </r>
  </si>
  <si>
    <r>
      <rPr>
        <b/>
        <sz val="11"/>
        <color theme="1"/>
        <rFont val="Calibri"/>
      </rPr>
      <t xml:space="preserve"> (MMTCO</t>
    </r>
    <r>
      <rPr>
        <b/>
        <vertAlign val="subscript"/>
        <sz val="10"/>
        <color theme="1"/>
        <rFont val="Arial"/>
      </rPr>
      <t>2</t>
    </r>
    <r>
      <rPr>
        <b/>
        <sz val="10"/>
        <color theme="1"/>
        <rFont val="Arial"/>
      </rPr>
      <t>)</t>
    </r>
  </si>
  <si>
    <t>(MMTC)</t>
  </si>
  <si>
    <r>
      <rPr>
        <b/>
        <sz val="11"/>
        <color rgb="FF0000FF"/>
        <rFont val="Calibri"/>
      </rPr>
      <t>CH</t>
    </r>
    <r>
      <rPr>
        <b/>
        <vertAlign val="subscript"/>
        <sz val="16"/>
        <color rgb="FF0000FF"/>
        <rFont val="Calibri"/>
      </rPr>
      <t>4</t>
    </r>
    <r>
      <rPr>
        <b/>
        <sz val="16"/>
        <color rgb="FF0000FF"/>
        <rFont val="Calibri"/>
      </rPr>
      <t xml:space="preserve"> EMISSION SUMMARY</t>
    </r>
  </si>
  <si>
    <r>
      <rPr>
        <sz val="11"/>
        <color rgb="FF000000"/>
        <rFont val="Calibri"/>
      </rPr>
      <t>Electric Power Sector CH</t>
    </r>
    <r>
      <rPr>
        <vertAlign val="subscript"/>
        <sz val="14"/>
        <color rgb="FF000000"/>
        <rFont val="Comic Sans MS"/>
      </rPr>
      <t>4</t>
    </r>
  </si>
  <si>
    <t>GWP</t>
  </si>
  <si>
    <t>(Billion Btu)</t>
  </si>
  <si>
    <r>
      <rPr>
        <b/>
        <sz val="11"/>
        <color theme="1"/>
        <rFont val="Calibri"/>
      </rPr>
      <t>(short tons CH</t>
    </r>
    <r>
      <rPr>
        <b/>
        <vertAlign val="subscript"/>
        <sz val="10"/>
        <color theme="1"/>
        <rFont val="Comic Sans MS"/>
      </rPr>
      <t>4</t>
    </r>
    <r>
      <rPr>
        <b/>
        <sz val="10"/>
        <color theme="1"/>
        <rFont val="Comic Sans MS"/>
      </rPr>
      <t>)</t>
    </r>
  </si>
  <si>
    <r>
      <rPr>
        <b/>
        <sz val="11"/>
        <color theme="1"/>
        <rFont val="Calibri"/>
      </rPr>
      <t>(metric tons CH</t>
    </r>
    <r>
      <rPr>
        <b/>
        <vertAlign val="subscript"/>
        <sz val="10"/>
        <color theme="1"/>
        <rFont val="Comic Sans MS"/>
      </rPr>
      <t>4</t>
    </r>
    <r>
      <rPr>
        <b/>
        <sz val="10"/>
        <color theme="1"/>
        <rFont val="Comic Sans MS"/>
      </rPr>
      <t>)</t>
    </r>
  </si>
  <si>
    <r>
      <rPr>
        <b/>
        <sz val="11"/>
        <color theme="1"/>
        <rFont val="Calibri"/>
      </rPr>
      <t>(MMTCO</t>
    </r>
    <r>
      <rPr>
        <b/>
        <vertAlign val="subscript"/>
        <sz val="10"/>
        <color theme="1"/>
        <rFont val="Comic Sans MS"/>
      </rPr>
      <t>2</t>
    </r>
    <r>
      <rPr>
        <b/>
        <sz val="10"/>
        <color theme="1"/>
        <rFont val="Comic Sans MS"/>
      </rPr>
      <t>E)</t>
    </r>
  </si>
  <si>
    <t>Distillate Fuel</t>
  </si>
  <si>
    <t>Residual Fuel</t>
  </si>
  <si>
    <r>
      <rPr>
        <b/>
        <sz val="11"/>
        <color rgb="FF0000FF"/>
        <rFont val="Calibri"/>
      </rPr>
      <t>N</t>
    </r>
    <r>
      <rPr>
        <b/>
        <vertAlign val="subscript"/>
        <sz val="16"/>
        <color rgb="FF0000FF"/>
        <rFont val="Calibri"/>
      </rPr>
      <t>2</t>
    </r>
    <r>
      <rPr>
        <b/>
        <sz val="16"/>
        <color rgb="FF0000FF"/>
        <rFont val="Calibri"/>
      </rPr>
      <t>O EMISSION SUMMARY</t>
    </r>
  </si>
  <si>
    <t>ALL UNITS</t>
  </si>
  <si>
    <r>
      <rPr>
        <sz val="11"/>
        <color theme="1"/>
        <rFont val="Calibri"/>
      </rPr>
      <t>Electric Power Sector N</t>
    </r>
    <r>
      <rPr>
        <vertAlign val="subscript"/>
        <sz val="14"/>
        <color theme="1"/>
        <rFont val="Comic Sans MS"/>
      </rPr>
      <t>2</t>
    </r>
    <r>
      <rPr>
        <sz val="14"/>
        <color theme="1"/>
        <rFont val="Comic Sans MS"/>
      </rPr>
      <t>O</t>
    </r>
  </si>
  <si>
    <r>
      <rPr>
        <b/>
        <sz val="11"/>
        <color theme="1"/>
        <rFont val="Calibri"/>
      </rPr>
      <t>(short tons N</t>
    </r>
    <r>
      <rPr>
        <b/>
        <vertAlign val="subscript"/>
        <sz val="10"/>
        <color theme="1"/>
        <rFont val="Comic Sans MS"/>
      </rPr>
      <t>2</t>
    </r>
    <r>
      <rPr>
        <b/>
        <sz val="10"/>
        <color theme="1"/>
        <rFont val="Comic Sans MS"/>
      </rPr>
      <t>O)</t>
    </r>
  </si>
  <si>
    <r>
      <rPr>
        <b/>
        <sz val="11"/>
        <color theme="1"/>
        <rFont val="Calibri"/>
      </rPr>
      <t>(metric tons N</t>
    </r>
    <r>
      <rPr>
        <b/>
        <vertAlign val="subscript"/>
        <sz val="10"/>
        <color theme="1"/>
        <rFont val="Comic Sans MS"/>
      </rPr>
      <t>2</t>
    </r>
    <r>
      <rPr>
        <b/>
        <sz val="10"/>
        <color theme="1"/>
        <rFont val="Comic Sans MS"/>
      </rPr>
      <t>O)</t>
    </r>
  </si>
  <si>
    <r>
      <rPr>
        <b/>
        <sz val="11"/>
        <color theme="1"/>
        <rFont val="Calibri"/>
      </rPr>
      <t>(MMTCO</t>
    </r>
    <r>
      <rPr>
        <b/>
        <vertAlign val="subscript"/>
        <sz val="10"/>
        <color theme="1"/>
        <rFont val="Comic Sans MS"/>
      </rPr>
      <t>2</t>
    </r>
    <r>
      <rPr>
        <b/>
        <sz val="10"/>
        <color theme="1"/>
        <rFont val="Comic Sans MS"/>
      </rPr>
      <t>E)</t>
    </r>
  </si>
  <si>
    <t>GHG EMISSION SUMMARY</t>
  </si>
  <si>
    <t>Electric Power Sector GHG</t>
  </si>
  <si>
    <r>
      <rPr>
        <b/>
        <sz val="11"/>
        <color theme="1"/>
        <rFont val="Calibri"/>
      </rPr>
      <t>CO</t>
    </r>
    <r>
      <rPr>
        <b/>
        <vertAlign val="subscript"/>
        <sz val="10"/>
        <color theme="1"/>
        <rFont val="Comic Sans MS"/>
      </rPr>
      <t>2</t>
    </r>
  </si>
  <si>
    <r>
      <rPr>
        <b/>
        <sz val="11"/>
        <color theme="1"/>
        <rFont val="Calibri"/>
      </rPr>
      <t>N</t>
    </r>
    <r>
      <rPr>
        <b/>
        <vertAlign val="subscript"/>
        <sz val="10"/>
        <color theme="1"/>
        <rFont val="Comic Sans MS"/>
      </rPr>
      <t>2</t>
    </r>
    <r>
      <rPr>
        <b/>
        <sz val="10"/>
        <color theme="1"/>
        <rFont val="Comic Sans MS"/>
      </rPr>
      <t>O</t>
    </r>
  </si>
  <si>
    <r>
      <rPr>
        <b/>
        <sz val="11"/>
        <color theme="1"/>
        <rFont val="Calibri"/>
      </rPr>
      <t>CH</t>
    </r>
    <r>
      <rPr>
        <b/>
        <vertAlign val="subscript"/>
        <sz val="10"/>
        <color theme="1"/>
        <rFont val="Comic Sans MS"/>
      </rPr>
      <t>4</t>
    </r>
  </si>
  <si>
    <r>
      <rPr>
        <b/>
        <sz val="11"/>
        <color theme="1"/>
        <rFont val="Calibri"/>
      </rPr>
      <t>(MMTCO</t>
    </r>
    <r>
      <rPr>
        <b/>
        <vertAlign val="subscript"/>
        <sz val="10"/>
        <color theme="1"/>
        <rFont val="Comic Sans MS"/>
      </rPr>
      <t>2</t>
    </r>
    <r>
      <rPr>
        <b/>
        <sz val="10"/>
        <color theme="1"/>
        <rFont val="Comic Sans MS"/>
      </rPr>
      <t>E)</t>
    </r>
  </si>
  <si>
    <r>
      <rPr>
        <b/>
        <sz val="11"/>
        <color theme="1"/>
        <rFont val="Calibri"/>
      </rPr>
      <t>(MMTCO</t>
    </r>
    <r>
      <rPr>
        <b/>
        <vertAlign val="subscript"/>
        <sz val="10"/>
        <color theme="1"/>
        <rFont val="Comic Sans MS"/>
      </rPr>
      <t>2</t>
    </r>
    <r>
      <rPr>
        <b/>
        <sz val="10"/>
        <color theme="1"/>
        <rFont val="Comic Sans MS"/>
      </rPr>
      <t>E)</t>
    </r>
  </si>
  <si>
    <r>
      <rPr>
        <b/>
        <sz val="11"/>
        <color theme="1"/>
        <rFont val="Calibri"/>
      </rPr>
      <t>(MMTCO</t>
    </r>
    <r>
      <rPr>
        <b/>
        <vertAlign val="subscript"/>
        <sz val="10"/>
        <color theme="1"/>
        <rFont val="Comic Sans MS"/>
      </rPr>
      <t>2</t>
    </r>
    <r>
      <rPr>
        <b/>
        <sz val="10"/>
        <color theme="1"/>
        <rFont val="Comic Sans MS"/>
      </rPr>
      <t>E)</t>
    </r>
  </si>
  <si>
    <r>
      <rPr>
        <b/>
        <sz val="11"/>
        <color theme="1"/>
        <rFont val="Calibri"/>
      </rPr>
      <t>(MMTCO</t>
    </r>
    <r>
      <rPr>
        <b/>
        <vertAlign val="subscript"/>
        <sz val="10"/>
        <color theme="1"/>
        <rFont val="Comic Sans MS"/>
      </rPr>
      <t>2</t>
    </r>
    <r>
      <rPr>
        <b/>
        <sz val="10"/>
        <color theme="1"/>
        <rFont val="Comic Sans MS"/>
      </rPr>
      <t>E)</t>
    </r>
  </si>
  <si>
    <t xml:space="preserve">Heat </t>
  </si>
  <si>
    <t xml:space="preserve">Heat Content </t>
  </si>
  <si>
    <t>Heat Input</t>
  </si>
  <si>
    <r>
      <rPr>
        <b/>
        <sz val="11"/>
        <color theme="1"/>
        <rFont val="Calibri"/>
      </rPr>
      <t>CO</t>
    </r>
    <r>
      <rPr>
        <b/>
        <vertAlign val="subscript"/>
        <sz val="10"/>
        <color theme="1"/>
        <rFont val="Arial"/>
      </rPr>
      <t xml:space="preserve">2 </t>
    </r>
    <r>
      <rPr>
        <b/>
        <sz val="10"/>
        <color theme="1"/>
        <rFont val="Arial"/>
      </rPr>
      <t>Emmission</t>
    </r>
  </si>
  <si>
    <r>
      <rPr>
        <b/>
        <sz val="11"/>
        <color theme="1"/>
        <rFont val="Calibri"/>
      </rPr>
      <t>CH</t>
    </r>
    <r>
      <rPr>
        <b/>
        <vertAlign val="subscript"/>
        <sz val="10"/>
        <color theme="1"/>
        <rFont val="Arial"/>
      </rPr>
      <t>4</t>
    </r>
    <r>
      <rPr>
        <b/>
        <sz val="10"/>
        <color theme="1"/>
        <rFont val="Arial"/>
      </rPr>
      <t xml:space="preserve"> </t>
    </r>
    <r>
      <rPr>
        <b/>
        <vertAlign val="subscript"/>
        <sz val="10"/>
        <color theme="1"/>
        <rFont val="Arial"/>
      </rPr>
      <t xml:space="preserve"> </t>
    </r>
    <r>
      <rPr>
        <b/>
        <sz val="10"/>
        <color theme="1"/>
        <rFont val="Arial"/>
      </rPr>
      <t>Emission</t>
    </r>
  </si>
  <si>
    <r>
      <rPr>
        <b/>
        <sz val="11"/>
        <color theme="1"/>
        <rFont val="Calibri"/>
      </rPr>
      <t>N</t>
    </r>
    <r>
      <rPr>
        <b/>
        <vertAlign val="subscript"/>
        <sz val="10"/>
        <color theme="1"/>
        <rFont val="Arial"/>
      </rPr>
      <t>2</t>
    </r>
    <r>
      <rPr>
        <b/>
        <sz val="10"/>
        <color theme="1"/>
        <rFont val="Arial"/>
      </rPr>
      <t xml:space="preserve">O </t>
    </r>
    <r>
      <rPr>
        <b/>
        <vertAlign val="subscript"/>
        <sz val="10"/>
        <color theme="1"/>
        <rFont val="Arial"/>
      </rPr>
      <t xml:space="preserve"> </t>
    </r>
    <r>
      <rPr>
        <b/>
        <sz val="10"/>
        <color theme="1"/>
        <rFont val="Arial"/>
      </rPr>
      <t>Emission</t>
    </r>
  </si>
  <si>
    <t>Units</t>
  </si>
  <si>
    <t>Content</t>
  </si>
  <si>
    <t>Unit</t>
  </si>
  <si>
    <t>3-4-0081</t>
  </si>
  <si>
    <t>Temp Boiler</t>
  </si>
  <si>
    <t>10E3 gallons</t>
  </si>
  <si>
    <t>`</t>
  </si>
  <si>
    <t>10E+06scf</t>
  </si>
  <si>
    <t>10E+06 scf</t>
  </si>
  <si>
    <t>10E+03 gallons</t>
  </si>
  <si>
    <t>10E03 gallons</t>
  </si>
  <si>
    <t>Aux Boiler</t>
  </si>
  <si>
    <t>Combustion Turbine CT1</t>
  </si>
  <si>
    <t>Westport</t>
  </si>
  <si>
    <t>Combustion Turbine Unit 5</t>
  </si>
  <si>
    <t>MMBTU/10E+06 Scf</t>
  </si>
  <si>
    <t>CT1</t>
  </si>
  <si>
    <t>MMBTU/1E+06 scf</t>
  </si>
  <si>
    <t>#3 Oil</t>
  </si>
  <si>
    <t>CT3</t>
  </si>
  <si>
    <t>CT4</t>
  </si>
  <si>
    <t>CT5</t>
  </si>
  <si>
    <t>CT6</t>
  </si>
  <si>
    <t>MMBTU/scf</t>
  </si>
  <si>
    <t>005-0076</t>
  </si>
  <si>
    <t>CPSG- Notch Cliff</t>
  </si>
  <si>
    <t>MMBTU/1E+03 gallons</t>
  </si>
  <si>
    <t>Rock Spring</t>
  </si>
  <si>
    <t>Easton Utility -Airport Park</t>
  </si>
  <si>
    <t>20-4-0102</t>
  </si>
  <si>
    <t>Connectiv -Crisfield Generation</t>
  </si>
  <si>
    <t xml:space="preserve">Unit 1 </t>
  </si>
  <si>
    <t>11 Aux Boiler</t>
  </si>
  <si>
    <t>1B Emergenvy Generator</t>
  </si>
  <si>
    <t>2A Emergency Generator</t>
  </si>
  <si>
    <t>2B Emergency Generator</t>
  </si>
  <si>
    <t>9-0015 7 9-0016</t>
  </si>
  <si>
    <t>1A Emergency Generator</t>
  </si>
  <si>
    <t>OC Emergency Generator</t>
  </si>
  <si>
    <t>Security Diesel generator</t>
  </si>
  <si>
    <t>003-00529</t>
  </si>
  <si>
    <t>CPSG -Fort Smallwood Complex</t>
  </si>
  <si>
    <t>Propane</t>
  </si>
  <si>
    <t>CPSG - gould Street</t>
  </si>
  <si>
    <t>Unit 3 Utility B</t>
  </si>
  <si>
    <t>Electric Consumption (Imported Electricity) Emissions for Maryland</t>
  </si>
  <si>
    <t>Fuel Consumption For Electricity Generation</t>
  </si>
  <si>
    <t>Coal (Short Tons)</t>
  </si>
  <si>
    <t>Petroleum (Barrels)</t>
  </si>
  <si>
    <t>Natural Gas (Mcf)</t>
  </si>
  <si>
    <t>Other Gases (MMBTU)</t>
  </si>
  <si>
    <t xml:space="preserve"> MD In-State Gross Generation (MWh)</t>
  </si>
  <si>
    <t>Other Gases</t>
  </si>
  <si>
    <t>Nuclear</t>
  </si>
  <si>
    <t>Hydroelectric Conventional</t>
  </si>
  <si>
    <t>Wind</t>
  </si>
  <si>
    <t>Solar Thermal and Photovoltaic</t>
  </si>
  <si>
    <t>Wood and Wood Derived Fuels</t>
  </si>
  <si>
    <t>Other Biomass</t>
  </si>
  <si>
    <t>Other</t>
  </si>
  <si>
    <t>MD -Electricity Losses (MWh) (Transmission and Distribution) Assume 6.25 %</t>
  </si>
  <si>
    <t>T &amp;D Losses</t>
  </si>
  <si>
    <t xml:space="preserve"> Net MD In-State Electricity Generation (MWh) = MD In-State Electricity Generated - T &amp;D Losses</t>
  </si>
  <si>
    <t>Net In -State Generated Electricity</t>
  </si>
  <si>
    <t>Electricity Consumption (MWh) (MD Retail Sales)</t>
  </si>
  <si>
    <t>Residential</t>
  </si>
  <si>
    <t>Commercial</t>
  </si>
  <si>
    <t>Industrial</t>
  </si>
  <si>
    <t>Transportation</t>
  </si>
  <si>
    <t>Others</t>
  </si>
  <si>
    <t>Total Electric Consumption (Mwh) Net</t>
  </si>
  <si>
    <t>Total Electric Consumption (Mwh) Gross</t>
  </si>
  <si>
    <t>Electricity Imported (MWh) = MD Gross Retail Sales - Gross In-state Generation</t>
  </si>
  <si>
    <t>Imported Electricity to Meet MD Demand (MWh)</t>
  </si>
  <si>
    <t>GHG Associated with Imported Electricity</t>
  </si>
  <si>
    <r>
      <rPr>
        <sz val="11"/>
        <color theme="1"/>
        <rFont val="Calibri"/>
      </rPr>
      <t>CO</t>
    </r>
    <r>
      <rPr>
        <vertAlign val="subscript"/>
        <sz val="10"/>
        <color theme="1"/>
        <rFont val="MS Sans Serif"/>
      </rPr>
      <t>2</t>
    </r>
    <r>
      <rPr>
        <sz val="8"/>
        <color theme="1"/>
        <rFont val="Arial"/>
      </rPr>
      <t xml:space="preserve"> Emission</t>
    </r>
  </si>
  <si>
    <r>
      <rPr>
        <b/>
        <sz val="11"/>
        <color theme="1"/>
        <rFont val="Calibri"/>
      </rPr>
      <t>PJM</t>
    </r>
    <r>
      <rPr>
        <sz val="8"/>
        <color theme="1"/>
        <rFont val="Arial"/>
      </rPr>
      <t xml:space="preserve"> Average CO</t>
    </r>
    <r>
      <rPr>
        <vertAlign val="subscript"/>
        <sz val="10"/>
        <color theme="1"/>
        <rFont val="MS Sans Serif"/>
      </rPr>
      <t>2</t>
    </r>
    <r>
      <rPr>
        <sz val="8"/>
        <color theme="1"/>
        <rFont val="Arial"/>
      </rPr>
      <t xml:space="preserve"> Emission Rate (lbs/MWh)</t>
    </r>
  </si>
  <si>
    <r>
      <rPr>
        <sz val="11"/>
        <color theme="1"/>
        <rFont val="Calibri"/>
      </rPr>
      <t>(CO</t>
    </r>
    <r>
      <rPr>
        <vertAlign val="subscript"/>
        <sz val="10"/>
        <color theme="1"/>
        <rFont val="MS Sans Serif"/>
      </rPr>
      <t>2</t>
    </r>
    <r>
      <rPr>
        <sz val="8"/>
        <color theme="1"/>
        <rFont val="Arial"/>
      </rPr>
      <t xml:space="preserve"> Emission Rate of Marginal Units)</t>
    </r>
  </si>
  <si>
    <t>Hydroelectric</t>
  </si>
  <si>
    <t>Solid Waste</t>
  </si>
  <si>
    <r>
      <rPr>
        <b/>
        <sz val="11"/>
        <color theme="1"/>
        <rFont val="Calibri"/>
      </rPr>
      <t>Captured CH</t>
    </r>
    <r>
      <rPr>
        <b/>
        <vertAlign val="subscript"/>
        <sz val="8"/>
        <color theme="1"/>
        <rFont val="MS Sans Serif"/>
      </rPr>
      <t>4</t>
    </r>
  </si>
  <si>
    <t>Solar</t>
  </si>
  <si>
    <t>Wood</t>
  </si>
  <si>
    <t>Actual Total 2011</t>
  </si>
  <si>
    <t>PJM Electricity Generation Fuel Mix 2011(%)</t>
  </si>
  <si>
    <t>Maryland 2011  Import Share (MWh)</t>
  </si>
  <si>
    <r>
      <rPr>
        <sz val="11"/>
        <color theme="1"/>
        <rFont val="Calibri"/>
      </rPr>
      <t>Imported Electric CO</t>
    </r>
    <r>
      <rPr>
        <vertAlign val="subscript"/>
        <sz val="10"/>
        <color theme="1"/>
        <rFont val="MS Sans Serif"/>
      </rPr>
      <t>2</t>
    </r>
    <r>
      <rPr>
        <sz val="8"/>
        <color theme="1"/>
        <rFont val="Arial"/>
      </rPr>
      <t xml:space="preserve"> Emissions Factors (tons/MWh)</t>
    </r>
  </si>
  <si>
    <r>
      <rPr>
        <sz val="11"/>
        <color theme="1"/>
        <rFont val="Calibri"/>
      </rPr>
      <t>Imported Electric CO</t>
    </r>
    <r>
      <rPr>
        <vertAlign val="subscript"/>
        <sz val="10"/>
        <color theme="1"/>
        <rFont val="MS Sans Serif"/>
      </rPr>
      <t>2</t>
    </r>
    <r>
      <rPr>
        <sz val="8"/>
        <color theme="1"/>
        <rFont val="Arial"/>
      </rPr>
      <t xml:space="preserve"> Emissions (metric tons)</t>
    </r>
  </si>
  <si>
    <r>
      <rPr>
        <sz val="11"/>
        <color theme="1"/>
        <rFont val="Calibri"/>
      </rPr>
      <t>Imported Electric CO</t>
    </r>
    <r>
      <rPr>
        <vertAlign val="subscript"/>
        <sz val="10"/>
        <color theme="1"/>
        <rFont val="MS Sans Serif"/>
      </rPr>
      <t>2</t>
    </r>
    <r>
      <rPr>
        <sz val="8"/>
        <color theme="1"/>
        <rFont val="Arial"/>
      </rPr>
      <t xml:space="preserve"> Emissions (MMTCO</t>
    </r>
    <r>
      <rPr>
        <vertAlign val="subscript"/>
        <sz val="10"/>
        <color theme="1"/>
        <rFont val="MS Sans Serif"/>
      </rPr>
      <t>2</t>
    </r>
    <r>
      <rPr>
        <sz val="8"/>
        <color theme="1"/>
        <rFont val="Arial"/>
      </rPr>
      <t>)</t>
    </r>
  </si>
  <si>
    <r>
      <rPr>
        <b/>
        <sz val="11"/>
        <color theme="1"/>
        <rFont val="Calibri"/>
      </rPr>
      <t xml:space="preserve"> Imported Electricity Emissions  (MMTCO</t>
    </r>
    <r>
      <rPr>
        <b/>
        <vertAlign val="subscript"/>
        <sz val="10"/>
        <color theme="1"/>
        <rFont val="MS Sans Serif"/>
      </rPr>
      <t>2</t>
    </r>
    <r>
      <rPr>
        <b/>
        <sz val="10"/>
        <color theme="1"/>
        <rFont val="MS Sans Serif"/>
      </rPr>
      <t>E)</t>
    </r>
  </si>
  <si>
    <t>Transportation Consumption and GHG Emissions</t>
  </si>
  <si>
    <t>Activity Data (Consumption)</t>
  </si>
  <si>
    <t xml:space="preserve"> State Energy Data  2011</t>
  </si>
  <si>
    <t>(Thousand Barrels)</t>
  </si>
  <si>
    <t>(Gallons)</t>
  </si>
  <si>
    <t xml:space="preserve">Aviation Gasoline </t>
  </si>
  <si>
    <t xml:space="preserve">Distillate Fuel  Oil </t>
  </si>
  <si>
    <t xml:space="preserve">Jet Fuel Naphtha </t>
  </si>
  <si>
    <t xml:space="preserve">Jet Fuel Kerosene Type </t>
  </si>
  <si>
    <t>Liquidfied Petroleum Gases</t>
  </si>
  <si>
    <t xml:space="preserve">Lubricant </t>
  </si>
  <si>
    <t>Motor Gasoline</t>
  </si>
  <si>
    <t>Ethanol</t>
  </si>
  <si>
    <t>Natural Gases -  (Million Cubic Feet)</t>
  </si>
  <si>
    <t>Residual Fuel Oil</t>
  </si>
  <si>
    <t xml:space="preserve">                                                     Gasoline Fuel Usage</t>
  </si>
  <si>
    <t>Source</t>
  </si>
  <si>
    <t>Subsource</t>
  </si>
  <si>
    <t>Vehicle / Fuel Type</t>
  </si>
  <si>
    <t>Amount
(gal)</t>
  </si>
  <si>
    <t>Percentage</t>
  </si>
  <si>
    <t>Percentage of NR Gasoline</t>
  </si>
  <si>
    <t>FHWA Data MF-24</t>
  </si>
  <si>
    <t>Farm Equipment</t>
  </si>
  <si>
    <t>Gasoline Tractor</t>
  </si>
  <si>
    <t>Construction</t>
  </si>
  <si>
    <t>Gasoline Construction</t>
  </si>
  <si>
    <t>Non-Highway Industrial</t>
  </si>
  <si>
    <t>Gasoline HD Utility</t>
  </si>
  <si>
    <t>EPA NonRoad Model Output</t>
  </si>
  <si>
    <t>Gasoline Small Utility</t>
  </si>
  <si>
    <t>Boat (Marine Gasoline)</t>
  </si>
  <si>
    <t>Gasoline</t>
  </si>
  <si>
    <t>MD Comptroller</t>
  </si>
  <si>
    <t>Motor Gasoline (Total Sold)</t>
  </si>
  <si>
    <t>MOVES Output</t>
  </si>
  <si>
    <t>Motor Gasoline (On-Road Mobile)</t>
  </si>
  <si>
    <t>Motor Gasoline (Non-Road Mobile)</t>
  </si>
  <si>
    <t xml:space="preserve">                                           Diesel Fuel Usage</t>
  </si>
  <si>
    <t>Percentage of NR Diesel</t>
  </si>
  <si>
    <t>EIA Adjusted Distillate Fuel Oil and Kerosene Sales By End-Use</t>
  </si>
  <si>
    <t>Diesel Tractor</t>
  </si>
  <si>
    <t>Diesel Construction</t>
  </si>
  <si>
    <t>Diesel HD Utility</t>
  </si>
  <si>
    <t>MDE Survey</t>
  </si>
  <si>
    <t>Locomotive</t>
  </si>
  <si>
    <t>Diesel Fuel</t>
  </si>
  <si>
    <t>Boat (Marine)</t>
  </si>
  <si>
    <t>Distillate Fuel Oil**</t>
  </si>
  <si>
    <t>EIA State Energy Data</t>
  </si>
  <si>
    <t>Distillate Fuel  Oil (Total Sold)</t>
  </si>
  <si>
    <t>Motor Diesel (On-Road)</t>
  </si>
  <si>
    <t>Calculated</t>
  </si>
  <si>
    <t>Motor Diesel (Non-Road)</t>
  </si>
  <si>
    <t>Diesel (gallons)</t>
  </si>
  <si>
    <t>Residual Fuel Oil**</t>
  </si>
  <si>
    <t>Residual Fuel (gallons)</t>
  </si>
  <si>
    <t>CONSTANTS</t>
  </si>
  <si>
    <t>Btu/Gallon</t>
  </si>
  <si>
    <r>
      <rPr>
        <sz val="11"/>
        <color theme="1"/>
        <rFont val="Calibri"/>
      </rPr>
      <t>Emissions Data (MMTCO</t>
    </r>
    <r>
      <rPr>
        <vertAlign val="subscript"/>
        <sz val="14"/>
        <color theme="1"/>
        <rFont val="Comic Sans MS"/>
      </rPr>
      <t>2</t>
    </r>
    <r>
      <rPr>
        <sz val="14"/>
        <color theme="1"/>
        <rFont val="Comic Sans MS"/>
      </rPr>
      <t>e)</t>
    </r>
  </si>
  <si>
    <t>Transportation Sector Emissions: Non-Road Mobile Sources  2011</t>
  </si>
  <si>
    <r>
      <rPr>
        <b/>
        <sz val="11"/>
        <color rgb="FF000000"/>
        <rFont val="Calibri"/>
      </rPr>
      <t>CO</t>
    </r>
    <r>
      <rPr>
        <b/>
        <vertAlign val="subscript"/>
        <sz val="8"/>
        <color rgb="FF000000"/>
        <rFont val="Arial"/>
      </rPr>
      <t>2</t>
    </r>
    <r>
      <rPr>
        <b/>
        <sz val="8"/>
        <color rgb="FF000000"/>
        <rFont val="Arial"/>
      </rPr>
      <t xml:space="preserve"> Emissions</t>
    </r>
  </si>
  <si>
    <r>
      <rPr>
        <b/>
        <sz val="11"/>
        <color rgb="FF000000"/>
        <rFont val="Calibri"/>
      </rPr>
      <t>N</t>
    </r>
    <r>
      <rPr>
        <b/>
        <vertAlign val="subscript"/>
        <sz val="8"/>
        <color rgb="FF000000"/>
        <rFont val="Arial"/>
      </rPr>
      <t>2</t>
    </r>
    <r>
      <rPr>
        <b/>
        <sz val="8"/>
        <color rgb="FF000000"/>
        <rFont val="Arial"/>
      </rPr>
      <t>O Emissions</t>
    </r>
  </si>
  <si>
    <r>
      <rPr>
        <b/>
        <sz val="11"/>
        <color rgb="FF000000"/>
        <rFont val="Calibri"/>
      </rPr>
      <t>CH</t>
    </r>
    <r>
      <rPr>
        <b/>
        <vertAlign val="subscript"/>
        <sz val="8"/>
        <color rgb="FF000000"/>
        <rFont val="Arial"/>
      </rPr>
      <t>4</t>
    </r>
    <r>
      <rPr>
        <b/>
        <sz val="8"/>
        <color rgb="FF000000"/>
        <rFont val="Arial"/>
      </rPr>
      <t xml:space="preserve"> Emissions</t>
    </r>
  </si>
  <si>
    <r>
      <rPr>
        <b/>
        <sz val="11"/>
        <color theme="1"/>
        <rFont val="Calibri"/>
      </rPr>
      <t>CH</t>
    </r>
    <r>
      <rPr>
        <b/>
        <vertAlign val="subscript"/>
        <sz val="8"/>
        <color theme="1"/>
        <rFont val="Arial"/>
      </rPr>
      <t>4</t>
    </r>
    <r>
      <rPr>
        <b/>
        <sz val="8"/>
        <color theme="1"/>
        <rFont val="Arial"/>
      </rPr>
      <t xml:space="preserve"> &amp;</t>
    </r>
  </si>
  <si>
    <t>Emission Factor</t>
  </si>
  <si>
    <t>Combustion</t>
  </si>
  <si>
    <r>
      <rPr>
        <b/>
        <sz val="11"/>
        <color theme="1"/>
        <rFont val="Calibri"/>
      </rPr>
      <t>N</t>
    </r>
    <r>
      <rPr>
        <b/>
        <vertAlign val="subscript"/>
        <sz val="8"/>
        <color theme="1"/>
        <rFont val="Arial"/>
      </rPr>
      <t>2</t>
    </r>
    <r>
      <rPr>
        <b/>
        <sz val="8"/>
        <color theme="1"/>
        <rFont val="Arial"/>
      </rPr>
      <t>O</t>
    </r>
  </si>
  <si>
    <t>(gallon)</t>
  </si>
  <si>
    <t>(lbs C/Million Btu)</t>
  </si>
  <si>
    <t>Efficiency (%)</t>
  </si>
  <si>
    <t>(short tons carbon)</t>
  </si>
  <si>
    <t>(MMTCE)</t>
  </si>
  <si>
    <r>
      <rPr>
        <b/>
        <sz val="11"/>
        <color theme="1"/>
        <rFont val="Calibri"/>
      </rPr>
      <t>(MMTCO</t>
    </r>
    <r>
      <rPr>
        <b/>
        <vertAlign val="subscript"/>
        <sz val="10"/>
        <color theme="1"/>
        <rFont val="Calibri"/>
      </rPr>
      <t>2</t>
    </r>
    <r>
      <rPr>
        <b/>
        <sz val="10"/>
        <color theme="1"/>
        <rFont val="Calibri"/>
      </rPr>
      <t>E)</t>
    </r>
  </si>
  <si>
    <t>Energy Content
(kg/Mbtu)</t>
  </si>
  <si>
    <t>Density
(kg/gallon)</t>
  </si>
  <si>
    <r>
      <rPr>
        <b/>
        <sz val="11"/>
        <color theme="1"/>
        <rFont val="Calibri"/>
      </rPr>
      <t>N</t>
    </r>
    <r>
      <rPr>
        <b/>
        <vertAlign val="subscript"/>
        <sz val="8"/>
        <color theme="1"/>
        <rFont val="Arial"/>
      </rPr>
      <t>2</t>
    </r>
    <r>
      <rPr>
        <b/>
        <sz val="8"/>
        <color theme="1"/>
        <rFont val="Arial"/>
      </rPr>
      <t>O EF
(g/kg fuel)</t>
    </r>
  </si>
  <si>
    <r>
      <rPr>
        <b/>
        <sz val="11"/>
        <color theme="1"/>
        <rFont val="Calibri"/>
      </rPr>
      <t>N</t>
    </r>
    <r>
      <rPr>
        <b/>
        <vertAlign val="subscript"/>
        <sz val="8"/>
        <color theme="1"/>
        <rFont val="Arial"/>
      </rPr>
      <t>2</t>
    </r>
    <r>
      <rPr>
        <b/>
        <sz val="8"/>
        <color theme="1"/>
        <rFont val="Arial"/>
      </rPr>
      <t>O EM
(Gigagrams)</t>
    </r>
  </si>
  <si>
    <r>
      <rPr>
        <b/>
        <sz val="11"/>
        <color theme="1"/>
        <rFont val="Calibri"/>
      </rPr>
      <t>N</t>
    </r>
    <r>
      <rPr>
        <b/>
        <vertAlign val="subscript"/>
        <sz val="8"/>
        <color theme="1"/>
        <rFont val="Arial"/>
      </rPr>
      <t>2</t>
    </r>
    <r>
      <rPr>
        <b/>
        <sz val="8"/>
        <color theme="1"/>
        <rFont val="Arial"/>
      </rPr>
      <t>O
(MTCE)</t>
    </r>
  </si>
  <si>
    <r>
      <rPr>
        <b/>
        <sz val="11"/>
        <color theme="1"/>
        <rFont val="Calibri"/>
      </rPr>
      <t>N</t>
    </r>
    <r>
      <rPr>
        <b/>
        <vertAlign val="subscript"/>
        <sz val="8"/>
        <color theme="1"/>
        <rFont val="Arial"/>
      </rPr>
      <t>2</t>
    </r>
    <r>
      <rPr>
        <b/>
        <sz val="8"/>
        <color theme="1"/>
        <rFont val="Arial"/>
      </rPr>
      <t>O
(MTCO</t>
    </r>
    <r>
      <rPr>
        <b/>
        <vertAlign val="subscript"/>
        <sz val="8"/>
        <color theme="1"/>
        <rFont val="Arial"/>
      </rPr>
      <t>2</t>
    </r>
    <r>
      <rPr>
        <b/>
        <sz val="8"/>
        <color theme="1"/>
        <rFont val="Arial"/>
      </rPr>
      <t>E)</t>
    </r>
  </si>
  <si>
    <r>
      <rPr>
        <b/>
        <sz val="11"/>
        <color theme="1"/>
        <rFont val="Calibri"/>
      </rPr>
      <t>CH</t>
    </r>
    <r>
      <rPr>
        <b/>
        <vertAlign val="subscript"/>
        <sz val="8"/>
        <color theme="1"/>
        <rFont val="Arial"/>
      </rPr>
      <t>4</t>
    </r>
    <r>
      <rPr>
        <b/>
        <sz val="8"/>
        <color theme="1"/>
        <rFont val="Arial"/>
      </rPr>
      <t xml:space="preserve"> EF
(g/kg fuel)</t>
    </r>
  </si>
  <si>
    <r>
      <rPr>
        <b/>
        <sz val="11"/>
        <color theme="1"/>
        <rFont val="Calibri"/>
      </rPr>
      <t>CH</t>
    </r>
    <r>
      <rPr>
        <b/>
        <vertAlign val="subscript"/>
        <sz val="8"/>
        <color theme="1"/>
        <rFont val="Arial"/>
      </rPr>
      <t>4</t>
    </r>
    <r>
      <rPr>
        <b/>
        <sz val="8"/>
        <color theme="1"/>
        <rFont val="Arial"/>
      </rPr>
      <t xml:space="preserve"> EM
(Gigagrams)</t>
    </r>
  </si>
  <si>
    <r>
      <rPr>
        <b/>
        <sz val="11"/>
        <color theme="1"/>
        <rFont val="Calibri"/>
      </rPr>
      <t>CH</t>
    </r>
    <r>
      <rPr>
        <b/>
        <vertAlign val="subscript"/>
        <sz val="8"/>
        <color theme="1"/>
        <rFont val="Arial"/>
      </rPr>
      <t xml:space="preserve">4
</t>
    </r>
    <r>
      <rPr>
        <b/>
        <sz val="8"/>
        <color theme="1"/>
        <rFont val="Arial"/>
      </rPr>
      <t>MTCE</t>
    </r>
  </si>
  <si>
    <r>
      <rPr>
        <b/>
        <sz val="11"/>
        <color theme="1"/>
        <rFont val="Calibri"/>
      </rPr>
      <t>CH</t>
    </r>
    <r>
      <rPr>
        <b/>
        <vertAlign val="subscript"/>
        <sz val="8"/>
        <color theme="1"/>
        <rFont val="Arial"/>
      </rPr>
      <t xml:space="preserve">4
</t>
    </r>
    <r>
      <rPr>
        <b/>
        <sz val="8"/>
        <color theme="1"/>
        <rFont val="Arial"/>
      </rPr>
      <t>MTCO</t>
    </r>
    <r>
      <rPr>
        <b/>
        <vertAlign val="subscript"/>
        <sz val="8"/>
        <color theme="1"/>
        <rFont val="Arial"/>
      </rPr>
      <t>2</t>
    </r>
    <r>
      <rPr>
        <b/>
        <sz val="8"/>
        <color theme="1"/>
        <rFont val="Arial"/>
      </rPr>
      <t>E</t>
    </r>
  </si>
  <si>
    <r>
      <rPr>
        <b/>
        <sz val="11"/>
        <color theme="1"/>
        <rFont val="Calibri"/>
      </rPr>
      <t>TOTAL
MTCO</t>
    </r>
    <r>
      <rPr>
        <b/>
        <vertAlign val="subscript"/>
        <sz val="8"/>
        <color theme="1"/>
        <rFont val="Arial"/>
      </rPr>
      <t>2</t>
    </r>
    <r>
      <rPr>
        <b/>
        <sz val="8"/>
        <color theme="1"/>
        <rFont val="Arial"/>
      </rPr>
      <t>E</t>
    </r>
  </si>
  <si>
    <t>Aviation Gasoline</t>
  </si>
  <si>
    <t>Distillate Fuel - Farm</t>
  </si>
  <si>
    <t>Distillate Fuel - Construction</t>
  </si>
  <si>
    <t>Distillate Fuel - Ind HD Diesel</t>
  </si>
  <si>
    <t>Distillate Fuel - Locomotive</t>
  </si>
  <si>
    <t>Distillate Fuel - Marine</t>
  </si>
  <si>
    <t>Jet Fuel, Kerosene</t>
  </si>
  <si>
    <t>Jet Fuel, Naphtha</t>
  </si>
  <si>
    <t>LPG</t>
  </si>
  <si>
    <t>Motor Gasoline - Farm</t>
  </si>
  <si>
    <t>Motor Gasoline - Construction</t>
  </si>
  <si>
    <t>Motor Gasoline - Ind HD Utility</t>
  </si>
  <si>
    <t>Motor Gasoline - Ind Small Utility</t>
  </si>
  <si>
    <t>Motor Gasoline - Marine</t>
  </si>
  <si>
    <t xml:space="preserve">Non-Energy </t>
  </si>
  <si>
    <t xml:space="preserve">Net combustible </t>
  </si>
  <si>
    <t>Storage Factor (%)</t>
  </si>
  <si>
    <r>
      <rPr>
        <b/>
        <sz val="11"/>
        <color theme="1"/>
        <rFont val="Calibri"/>
      </rPr>
      <t>(MMTCO</t>
    </r>
    <r>
      <rPr>
        <b/>
        <vertAlign val="subscript"/>
        <sz val="10"/>
        <color theme="1"/>
        <rFont val="Calibri"/>
      </rPr>
      <t>2</t>
    </r>
    <r>
      <rPr>
        <b/>
        <sz val="10"/>
        <color theme="1"/>
        <rFont val="Calibri"/>
      </rPr>
      <t>E)</t>
    </r>
  </si>
  <si>
    <t>Lubricants</t>
  </si>
  <si>
    <t>International Bunker Fuels</t>
  </si>
  <si>
    <r>
      <rPr>
        <b/>
        <sz val="11"/>
        <color theme="1"/>
        <rFont val="Calibri"/>
      </rPr>
      <t>(MMTCO</t>
    </r>
    <r>
      <rPr>
        <b/>
        <vertAlign val="subscript"/>
        <sz val="10"/>
        <color theme="1"/>
        <rFont val="Calibri"/>
      </rPr>
      <t>2</t>
    </r>
    <r>
      <rPr>
        <b/>
        <sz val="10"/>
        <color theme="1"/>
        <rFont val="Calibri"/>
      </rPr>
      <t>E)</t>
    </r>
  </si>
  <si>
    <r>
      <rPr>
        <sz val="11"/>
        <color theme="1"/>
        <rFont val="Calibri"/>
      </rPr>
      <t>Emissions Data (MMTCO</t>
    </r>
    <r>
      <rPr>
        <vertAlign val="subscript"/>
        <sz val="14"/>
        <color theme="1"/>
        <rFont val="Comic Sans MS"/>
      </rPr>
      <t>2</t>
    </r>
    <r>
      <rPr>
        <sz val="14"/>
        <color theme="1"/>
        <rFont val="Comic Sans MS"/>
      </rPr>
      <t>e)</t>
    </r>
  </si>
  <si>
    <t>Transportation Sector: On-Road Mobile Sources  2011</t>
  </si>
  <si>
    <r>
      <rPr>
        <b/>
        <sz val="11"/>
        <color rgb="FF000000"/>
        <rFont val="Calibri"/>
      </rPr>
      <t>CO</t>
    </r>
    <r>
      <rPr>
        <b/>
        <vertAlign val="subscript"/>
        <sz val="8"/>
        <color rgb="FF000000"/>
        <rFont val="Arial"/>
      </rPr>
      <t>2</t>
    </r>
    <r>
      <rPr>
        <b/>
        <sz val="8"/>
        <color rgb="FF000000"/>
        <rFont val="Arial"/>
      </rPr>
      <t xml:space="preserve"> Emissions</t>
    </r>
  </si>
  <si>
    <r>
      <rPr>
        <b/>
        <sz val="11"/>
        <color rgb="FF000000"/>
        <rFont val="Calibri"/>
      </rPr>
      <t>N</t>
    </r>
    <r>
      <rPr>
        <b/>
        <vertAlign val="subscript"/>
        <sz val="8"/>
        <color rgb="FF000000"/>
        <rFont val="Arial"/>
      </rPr>
      <t>2</t>
    </r>
    <r>
      <rPr>
        <b/>
        <sz val="8"/>
        <color rgb="FF000000"/>
        <rFont val="Arial"/>
      </rPr>
      <t>O Emissions</t>
    </r>
  </si>
  <si>
    <r>
      <rPr>
        <b/>
        <sz val="11"/>
        <color rgb="FF000000"/>
        <rFont val="Calibri"/>
      </rPr>
      <t>CH</t>
    </r>
    <r>
      <rPr>
        <b/>
        <vertAlign val="subscript"/>
        <sz val="8"/>
        <color rgb="FF000000"/>
        <rFont val="Arial"/>
      </rPr>
      <t>4</t>
    </r>
    <r>
      <rPr>
        <b/>
        <sz val="8"/>
        <color rgb="FF000000"/>
        <rFont val="Arial"/>
      </rPr>
      <t xml:space="preserve"> Emissions</t>
    </r>
  </si>
  <si>
    <r>
      <rPr>
        <b/>
        <sz val="11"/>
        <color theme="1"/>
        <rFont val="Calibri"/>
      </rPr>
      <t>CH</t>
    </r>
    <r>
      <rPr>
        <b/>
        <vertAlign val="subscript"/>
        <sz val="8"/>
        <color theme="1"/>
        <rFont val="Arial"/>
      </rPr>
      <t>4</t>
    </r>
    <r>
      <rPr>
        <b/>
        <sz val="8"/>
        <color theme="1"/>
        <rFont val="Arial"/>
      </rPr>
      <t xml:space="preserve"> &amp;</t>
    </r>
  </si>
  <si>
    <r>
      <rPr>
        <b/>
        <sz val="11"/>
        <color theme="1"/>
        <rFont val="Calibri"/>
      </rPr>
      <t>N</t>
    </r>
    <r>
      <rPr>
        <b/>
        <vertAlign val="subscript"/>
        <sz val="8"/>
        <color theme="1"/>
        <rFont val="Arial"/>
      </rPr>
      <t>2</t>
    </r>
    <r>
      <rPr>
        <b/>
        <sz val="8"/>
        <color theme="1"/>
        <rFont val="Arial"/>
      </rPr>
      <t>O</t>
    </r>
  </si>
  <si>
    <r>
      <rPr>
        <b/>
        <sz val="11"/>
        <color theme="1"/>
        <rFont val="Calibri"/>
      </rPr>
      <t>(MMTCO</t>
    </r>
    <r>
      <rPr>
        <b/>
        <vertAlign val="subscript"/>
        <sz val="10"/>
        <color theme="1"/>
        <rFont val="Calibri"/>
      </rPr>
      <t>2</t>
    </r>
    <r>
      <rPr>
        <b/>
        <sz val="10"/>
        <color theme="1"/>
        <rFont val="Calibri"/>
      </rPr>
      <t>E)</t>
    </r>
  </si>
  <si>
    <t>Energy Content
kg/MBtu</t>
  </si>
  <si>
    <t>Density
kg/gallon</t>
  </si>
  <si>
    <r>
      <rPr>
        <b/>
        <sz val="11"/>
        <color theme="1"/>
        <rFont val="Calibri"/>
      </rPr>
      <t>N</t>
    </r>
    <r>
      <rPr>
        <b/>
        <vertAlign val="subscript"/>
        <sz val="8"/>
        <color theme="1"/>
        <rFont val="Arial"/>
      </rPr>
      <t>2</t>
    </r>
    <r>
      <rPr>
        <b/>
        <sz val="8"/>
        <color theme="1"/>
        <rFont val="Arial"/>
      </rPr>
      <t>O EF
g/kg fuel</t>
    </r>
  </si>
  <si>
    <r>
      <rPr>
        <b/>
        <sz val="11"/>
        <color theme="1"/>
        <rFont val="Calibri"/>
      </rPr>
      <t>N</t>
    </r>
    <r>
      <rPr>
        <b/>
        <vertAlign val="subscript"/>
        <sz val="8"/>
        <color theme="1"/>
        <rFont val="Arial"/>
      </rPr>
      <t>2</t>
    </r>
    <r>
      <rPr>
        <b/>
        <sz val="8"/>
        <color theme="1"/>
        <rFont val="Arial"/>
      </rPr>
      <t>O EM
Gigagrams</t>
    </r>
  </si>
  <si>
    <r>
      <rPr>
        <b/>
        <sz val="11"/>
        <color theme="1"/>
        <rFont val="Calibri"/>
      </rPr>
      <t>N</t>
    </r>
    <r>
      <rPr>
        <b/>
        <vertAlign val="subscript"/>
        <sz val="8"/>
        <color theme="1"/>
        <rFont val="Arial"/>
      </rPr>
      <t>2</t>
    </r>
    <r>
      <rPr>
        <b/>
        <sz val="8"/>
        <color theme="1"/>
        <rFont val="Arial"/>
      </rPr>
      <t>O
MTCE</t>
    </r>
  </si>
  <si>
    <r>
      <rPr>
        <b/>
        <sz val="11"/>
        <color theme="1"/>
        <rFont val="Calibri"/>
      </rPr>
      <t>N</t>
    </r>
    <r>
      <rPr>
        <b/>
        <vertAlign val="subscript"/>
        <sz val="8"/>
        <color theme="1"/>
        <rFont val="Arial"/>
      </rPr>
      <t>2</t>
    </r>
    <r>
      <rPr>
        <b/>
        <sz val="8"/>
        <color theme="1"/>
        <rFont val="Arial"/>
      </rPr>
      <t>O
MTCO</t>
    </r>
    <r>
      <rPr>
        <b/>
        <vertAlign val="subscript"/>
        <sz val="8"/>
        <color theme="1"/>
        <rFont val="Arial"/>
      </rPr>
      <t>2</t>
    </r>
    <r>
      <rPr>
        <b/>
        <sz val="8"/>
        <color theme="1"/>
        <rFont val="Arial"/>
      </rPr>
      <t>E</t>
    </r>
  </si>
  <si>
    <r>
      <rPr>
        <b/>
        <sz val="11"/>
        <color theme="1"/>
        <rFont val="Calibri"/>
      </rPr>
      <t>CH</t>
    </r>
    <r>
      <rPr>
        <b/>
        <vertAlign val="subscript"/>
        <sz val="8"/>
        <color theme="1"/>
        <rFont val="Arial"/>
      </rPr>
      <t>4</t>
    </r>
    <r>
      <rPr>
        <b/>
        <sz val="8"/>
        <color theme="1"/>
        <rFont val="Arial"/>
      </rPr>
      <t xml:space="preserve"> EF
g/kg fuel</t>
    </r>
  </si>
  <si>
    <r>
      <rPr>
        <b/>
        <sz val="11"/>
        <color theme="1"/>
        <rFont val="Calibri"/>
      </rPr>
      <t>CH</t>
    </r>
    <r>
      <rPr>
        <b/>
        <vertAlign val="subscript"/>
        <sz val="8"/>
        <color theme="1"/>
        <rFont val="Arial"/>
      </rPr>
      <t>4</t>
    </r>
    <r>
      <rPr>
        <b/>
        <sz val="8"/>
        <color theme="1"/>
        <rFont val="Arial"/>
      </rPr>
      <t xml:space="preserve"> EM
Gigagrams</t>
    </r>
  </si>
  <si>
    <r>
      <rPr>
        <b/>
        <sz val="11"/>
        <color theme="1"/>
        <rFont val="Calibri"/>
      </rPr>
      <t>CH</t>
    </r>
    <r>
      <rPr>
        <b/>
        <vertAlign val="subscript"/>
        <sz val="8"/>
        <color theme="1"/>
        <rFont val="Arial"/>
      </rPr>
      <t xml:space="preserve">4
</t>
    </r>
    <r>
      <rPr>
        <b/>
        <sz val="8"/>
        <color theme="1"/>
        <rFont val="Arial"/>
      </rPr>
      <t>MTCE</t>
    </r>
  </si>
  <si>
    <r>
      <rPr>
        <b/>
        <sz val="11"/>
        <color theme="1"/>
        <rFont val="Calibri"/>
      </rPr>
      <t>CH</t>
    </r>
    <r>
      <rPr>
        <b/>
        <vertAlign val="subscript"/>
        <sz val="8"/>
        <color theme="1"/>
        <rFont val="Arial"/>
      </rPr>
      <t xml:space="preserve">4
</t>
    </r>
    <r>
      <rPr>
        <b/>
        <sz val="8"/>
        <color theme="1"/>
        <rFont val="Arial"/>
      </rPr>
      <t>MTCO</t>
    </r>
    <r>
      <rPr>
        <b/>
        <vertAlign val="subscript"/>
        <sz val="8"/>
        <color theme="1"/>
        <rFont val="Arial"/>
      </rPr>
      <t>2</t>
    </r>
    <r>
      <rPr>
        <b/>
        <sz val="8"/>
        <color theme="1"/>
        <rFont val="Arial"/>
      </rPr>
      <t>E</t>
    </r>
  </si>
  <si>
    <r>
      <rPr>
        <b/>
        <sz val="11"/>
        <color theme="1"/>
        <rFont val="Calibri"/>
      </rPr>
      <t>TOTAL
MTCO</t>
    </r>
    <r>
      <rPr>
        <b/>
        <vertAlign val="subscript"/>
        <sz val="8"/>
        <color theme="1"/>
        <rFont val="Arial"/>
      </rPr>
      <t>2</t>
    </r>
    <r>
      <rPr>
        <b/>
        <sz val="8"/>
        <color theme="1"/>
        <rFont val="Arial"/>
      </rPr>
      <t>E</t>
    </r>
  </si>
  <si>
    <t>Motor Diesel  (On-Road)</t>
  </si>
  <si>
    <t>Motor Gasoline (On Road)</t>
  </si>
  <si>
    <t>Residential Consumption and CO2 Emissions in Maryland</t>
  </si>
  <si>
    <r>
      <rPr>
        <sz val="11"/>
        <color theme="1"/>
        <rFont val="Calibri"/>
      </rPr>
      <t>Residential Sector CO</t>
    </r>
    <r>
      <rPr>
        <vertAlign val="subscript"/>
        <sz val="14"/>
        <color theme="1"/>
        <rFont val="Comic Sans MS"/>
      </rPr>
      <t>2</t>
    </r>
  </si>
  <si>
    <r>
      <rPr>
        <b/>
        <sz val="11"/>
        <color theme="1"/>
        <rFont val="Calibri"/>
      </rPr>
      <t>(MMTCO</t>
    </r>
    <r>
      <rPr>
        <b/>
        <vertAlign val="subscript"/>
        <sz val="7"/>
        <color theme="1"/>
        <rFont val="Comic Sans MS"/>
      </rPr>
      <t>2</t>
    </r>
    <r>
      <rPr>
        <b/>
        <sz val="7"/>
        <color theme="1"/>
        <rFont val="Comic Sans MS"/>
      </rPr>
      <t>E)</t>
    </r>
  </si>
  <si>
    <t>Kerosene</t>
  </si>
  <si>
    <r>
      <rPr>
        <sz val="11"/>
        <color theme="1"/>
        <rFont val="Calibri"/>
      </rPr>
      <t>Residential Sector N</t>
    </r>
    <r>
      <rPr>
        <vertAlign val="subscript"/>
        <sz val="11"/>
        <color theme="1"/>
        <rFont val="Calibri"/>
      </rPr>
      <t>2</t>
    </r>
    <r>
      <rPr>
        <sz val="11"/>
        <color theme="1"/>
        <rFont val="Calibri"/>
      </rPr>
      <t>O</t>
    </r>
  </si>
  <si>
    <r>
      <rPr>
        <b/>
        <sz val="11"/>
        <color theme="1"/>
        <rFont val="Calibri"/>
      </rPr>
      <t>(metric tons N</t>
    </r>
    <r>
      <rPr>
        <b/>
        <vertAlign val="subscript"/>
        <sz val="7"/>
        <color theme="1"/>
        <rFont val="Comic Sans MS"/>
      </rPr>
      <t>2</t>
    </r>
    <r>
      <rPr>
        <b/>
        <sz val="7"/>
        <color theme="1"/>
        <rFont val="Comic Sans MS"/>
      </rPr>
      <t>O/BBtu)</t>
    </r>
  </si>
  <si>
    <r>
      <rPr>
        <b/>
        <sz val="11"/>
        <color theme="1"/>
        <rFont val="Calibri"/>
      </rPr>
      <t>(metric tons N</t>
    </r>
    <r>
      <rPr>
        <b/>
        <vertAlign val="subscript"/>
        <sz val="7"/>
        <color theme="1"/>
        <rFont val="Comic Sans MS"/>
      </rPr>
      <t>2</t>
    </r>
    <r>
      <rPr>
        <b/>
        <sz val="7"/>
        <color theme="1"/>
        <rFont val="Comic Sans MS"/>
      </rPr>
      <t>O)</t>
    </r>
  </si>
  <si>
    <r>
      <rPr>
        <b/>
        <sz val="11"/>
        <color theme="1"/>
        <rFont val="Calibri"/>
      </rPr>
      <t>(MMTCO</t>
    </r>
    <r>
      <rPr>
        <b/>
        <vertAlign val="subscript"/>
        <sz val="7"/>
        <color theme="1"/>
        <rFont val="Comic Sans MS"/>
      </rPr>
      <t>2</t>
    </r>
    <r>
      <rPr>
        <b/>
        <sz val="7"/>
        <color theme="1"/>
        <rFont val="Comic Sans MS"/>
      </rPr>
      <t>E)</t>
    </r>
  </si>
  <si>
    <r>
      <rPr>
        <sz val="11"/>
        <color theme="1"/>
        <rFont val="Calibri"/>
      </rPr>
      <t>Residential Sector CH</t>
    </r>
    <r>
      <rPr>
        <vertAlign val="subscript"/>
        <sz val="14"/>
        <color theme="1"/>
        <rFont val="Comic Sans MS"/>
      </rPr>
      <t>4</t>
    </r>
  </si>
  <si>
    <t>(metric tons CH4 /BBtu)</t>
  </si>
  <si>
    <r>
      <rPr>
        <b/>
        <sz val="11"/>
        <color theme="1"/>
        <rFont val="Calibri"/>
      </rPr>
      <t>(metric tons CH</t>
    </r>
    <r>
      <rPr>
        <b/>
        <vertAlign val="subscript"/>
        <sz val="7"/>
        <color theme="1"/>
        <rFont val="Comic Sans MS"/>
      </rPr>
      <t>4</t>
    </r>
    <r>
      <rPr>
        <b/>
        <sz val="7"/>
        <color theme="1"/>
        <rFont val="Comic Sans MS"/>
      </rPr>
      <t>)</t>
    </r>
  </si>
  <si>
    <t>(MMTCO2E)</t>
  </si>
  <si>
    <t xml:space="preserve">Residential Sector 2011 GHG Emissions </t>
  </si>
  <si>
    <r>
      <rPr>
        <b/>
        <sz val="11"/>
        <color theme="1"/>
        <rFont val="Calibri"/>
      </rPr>
      <t>CO</t>
    </r>
    <r>
      <rPr>
        <b/>
        <vertAlign val="subscript"/>
        <sz val="8"/>
        <color theme="1"/>
        <rFont val="Arial"/>
      </rPr>
      <t>2</t>
    </r>
  </si>
  <si>
    <r>
      <rPr>
        <b/>
        <sz val="11"/>
        <color theme="1"/>
        <rFont val="Calibri"/>
      </rPr>
      <t>N</t>
    </r>
    <r>
      <rPr>
        <b/>
        <vertAlign val="subscript"/>
        <sz val="8"/>
        <color theme="1"/>
        <rFont val="Arial"/>
      </rPr>
      <t>2</t>
    </r>
    <r>
      <rPr>
        <b/>
        <sz val="8"/>
        <color theme="1"/>
        <rFont val="Arial"/>
      </rPr>
      <t>O</t>
    </r>
  </si>
  <si>
    <r>
      <rPr>
        <b/>
        <sz val="11"/>
        <color theme="1"/>
        <rFont val="Calibri"/>
      </rPr>
      <t>CH</t>
    </r>
    <r>
      <rPr>
        <b/>
        <vertAlign val="subscript"/>
        <sz val="8"/>
        <color theme="1"/>
        <rFont val="Arial"/>
      </rPr>
      <t>4</t>
    </r>
  </si>
  <si>
    <r>
      <rPr>
        <b/>
        <sz val="11"/>
        <color theme="1"/>
        <rFont val="Calibri"/>
      </rPr>
      <t>(MMTCO</t>
    </r>
    <r>
      <rPr>
        <b/>
        <vertAlign val="subscript"/>
        <sz val="8"/>
        <color theme="1"/>
        <rFont val="Arial"/>
      </rPr>
      <t>2</t>
    </r>
    <r>
      <rPr>
        <b/>
        <sz val="8"/>
        <color theme="1"/>
        <rFont val="Arial"/>
      </rPr>
      <t>E)</t>
    </r>
  </si>
  <si>
    <r>
      <rPr>
        <b/>
        <sz val="11"/>
        <color theme="1"/>
        <rFont val="Calibri"/>
      </rPr>
      <t>(MMTCO</t>
    </r>
    <r>
      <rPr>
        <b/>
        <vertAlign val="subscript"/>
        <sz val="8"/>
        <color theme="1"/>
        <rFont val="Arial"/>
      </rPr>
      <t>2</t>
    </r>
    <r>
      <rPr>
        <b/>
        <sz val="8"/>
        <color theme="1"/>
        <rFont val="Arial"/>
      </rPr>
      <t>E)</t>
    </r>
  </si>
  <si>
    <r>
      <rPr>
        <b/>
        <sz val="11"/>
        <color theme="1"/>
        <rFont val="Calibri"/>
      </rPr>
      <t>(MMTCO</t>
    </r>
    <r>
      <rPr>
        <b/>
        <vertAlign val="subscript"/>
        <sz val="8"/>
        <color theme="1"/>
        <rFont val="Arial"/>
      </rPr>
      <t>2</t>
    </r>
    <r>
      <rPr>
        <b/>
        <sz val="8"/>
        <color theme="1"/>
        <rFont val="Arial"/>
      </rPr>
      <t>E)</t>
    </r>
  </si>
  <si>
    <r>
      <rPr>
        <b/>
        <sz val="11"/>
        <color theme="1"/>
        <rFont val="Calibri"/>
      </rPr>
      <t>(MMTCO</t>
    </r>
    <r>
      <rPr>
        <b/>
        <vertAlign val="subscript"/>
        <sz val="8"/>
        <color theme="1"/>
        <rFont val="Arial"/>
      </rPr>
      <t>2</t>
    </r>
    <r>
      <rPr>
        <b/>
        <sz val="8"/>
        <color theme="1"/>
        <rFont val="Arial"/>
      </rPr>
      <t>E)</t>
    </r>
  </si>
  <si>
    <t>- Default state-level data derived from EIA’s State Energy Consumption, Price, and Expenditure Estimates (SEDS) 2007: Consumption Estimates (EIA 2009)  http://www.eia.doe.gov/emeu/states/_seds.html</t>
  </si>
  <si>
    <t>- Default state synthetic natural gas data obtained from Table 12 of EIA’s Historical Natural Gas Annual (EIA 2009), and Table 8 for Natural Gas Annual publications from 2001-2007 http://www.eia.doe.gov/oil_gas/natural_gas/data_publications/natural_gas_annual/nga.html</t>
  </si>
  <si>
    <t>Commercial Consumption and CO2 Emissions in Maryland</t>
  </si>
  <si>
    <r>
      <rPr>
        <sz val="11"/>
        <color theme="1"/>
        <rFont val="Calibri"/>
      </rPr>
      <t>Commercial Sector CO</t>
    </r>
    <r>
      <rPr>
        <vertAlign val="subscript"/>
        <sz val="14"/>
        <color theme="1"/>
        <rFont val="Comic Sans MS"/>
      </rPr>
      <t>2</t>
    </r>
  </si>
  <si>
    <r>
      <rPr>
        <b/>
        <sz val="11"/>
        <color theme="1"/>
        <rFont val="Calibri"/>
      </rPr>
      <t>(MMTCO</t>
    </r>
    <r>
      <rPr>
        <b/>
        <vertAlign val="subscript"/>
        <sz val="7"/>
        <color theme="1"/>
        <rFont val="Comic Sans MS"/>
      </rPr>
      <t>2</t>
    </r>
    <r>
      <rPr>
        <b/>
        <sz val="7"/>
        <color theme="1"/>
        <rFont val="Comic Sans MS"/>
      </rPr>
      <t>E)</t>
    </r>
  </si>
  <si>
    <r>
      <rPr>
        <sz val="11"/>
        <color theme="1"/>
        <rFont val="Calibri"/>
      </rPr>
      <t>Commercial Sector N</t>
    </r>
    <r>
      <rPr>
        <vertAlign val="subscript"/>
        <sz val="11"/>
        <color theme="1"/>
        <rFont val="Calibri"/>
      </rPr>
      <t>2</t>
    </r>
    <r>
      <rPr>
        <sz val="11"/>
        <color theme="1"/>
        <rFont val="Calibri"/>
      </rPr>
      <t>O</t>
    </r>
  </si>
  <si>
    <r>
      <rPr>
        <b/>
        <sz val="11"/>
        <color theme="1"/>
        <rFont val="Calibri"/>
      </rPr>
      <t>(metric tons N</t>
    </r>
    <r>
      <rPr>
        <b/>
        <vertAlign val="subscript"/>
        <sz val="7"/>
        <color theme="1"/>
        <rFont val="Comic Sans MS"/>
      </rPr>
      <t>2</t>
    </r>
    <r>
      <rPr>
        <b/>
        <sz val="7"/>
        <color theme="1"/>
        <rFont val="Comic Sans MS"/>
      </rPr>
      <t>O/BBtu)</t>
    </r>
  </si>
  <si>
    <r>
      <rPr>
        <b/>
        <sz val="11"/>
        <color theme="1"/>
        <rFont val="Calibri"/>
      </rPr>
      <t>(metric tons N</t>
    </r>
    <r>
      <rPr>
        <b/>
        <vertAlign val="subscript"/>
        <sz val="7"/>
        <color theme="1"/>
        <rFont val="Comic Sans MS"/>
      </rPr>
      <t>2</t>
    </r>
    <r>
      <rPr>
        <b/>
        <sz val="7"/>
        <color theme="1"/>
        <rFont val="Comic Sans MS"/>
      </rPr>
      <t>O)</t>
    </r>
  </si>
  <si>
    <r>
      <rPr>
        <sz val="11"/>
        <color theme="1"/>
        <rFont val="Calibri"/>
      </rPr>
      <t>Commercial Sector CH</t>
    </r>
    <r>
      <rPr>
        <vertAlign val="subscript"/>
        <sz val="14"/>
        <color theme="1"/>
        <rFont val="Comic Sans MS"/>
      </rPr>
      <t>4</t>
    </r>
  </si>
  <si>
    <r>
      <rPr>
        <b/>
        <sz val="11"/>
        <color theme="1"/>
        <rFont val="Calibri"/>
      </rPr>
      <t>(metric tons CH</t>
    </r>
    <r>
      <rPr>
        <b/>
        <vertAlign val="subscript"/>
        <sz val="7"/>
        <color theme="1"/>
        <rFont val="Comic Sans MS"/>
      </rPr>
      <t>4</t>
    </r>
    <r>
      <rPr>
        <b/>
        <sz val="7"/>
        <color theme="1"/>
        <rFont val="Comic Sans MS"/>
      </rPr>
      <t xml:space="preserve"> /BBtu)</t>
    </r>
  </si>
  <si>
    <r>
      <rPr>
        <b/>
        <sz val="11"/>
        <color theme="1"/>
        <rFont val="Calibri"/>
      </rPr>
      <t>(metric tons CH</t>
    </r>
    <r>
      <rPr>
        <b/>
        <vertAlign val="subscript"/>
        <sz val="7"/>
        <color theme="1"/>
        <rFont val="Comic Sans MS"/>
      </rPr>
      <t>4</t>
    </r>
    <r>
      <rPr>
        <b/>
        <sz val="7"/>
        <color theme="1"/>
        <rFont val="Comic Sans MS"/>
      </rPr>
      <t>)</t>
    </r>
  </si>
  <si>
    <r>
      <rPr>
        <b/>
        <sz val="11"/>
        <color theme="1"/>
        <rFont val="Calibri"/>
      </rPr>
      <t>(MMTCO</t>
    </r>
    <r>
      <rPr>
        <b/>
        <vertAlign val="subscript"/>
        <sz val="7"/>
        <color theme="1"/>
        <rFont val="Comic Sans MS"/>
      </rPr>
      <t>2</t>
    </r>
    <r>
      <rPr>
        <b/>
        <sz val="7"/>
        <color theme="1"/>
        <rFont val="Comic Sans MS"/>
      </rPr>
      <t>E)</t>
    </r>
  </si>
  <si>
    <t>Commercial Sector 2011 GHG Emission</t>
  </si>
  <si>
    <r>
      <rPr>
        <b/>
        <sz val="11"/>
        <color theme="1"/>
        <rFont val="Calibri"/>
      </rPr>
      <t>CO</t>
    </r>
    <r>
      <rPr>
        <b/>
        <vertAlign val="subscript"/>
        <sz val="10"/>
        <color theme="1"/>
        <rFont val="Arial"/>
      </rPr>
      <t>2</t>
    </r>
  </si>
  <si>
    <r>
      <rPr>
        <b/>
        <sz val="11"/>
        <color theme="1"/>
        <rFont val="Calibri"/>
      </rPr>
      <t>CH</t>
    </r>
    <r>
      <rPr>
        <b/>
        <vertAlign val="subscript"/>
        <sz val="10"/>
        <color theme="1"/>
        <rFont val="Arial"/>
      </rPr>
      <t>4</t>
    </r>
  </si>
  <si>
    <r>
      <rPr>
        <b/>
        <sz val="11"/>
        <color theme="1"/>
        <rFont val="Calibri"/>
      </rPr>
      <t>N</t>
    </r>
    <r>
      <rPr>
        <b/>
        <vertAlign val="subscript"/>
        <sz val="10"/>
        <color theme="1"/>
        <rFont val="Arial"/>
      </rPr>
      <t>2</t>
    </r>
    <r>
      <rPr>
        <b/>
        <sz val="10"/>
        <color theme="1"/>
        <rFont val="Arial"/>
      </rPr>
      <t>O</t>
    </r>
  </si>
  <si>
    <t>GHG</t>
  </si>
  <si>
    <r>
      <rPr>
        <b/>
        <sz val="11"/>
        <color theme="1"/>
        <rFont val="Calibri"/>
      </rPr>
      <t>(MMTCO</t>
    </r>
    <r>
      <rPr>
        <b/>
        <vertAlign val="subscript"/>
        <sz val="7"/>
        <color theme="1"/>
        <rFont val="Comic Sans MS"/>
      </rPr>
      <t>2</t>
    </r>
    <r>
      <rPr>
        <b/>
        <sz val="7"/>
        <color theme="1"/>
        <rFont val="Comic Sans MS"/>
      </rPr>
      <t>E)</t>
    </r>
  </si>
  <si>
    <r>
      <rPr>
        <b/>
        <sz val="11"/>
        <color theme="1"/>
        <rFont val="Calibri"/>
      </rPr>
      <t>(MMTCO</t>
    </r>
    <r>
      <rPr>
        <b/>
        <vertAlign val="subscript"/>
        <sz val="7"/>
        <color theme="1"/>
        <rFont val="Comic Sans MS"/>
      </rPr>
      <t>2</t>
    </r>
    <r>
      <rPr>
        <b/>
        <sz val="7"/>
        <color theme="1"/>
        <rFont val="Comic Sans MS"/>
      </rPr>
      <t>E)</t>
    </r>
  </si>
  <si>
    <r>
      <rPr>
        <b/>
        <sz val="11"/>
        <color theme="1"/>
        <rFont val="Calibri"/>
      </rPr>
      <t>(MMTCO</t>
    </r>
    <r>
      <rPr>
        <b/>
        <vertAlign val="subscript"/>
        <sz val="7"/>
        <color theme="1"/>
        <rFont val="Comic Sans MS"/>
      </rPr>
      <t>2</t>
    </r>
    <r>
      <rPr>
        <b/>
        <sz val="7"/>
        <color theme="1"/>
        <rFont val="Comic Sans MS"/>
      </rPr>
      <t>E)</t>
    </r>
  </si>
  <si>
    <r>
      <rPr>
        <b/>
        <sz val="11"/>
        <color theme="1"/>
        <rFont val="Calibri"/>
      </rPr>
      <t>(MMTCO</t>
    </r>
    <r>
      <rPr>
        <b/>
        <vertAlign val="subscript"/>
        <sz val="7"/>
        <color theme="1"/>
        <rFont val="Comic Sans MS"/>
      </rPr>
      <t>2</t>
    </r>
    <r>
      <rPr>
        <b/>
        <sz val="7"/>
        <color theme="1"/>
        <rFont val="Comic Sans MS"/>
      </rPr>
      <t>E)</t>
    </r>
  </si>
  <si>
    <t>- Default state-level data derived from EIA's State Energy Consumption, Price, and Expenditure Estimates (SEDS) 2011: Consumption Estimates (EIA 2013)  http://www.eia.gov/state/seds/seds-data-complete.cfm?sid=US.</t>
  </si>
  <si>
    <t>Industrial Consumption and CO2 Emissions in Maryland</t>
  </si>
  <si>
    <r>
      <rPr>
        <sz val="11"/>
        <color rgb="FF000000"/>
        <rFont val="Calibri"/>
      </rPr>
      <t>Industrial Sector CO</t>
    </r>
    <r>
      <rPr>
        <sz val="14"/>
        <color rgb="FF000000"/>
        <rFont val="Comic Sans MS"/>
      </rPr>
      <t>2</t>
    </r>
  </si>
  <si>
    <r>
      <rPr>
        <b/>
        <sz val="11"/>
        <color theme="1"/>
        <rFont val="Calibri"/>
      </rPr>
      <t>(MMTCO</t>
    </r>
    <r>
      <rPr>
        <b/>
        <vertAlign val="subscript"/>
        <sz val="7"/>
        <color theme="1"/>
        <rFont val="Comic Sans MS"/>
      </rPr>
      <t>2</t>
    </r>
    <r>
      <rPr>
        <b/>
        <sz val="7"/>
        <color theme="1"/>
        <rFont val="Comic Sans MS"/>
      </rPr>
      <t>E)</t>
    </r>
  </si>
  <si>
    <t>Coking Coal</t>
  </si>
  <si>
    <t>Other Coal</t>
  </si>
  <si>
    <t>Asphalt and Road Oil</t>
  </si>
  <si>
    <t>Aviation Gasoline Blending Components</t>
  </si>
  <si>
    <t>Crude Oil</t>
  </si>
  <si>
    <t>Feedstocks, Naphtha less than 401 F</t>
  </si>
  <si>
    <t>Feedstocks, Other Oils greater than 401 F</t>
  </si>
  <si>
    <t>Motor Gasoline Blending Components</t>
  </si>
  <si>
    <t>Misc. Petro Products</t>
  </si>
  <si>
    <t>Petroleum Coke</t>
  </si>
  <si>
    <t>Pentanes Plus</t>
  </si>
  <si>
    <t>Still Gas</t>
  </si>
  <si>
    <t>Special Naphthas</t>
  </si>
  <si>
    <t>Unfinished Oils</t>
  </si>
  <si>
    <t>Waxes</t>
  </si>
  <si>
    <r>
      <rPr>
        <sz val="11"/>
        <color theme="1"/>
        <rFont val="Calibri"/>
      </rPr>
      <t>Industrial Sector N</t>
    </r>
    <r>
      <rPr>
        <vertAlign val="subscript"/>
        <sz val="14"/>
        <color theme="1"/>
        <rFont val="Comic Sans MS"/>
      </rPr>
      <t>2</t>
    </r>
    <r>
      <rPr>
        <sz val="14"/>
        <color theme="1"/>
        <rFont val="Comic Sans MS"/>
      </rPr>
      <t>O</t>
    </r>
  </si>
  <si>
    <r>
      <rPr>
        <b/>
        <sz val="11"/>
        <color theme="1"/>
        <rFont val="Calibri"/>
      </rPr>
      <t>(metric tons N</t>
    </r>
    <r>
      <rPr>
        <b/>
        <vertAlign val="subscript"/>
        <sz val="7"/>
        <color theme="1"/>
        <rFont val="Comic Sans MS"/>
      </rPr>
      <t>2</t>
    </r>
    <r>
      <rPr>
        <b/>
        <sz val="7"/>
        <color theme="1"/>
        <rFont val="Comic Sans MS"/>
      </rPr>
      <t>O/BBtu)</t>
    </r>
  </si>
  <si>
    <r>
      <rPr>
        <b/>
        <sz val="11"/>
        <color theme="1"/>
        <rFont val="Calibri"/>
      </rPr>
      <t>(metric tons N</t>
    </r>
    <r>
      <rPr>
        <b/>
        <vertAlign val="subscript"/>
        <sz val="7"/>
        <color theme="1"/>
        <rFont val="Comic Sans MS"/>
      </rPr>
      <t>2</t>
    </r>
    <r>
      <rPr>
        <b/>
        <sz val="7"/>
        <color theme="1"/>
        <rFont val="Comic Sans MS"/>
      </rPr>
      <t>O)</t>
    </r>
  </si>
  <si>
    <r>
      <rPr>
        <b/>
        <sz val="11"/>
        <color theme="1"/>
        <rFont val="Calibri"/>
      </rPr>
      <t>(MMTCO</t>
    </r>
    <r>
      <rPr>
        <b/>
        <vertAlign val="subscript"/>
        <sz val="7"/>
        <color theme="1"/>
        <rFont val="Comic Sans MS"/>
      </rPr>
      <t>2</t>
    </r>
    <r>
      <rPr>
        <b/>
        <sz val="7"/>
        <color theme="1"/>
        <rFont val="Comic Sans MS"/>
      </rPr>
      <t>E)</t>
    </r>
  </si>
  <si>
    <t>NA</t>
  </si>
  <si>
    <r>
      <rPr>
        <sz val="11"/>
        <color rgb="FF000000"/>
        <rFont val="Calibri"/>
      </rPr>
      <t>Industrial Sector CH</t>
    </r>
    <r>
      <rPr>
        <vertAlign val="subscript"/>
        <sz val="14"/>
        <color rgb="FF000000"/>
        <rFont val="Comic Sans MS"/>
      </rPr>
      <t>4</t>
    </r>
  </si>
  <si>
    <t>(metric tons CH4)</t>
  </si>
  <si>
    <t>Industrial Sector GHG</t>
  </si>
  <si>
    <r>
      <rPr>
        <b/>
        <sz val="11"/>
        <color rgb="FF000000"/>
        <rFont val="Calibri"/>
      </rPr>
      <t>CO</t>
    </r>
    <r>
      <rPr>
        <b/>
        <vertAlign val="subscript"/>
        <sz val="8"/>
        <color rgb="FF000000"/>
        <rFont val="Arial"/>
      </rPr>
      <t>2</t>
    </r>
  </si>
  <si>
    <r>
      <rPr>
        <b/>
        <sz val="11"/>
        <color rgb="FF000000"/>
        <rFont val="Calibri"/>
      </rPr>
      <t>CH</t>
    </r>
    <r>
      <rPr>
        <b/>
        <vertAlign val="subscript"/>
        <sz val="8"/>
        <color rgb="FF000000"/>
        <rFont val="Arial"/>
      </rPr>
      <t>4</t>
    </r>
  </si>
  <si>
    <r>
      <rPr>
        <b/>
        <sz val="11"/>
        <color rgb="FF000000"/>
        <rFont val="Calibri"/>
      </rPr>
      <t>N</t>
    </r>
    <r>
      <rPr>
        <b/>
        <vertAlign val="subscript"/>
        <sz val="8"/>
        <color rgb="FF000000"/>
        <rFont val="Arial"/>
      </rPr>
      <t>2</t>
    </r>
    <r>
      <rPr>
        <b/>
        <sz val="8"/>
        <color rgb="FF000000"/>
        <rFont val="Arial"/>
      </rPr>
      <t>O</t>
    </r>
  </si>
  <si>
    <r>
      <rPr>
        <b/>
        <sz val="11"/>
        <color theme="1"/>
        <rFont val="Calibri"/>
      </rPr>
      <t>(MMTCO</t>
    </r>
    <r>
      <rPr>
        <b/>
        <vertAlign val="subscript"/>
        <sz val="7"/>
        <color theme="1"/>
        <rFont val="Comic Sans MS"/>
      </rPr>
      <t>2</t>
    </r>
    <r>
      <rPr>
        <b/>
        <sz val="7"/>
        <color theme="1"/>
        <rFont val="Comic Sans MS"/>
      </rPr>
      <t>E)</t>
    </r>
  </si>
  <si>
    <r>
      <rPr>
        <b/>
        <sz val="11"/>
        <color theme="1"/>
        <rFont val="Calibri"/>
      </rPr>
      <t>(MMTCO</t>
    </r>
    <r>
      <rPr>
        <b/>
        <vertAlign val="subscript"/>
        <sz val="7"/>
        <color theme="1"/>
        <rFont val="Comic Sans MS"/>
      </rPr>
      <t>2</t>
    </r>
    <r>
      <rPr>
        <b/>
        <sz val="7"/>
        <color theme="1"/>
        <rFont val="Comic Sans MS"/>
      </rPr>
      <t>E)</t>
    </r>
  </si>
  <si>
    <r>
      <rPr>
        <b/>
        <sz val="11"/>
        <color theme="1"/>
        <rFont val="Calibri"/>
      </rPr>
      <t>(MMTCO</t>
    </r>
    <r>
      <rPr>
        <b/>
        <vertAlign val="subscript"/>
        <sz val="7"/>
        <color theme="1"/>
        <rFont val="Comic Sans MS"/>
      </rPr>
      <t>2</t>
    </r>
    <r>
      <rPr>
        <b/>
        <sz val="7"/>
        <color theme="1"/>
        <rFont val="Comic Sans MS"/>
      </rPr>
      <t>E)</t>
    </r>
  </si>
  <si>
    <r>
      <rPr>
        <b/>
        <sz val="11"/>
        <color theme="1"/>
        <rFont val="Calibri"/>
      </rPr>
      <t>(MMTCO</t>
    </r>
    <r>
      <rPr>
        <b/>
        <vertAlign val="subscript"/>
        <sz val="7"/>
        <color theme="1"/>
        <rFont val="Comic Sans MS"/>
      </rPr>
      <t>2</t>
    </r>
    <r>
      <rPr>
        <b/>
        <sz val="7"/>
        <color theme="1"/>
        <rFont val="Comic Sans MS"/>
      </rPr>
      <t>E)</t>
    </r>
  </si>
  <si>
    <t>Cement Industry Production Emissions</t>
  </si>
  <si>
    <t>EPA- Mandatory GHG Rule Reporting Methodology used in Emission Certification Reports.</t>
  </si>
  <si>
    <t>% Biomass</t>
  </si>
  <si>
    <r>
      <rPr>
        <b/>
        <sz val="11"/>
        <color theme="1"/>
        <rFont val="Calibri"/>
      </rPr>
      <t>CO</t>
    </r>
    <r>
      <rPr>
        <b/>
        <vertAlign val="subscript"/>
        <sz val="8"/>
        <color theme="1"/>
        <rFont val="Arial"/>
      </rPr>
      <t>2</t>
    </r>
    <r>
      <rPr>
        <b/>
        <sz val="8"/>
        <color theme="1"/>
        <rFont val="Arial"/>
      </rPr>
      <t xml:space="preserve"> Emissions (metric tons)</t>
    </r>
  </si>
  <si>
    <r>
      <rPr>
        <b/>
        <sz val="11"/>
        <color theme="1"/>
        <rFont val="Calibri"/>
      </rPr>
      <t>CH</t>
    </r>
    <r>
      <rPr>
        <b/>
        <vertAlign val="subscript"/>
        <sz val="8"/>
        <color theme="1"/>
        <rFont val="Arial"/>
      </rPr>
      <t>4</t>
    </r>
    <r>
      <rPr>
        <b/>
        <sz val="8"/>
        <color theme="1"/>
        <rFont val="Arial"/>
      </rPr>
      <t xml:space="preserve"> Emissions (metric tons CH</t>
    </r>
    <r>
      <rPr>
        <b/>
        <vertAlign val="subscript"/>
        <sz val="8"/>
        <color theme="1"/>
        <rFont val="Arial"/>
      </rPr>
      <t>4</t>
    </r>
    <r>
      <rPr>
        <b/>
        <sz val="8"/>
        <color theme="1"/>
        <rFont val="Arial"/>
      </rPr>
      <t>)</t>
    </r>
  </si>
  <si>
    <r>
      <rPr>
        <b/>
        <sz val="11"/>
        <color theme="1"/>
        <rFont val="Calibri"/>
      </rPr>
      <t>N</t>
    </r>
    <r>
      <rPr>
        <b/>
        <vertAlign val="subscript"/>
        <sz val="8"/>
        <color theme="1"/>
        <rFont val="Arial"/>
      </rPr>
      <t>2</t>
    </r>
    <r>
      <rPr>
        <b/>
        <sz val="8"/>
        <color theme="1"/>
        <rFont val="Arial"/>
      </rPr>
      <t>O Emissions (metric tons CH</t>
    </r>
    <r>
      <rPr>
        <b/>
        <vertAlign val="subscript"/>
        <sz val="8"/>
        <color theme="1"/>
        <rFont val="Arial"/>
      </rPr>
      <t>4</t>
    </r>
    <r>
      <rPr>
        <b/>
        <sz val="8"/>
        <color theme="1"/>
        <rFont val="Arial"/>
      </rPr>
      <t>)</t>
    </r>
  </si>
  <si>
    <t>(A)</t>
  </si>
  <si>
    <t xml:space="preserve"> Lehigh Kiln System </t>
  </si>
  <si>
    <t xml:space="preserve"> -Coal</t>
  </si>
  <si>
    <t>metric  tons</t>
  </si>
  <si>
    <t xml:space="preserve"> - DBS (Preheater/Precalciner Kiln)</t>
  </si>
  <si>
    <t xml:space="preserve"> - #2 Oil</t>
  </si>
  <si>
    <t>Gallons</t>
  </si>
  <si>
    <t xml:space="preserve"> - Fly Ash</t>
  </si>
  <si>
    <t>metric tons</t>
  </si>
  <si>
    <t>Kiln Fossil Fuel Combustion (Calculation)</t>
  </si>
  <si>
    <r>
      <rPr>
        <b/>
        <sz val="11"/>
        <color theme="1"/>
        <rFont val="Calibri"/>
      </rPr>
      <t>Kiln System Total CO</t>
    </r>
    <r>
      <rPr>
        <b/>
        <vertAlign val="subscript"/>
        <sz val="8"/>
        <color theme="1"/>
        <rFont val="Arial"/>
      </rPr>
      <t>2</t>
    </r>
    <r>
      <rPr>
        <b/>
        <sz val="8"/>
        <color theme="1"/>
        <rFont val="Arial"/>
      </rPr>
      <t xml:space="preserve"> (CEM Measured)</t>
    </r>
  </si>
  <si>
    <r>
      <rPr>
        <b/>
        <sz val="11"/>
        <color theme="1"/>
        <rFont val="Calibri"/>
      </rPr>
      <t>Cement Production-Process CO</t>
    </r>
    <r>
      <rPr>
        <b/>
        <vertAlign val="subscript"/>
        <sz val="8"/>
        <color theme="1"/>
        <rFont val="Arial"/>
      </rPr>
      <t xml:space="preserve">2 </t>
    </r>
    <r>
      <rPr>
        <b/>
        <sz val="8"/>
        <color theme="1"/>
        <rFont val="Arial"/>
      </rPr>
      <t>(metric tons)</t>
    </r>
    <r>
      <rPr>
        <b/>
        <vertAlign val="subscript"/>
        <sz val="8"/>
        <color theme="1"/>
        <rFont val="Arial"/>
      </rPr>
      <t xml:space="preserve">  </t>
    </r>
    <r>
      <rPr>
        <b/>
        <sz val="8"/>
        <color theme="1"/>
        <rFont val="Arial"/>
      </rPr>
      <t>= Kiln System Total CO</t>
    </r>
    <r>
      <rPr>
        <b/>
        <vertAlign val="subscript"/>
        <sz val="8"/>
        <color theme="1"/>
        <rFont val="Arial"/>
      </rPr>
      <t>2</t>
    </r>
    <r>
      <rPr>
        <b/>
        <sz val="8"/>
        <color theme="1"/>
        <rFont val="Arial"/>
      </rPr>
      <t xml:space="preserve"> - Kiln Fossil Fuel Combustion CO</t>
    </r>
    <r>
      <rPr>
        <b/>
        <vertAlign val="subscript"/>
        <sz val="8"/>
        <color theme="1"/>
        <rFont val="Arial"/>
      </rPr>
      <t>2</t>
    </r>
  </si>
  <si>
    <t>Non Kiln</t>
  </si>
  <si>
    <t xml:space="preserve"> Finish Mill (#2 Oil)</t>
  </si>
  <si>
    <r>
      <rPr>
        <b/>
        <sz val="11"/>
        <color theme="1"/>
        <rFont val="Calibri"/>
      </rPr>
      <t>Total Facility CO</t>
    </r>
    <r>
      <rPr>
        <b/>
        <vertAlign val="subscript"/>
        <sz val="8"/>
        <color theme="1"/>
        <rFont val="Arial"/>
      </rPr>
      <t>2</t>
    </r>
    <r>
      <rPr>
        <b/>
        <sz val="8"/>
        <color theme="1"/>
        <rFont val="Arial"/>
      </rPr>
      <t>= Kiln System CO</t>
    </r>
    <r>
      <rPr>
        <b/>
        <vertAlign val="subscript"/>
        <sz val="8"/>
        <color theme="1"/>
        <rFont val="Arial"/>
      </rPr>
      <t>2</t>
    </r>
    <r>
      <rPr>
        <b/>
        <sz val="8"/>
        <color theme="1"/>
        <rFont val="Arial"/>
      </rPr>
      <t xml:space="preserve"> + Non-Kiln CO</t>
    </r>
    <r>
      <rPr>
        <b/>
        <vertAlign val="subscript"/>
        <sz val="8"/>
        <color theme="1"/>
        <rFont val="Arial"/>
      </rPr>
      <t>2</t>
    </r>
  </si>
  <si>
    <t>Emissions (short tons)</t>
  </si>
  <si>
    <t>Kiln Fossil Fuel Combustion (short tons)</t>
  </si>
  <si>
    <r>
      <rPr>
        <b/>
        <sz val="11"/>
        <color theme="1"/>
        <rFont val="Calibri"/>
      </rPr>
      <t>Kiln System Total CO</t>
    </r>
    <r>
      <rPr>
        <b/>
        <vertAlign val="subscript"/>
        <sz val="8"/>
        <color theme="1"/>
        <rFont val="Arial"/>
      </rPr>
      <t>2</t>
    </r>
    <r>
      <rPr>
        <b/>
        <sz val="8"/>
        <color theme="1"/>
        <rFont val="Arial"/>
      </rPr>
      <t xml:space="preserve"> (CEM Measured) (short tons)</t>
    </r>
  </si>
  <si>
    <r>
      <rPr>
        <b/>
        <sz val="11"/>
        <color theme="1"/>
        <rFont val="Calibri"/>
      </rPr>
      <t>Cement Production-Process CO</t>
    </r>
    <r>
      <rPr>
        <b/>
        <vertAlign val="subscript"/>
        <sz val="8"/>
        <color theme="1"/>
        <rFont val="Arial"/>
      </rPr>
      <t xml:space="preserve">2 </t>
    </r>
    <r>
      <rPr>
        <b/>
        <sz val="8"/>
        <color theme="1"/>
        <rFont val="Arial"/>
      </rPr>
      <t>(short tons)</t>
    </r>
    <r>
      <rPr>
        <b/>
        <vertAlign val="subscript"/>
        <sz val="8"/>
        <color theme="1"/>
        <rFont val="Arial"/>
      </rPr>
      <t xml:space="preserve">  </t>
    </r>
    <r>
      <rPr>
        <b/>
        <sz val="8"/>
        <color theme="1"/>
        <rFont val="Arial"/>
      </rPr>
      <t>= Kiln System Total CO</t>
    </r>
    <r>
      <rPr>
        <b/>
        <vertAlign val="subscript"/>
        <sz val="8"/>
        <color theme="1"/>
        <rFont val="Arial"/>
      </rPr>
      <t>2</t>
    </r>
    <r>
      <rPr>
        <b/>
        <sz val="8"/>
        <color theme="1"/>
        <rFont val="Arial"/>
      </rPr>
      <t xml:space="preserve"> - Kiln Fossil Fuel Combustion CO</t>
    </r>
    <r>
      <rPr>
        <b/>
        <vertAlign val="subscript"/>
        <sz val="8"/>
        <color theme="1"/>
        <rFont val="Arial"/>
      </rPr>
      <t>2</t>
    </r>
  </si>
  <si>
    <r>
      <rPr>
        <b/>
        <sz val="11"/>
        <color theme="1"/>
        <rFont val="Calibri"/>
      </rPr>
      <t>Total Facility CO</t>
    </r>
    <r>
      <rPr>
        <b/>
        <vertAlign val="subscript"/>
        <sz val="8"/>
        <color theme="1"/>
        <rFont val="Arial"/>
      </rPr>
      <t>2</t>
    </r>
    <r>
      <rPr>
        <b/>
        <sz val="8"/>
        <color theme="1"/>
        <rFont val="Arial"/>
      </rPr>
      <t xml:space="preserve"> (short tons)</t>
    </r>
    <r>
      <rPr>
        <b/>
        <vertAlign val="subscript"/>
        <sz val="8"/>
        <color theme="1"/>
        <rFont val="Arial"/>
      </rPr>
      <t xml:space="preserve"> </t>
    </r>
    <r>
      <rPr>
        <b/>
        <sz val="8"/>
        <color theme="1"/>
        <rFont val="Arial"/>
      </rPr>
      <t>= Kiln System CO</t>
    </r>
    <r>
      <rPr>
        <b/>
        <vertAlign val="subscript"/>
        <sz val="8"/>
        <color theme="1"/>
        <rFont val="Arial"/>
      </rPr>
      <t>2</t>
    </r>
    <r>
      <rPr>
        <b/>
        <sz val="8"/>
        <color theme="1"/>
        <rFont val="Arial"/>
      </rPr>
      <t xml:space="preserve"> + Non-Kiln CO</t>
    </r>
    <r>
      <rPr>
        <b/>
        <vertAlign val="subscript"/>
        <sz val="8"/>
        <color theme="1"/>
        <rFont val="Arial"/>
      </rPr>
      <t>2</t>
    </r>
  </si>
  <si>
    <t>(B)</t>
  </si>
  <si>
    <t>Holcim Kiln 2011</t>
  </si>
  <si>
    <r>
      <rPr>
        <b/>
        <sz val="11"/>
        <color theme="1"/>
        <rFont val="Calibri"/>
      </rPr>
      <t>CO</t>
    </r>
    <r>
      <rPr>
        <b/>
        <vertAlign val="subscript"/>
        <sz val="8"/>
        <color theme="1"/>
        <rFont val="Arial"/>
      </rPr>
      <t>2</t>
    </r>
    <r>
      <rPr>
        <b/>
        <sz val="8"/>
        <color theme="1"/>
        <rFont val="Arial"/>
      </rPr>
      <t xml:space="preserve"> Emissions (metric tons)</t>
    </r>
  </si>
  <si>
    <r>
      <rPr>
        <b/>
        <sz val="11"/>
        <color theme="1"/>
        <rFont val="Calibri"/>
      </rPr>
      <t>CH</t>
    </r>
    <r>
      <rPr>
        <b/>
        <vertAlign val="subscript"/>
        <sz val="8"/>
        <color theme="1"/>
        <rFont val="Arial"/>
      </rPr>
      <t>4</t>
    </r>
    <r>
      <rPr>
        <b/>
        <sz val="8"/>
        <color theme="1"/>
        <rFont val="Arial"/>
      </rPr>
      <t xml:space="preserve"> Emissions (metric tons CH</t>
    </r>
    <r>
      <rPr>
        <b/>
        <vertAlign val="subscript"/>
        <sz val="8"/>
        <color theme="1"/>
        <rFont val="Arial"/>
      </rPr>
      <t>4</t>
    </r>
    <r>
      <rPr>
        <b/>
        <sz val="8"/>
        <color theme="1"/>
        <rFont val="Arial"/>
      </rPr>
      <t>)</t>
    </r>
  </si>
  <si>
    <r>
      <rPr>
        <b/>
        <sz val="11"/>
        <color theme="1"/>
        <rFont val="Calibri"/>
      </rPr>
      <t>N</t>
    </r>
    <r>
      <rPr>
        <b/>
        <vertAlign val="subscript"/>
        <sz val="8"/>
        <color theme="1"/>
        <rFont val="Arial"/>
      </rPr>
      <t>2</t>
    </r>
    <r>
      <rPr>
        <b/>
        <sz val="8"/>
        <color theme="1"/>
        <rFont val="Arial"/>
      </rPr>
      <t>O  Emissions   (metric tons N</t>
    </r>
    <r>
      <rPr>
        <b/>
        <vertAlign val="subscript"/>
        <sz val="8"/>
        <color theme="1"/>
        <rFont val="Arial"/>
      </rPr>
      <t>2</t>
    </r>
    <r>
      <rPr>
        <b/>
        <sz val="8"/>
        <color theme="1"/>
        <rFont val="Arial"/>
      </rPr>
      <t>O)</t>
    </r>
  </si>
  <si>
    <t>Kiln System</t>
  </si>
  <si>
    <t>short  tons</t>
  </si>
  <si>
    <t xml:space="preserve"> - Tire</t>
  </si>
  <si>
    <r>
      <rPr>
        <b/>
        <sz val="11"/>
        <color theme="1"/>
        <rFont val="Calibri"/>
      </rPr>
      <t>Kiln Fossil Fuel Alone CO</t>
    </r>
    <r>
      <rPr>
        <b/>
        <vertAlign val="subscript"/>
        <sz val="8"/>
        <color theme="1"/>
        <rFont val="Arial"/>
      </rPr>
      <t>2</t>
    </r>
    <r>
      <rPr>
        <b/>
        <sz val="8"/>
        <color theme="1"/>
        <rFont val="Arial"/>
      </rPr>
      <t xml:space="preserve"> (Calculation)</t>
    </r>
  </si>
  <si>
    <t xml:space="preserve">Non Kiln </t>
  </si>
  <si>
    <t>Raw Meal - # 2 Oil</t>
  </si>
  <si>
    <r>
      <rPr>
        <b/>
        <sz val="11"/>
        <color theme="1"/>
        <rFont val="Calibri"/>
      </rPr>
      <t>Kiln System Total CO</t>
    </r>
    <r>
      <rPr>
        <b/>
        <vertAlign val="subscript"/>
        <sz val="8"/>
        <color theme="1"/>
        <rFont val="Arial"/>
      </rPr>
      <t>2</t>
    </r>
    <r>
      <rPr>
        <b/>
        <sz val="8"/>
        <color theme="1"/>
        <rFont val="Arial"/>
      </rPr>
      <t xml:space="preserve"> (CEM Measured).</t>
    </r>
  </si>
  <si>
    <r>
      <rPr>
        <b/>
        <sz val="11"/>
        <color theme="1"/>
        <rFont val="Calibri"/>
      </rPr>
      <t>Kiln Fossil Fuel Alone CO</t>
    </r>
    <r>
      <rPr>
        <b/>
        <vertAlign val="subscript"/>
        <sz val="8"/>
        <color theme="1"/>
        <rFont val="Arial"/>
      </rPr>
      <t>2</t>
    </r>
    <r>
      <rPr>
        <b/>
        <sz val="8"/>
        <color theme="1"/>
        <rFont val="Arial"/>
      </rPr>
      <t xml:space="preserve"> (Calculation)</t>
    </r>
  </si>
  <si>
    <r>
      <rPr>
        <b/>
        <sz val="11"/>
        <color theme="1"/>
        <rFont val="Calibri"/>
      </rPr>
      <t>Cement Process CO</t>
    </r>
    <r>
      <rPr>
        <b/>
        <vertAlign val="subscript"/>
        <sz val="8"/>
        <color theme="1"/>
        <rFont val="Arial"/>
      </rPr>
      <t xml:space="preserve">2 </t>
    </r>
    <r>
      <rPr>
        <b/>
        <sz val="8"/>
        <color theme="1"/>
        <rFont val="Arial"/>
      </rPr>
      <t>(metric tons)</t>
    </r>
    <r>
      <rPr>
        <b/>
        <vertAlign val="subscript"/>
        <sz val="8"/>
        <color theme="1"/>
        <rFont val="Arial"/>
      </rPr>
      <t xml:space="preserve"> </t>
    </r>
    <r>
      <rPr>
        <b/>
        <sz val="8"/>
        <color theme="1"/>
        <rFont val="Arial"/>
      </rPr>
      <t xml:space="preserve"> = (Total Kiln CO</t>
    </r>
    <r>
      <rPr>
        <b/>
        <vertAlign val="subscript"/>
        <sz val="8"/>
        <color theme="1"/>
        <rFont val="Arial"/>
      </rPr>
      <t>2</t>
    </r>
    <r>
      <rPr>
        <b/>
        <sz val="8"/>
        <color theme="1"/>
        <rFont val="Arial"/>
      </rPr>
      <t>)  - (Kiln Fossil Fuel Alone CO</t>
    </r>
    <r>
      <rPr>
        <b/>
        <vertAlign val="subscript"/>
        <sz val="8"/>
        <color theme="1"/>
        <rFont val="Arial"/>
      </rPr>
      <t>2</t>
    </r>
    <r>
      <rPr>
        <b/>
        <sz val="8"/>
        <color theme="1"/>
        <rFont val="Arial"/>
      </rPr>
      <t>)</t>
    </r>
  </si>
  <si>
    <r>
      <rPr>
        <b/>
        <sz val="11"/>
        <color theme="1"/>
        <rFont val="Calibri"/>
      </rPr>
      <t>Total Facility CO</t>
    </r>
    <r>
      <rPr>
        <b/>
        <vertAlign val="subscript"/>
        <sz val="8"/>
        <color theme="1"/>
        <rFont val="Arial"/>
      </rPr>
      <t>2</t>
    </r>
    <r>
      <rPr>
        <b/>
        <sz val="8"/>
        <color theme="1"/>
        <rFont val="Arial"/>
      </rPr>
      <t xml:space="preserve"> Emission = (Kiln System Total CO</t>
    </r>
    <r>
      <rPr>
        <b/>
        <vertAlign val="subscript"/>
        <sz val="8"/>
        <color theme="1"/>
        <rFont val="Arial"/>
      </rPr>
      <t>2</t>
    </r>
    <r>
      <rPr>
        <b/>
        <sz val="8"/>
        <color theme="1"/>
        <rFont val="Arial"/>
      </rPr>
      <t>) + (Non Kiln CO</t>
    </r>
    <r>
      <rPr>
        <b/>
        <vertAlign val="subscript"/>
        <sz val="8"/>
        <color theme="1"/>
        <rFont val="Arial"/>
      </rPr>
      <t>2</t>
    </r>
    <r>
      <rPr>
        <b/>
        <sz val="8"/>
        <color theme="1"/>
        <rFont val="Arial"/>
      </rPr>
      <t>)</t>
    </r>
  </si>
  <si>
    <r>
      <rPr>
        <b/>
        <sz val="11"/>
        <color theme="1"/>
        <rFont val="Calibri"/>
      </rPr>
      <t>Kiln System Total CO</t>
    </r>
    <r>
      <rPr>
        <b/>
        <vertAlign val="subscript"/>
        <sz val="8"/>
        <color theme="1"/>
        <rFont val="Arial"/>
      </rPr>
      <t>2</t>
    </r>
    <r>
      <rPr>
        <b/>
        <sz val="8"/>
        <color theme="1"/>
        <rFont val="Arial"/>
      </rPr>
      <t xml:space="preserve"> (CEM Measured) (short tons)</t>
    </r>
  </si>
  <si>
    <r>
      <rPr>
        <b/>
        <sz val="11"/>
        <color theme="1"/>
        <rFont val="Calibri"/>
      </rPr>
      <t>Kiln Fossil Fuel Alone CO</t>
    </r>
    <r>
      <rPr>
        <b/>
        <vertAlign val="subscript"/>
        <sz val="8"/>
        <color theme="1"/>
        <rFont val="Arial"/>
      </rPr>
      <t>2</t>
    </r>
    <r>
      <rPr>
        <b/>
        <sz val="8"/>
        <color theme="1"/>
        <rFont val="Arial"/>
      </rPr>
      <t xml:space="preserve"> (Calculated) (short tons)</t>
    </r>
  </si>
  <si>
    <r>
      <rPr>
        <b/>
        <sz val="11"/>
        <color theme="1"/>
        <rFont val="Calibri"/>
      </rPr>
      <t>Cement Process CO</t>
    </r>
    <r>
      <rPr>
        <b/>
        <vertAlign val="subscript"/>
        <sz val="8"/>
        <color theme="1"/>
        <rFont val="Arial"/>
      </rPr>
      <t>2</t>
    </r>
    <r>
      <rPr>
        <b/>
        <sz val="8"/>
        <color theme="1"/>
        <rFont val="Arial"/>
      </rPr>
      <t xml:space="preserve"> (short tons) = (Total Kiln CO</t>
    </r>
    <r>
      <rPr>
        <b/>
        <vertAlign val="subscript"/>
        <sz val="8"/>
        <color theme="1"/>
        <rFont val="Arial"/>
      </rPr>
      <t>2</t>
    </r>
    <r>
      <rPr>
        <b/>
        <sz val="8"/>
        <color theme="1"/>
        <rFont val="Arial"/>
      </rPr>
      <t>)  - (Kiln Fossil Fuel Alone CO</t>
    </r>
    <r>
      <rPr>
        <b/>
        <vertAlign val="subscript"/>
        <sz val="8"/>
        <color theme="1"/>
        <rFont val="Arial"/>
      </rPr>
      <t>2</t>
    </r>
    <r>
      <rPr>
        <b/>
        <sz val="8"/>
        <color theme="1"/>
        <rFont val="Arial"/>
      </rPr>
      <t>)</t>
    </r>
  </si>
  <si>
    <r>
      <rPr>
        <b/>
        <sz val="11"/>
        <color theme="1"/>
        <rFont val="Calibri"/>
      </rPr>
      <t>Total Facility CO</t>
    </r>
    <r>
      <rPr>
        <b/>
        <vertAlign val="subscript"/>
        <sz val="8"/>
        <color theme="1"/>
        <rFont val="Arial"/>
      </rPr>
      <t>2</t>
    </r>
    <r>
      <rPr>
        <b/>
        <sz val="8"/>
        <color theme="1"/>
        <rFont val="Arial"/>
      </rPr>
      <t xml:space="preserve"> Emission(short tons) = (Kiln System Total CO</t>
    </r>
    <r>
      <rPr>
        <b/>
        <vertAlign val="subscript"/>
        <sz val="8"/>
        <color theme="1"/>
        <rFont val="Arial"/>
      </rPr>
      <t>2</t>
    </r>
    <r>
      <rPr>
        <b/>
        <sz val="8"/>
        <color theme="1"/>
        <rFont val="Arial"/>
      </rPr>
      <t>) + (Non Kiln CO</t>
    </r>
    <r>
      <rPr>
        <b/>
        <vertAlign val="subscript"/>
        <sz val="8"/>
        <color theme="1"/>
        <rFont val="Arial"/>
      </rPr>
      <t>2</t>
    </r>
    <r>
      <rPr>
        <b/>
        <sz val="8"/>
        <color theme="1"/>
        <rFont val="Arial"/>
      </rPr>
      <t>)</t>
    </r>
  </si>
  <si>
    <t>(A) +(B)</t>
  </si>
  <si>
    <r>
      <rPr>
        <b/>
        <sz val="11"/>
        <color theme="1"/>
        <rFont val="Calibri"/>
      </rPr>
      <t>MD Summmary Cement Process CO</t>
    </r>
    <r>
      <rPr>
        <b/>
        <vertAlign val="subscript"/>
        <sz val="8"/>
        <color theme="1"/>
        <rFont val="Arial"/>
      </rPr>
      <t>2</t>
    </r>
    <r>
      <rPr>
        <b/>
        <sz val="8"/>
        <color theme="1"/>
        <rFont val="Arial"/>
      </rPr>
      <t xml:space="preserve"> Emissions (short tons) </t>
    </r>
  </si>
  <si>
    <r>
      <rPr>
        <b/>
        <sz val="11"/>
        <color theme="1"/>
        <rFont val="Calibri"/>
      </rPr>
      <t>MD Summmary Cement Process CO</t>
    </r>
    <r>
      <rPr>
        <b/>
        <vertAlign val="subscript"/>
        <sz val="8"/>
        <color theme="1"/>
        <rFont val="Arial"/>
      </rPr>
      <t>2</t>
    </r>
    <r>
      <rPr>
        <b/>
        <sz val="8"/>
        <color theme="1"/>
        <rFont val="Arial"/>
      </rPr>
      <t xml:space="preserve"> Emissions (metric tons) </t>
    </r>
  </si>
  <si>
    <r>
      <rPr>
        <b/>
        <sz val="11"/>
        <color theme="1"/>
        <rFont val="Calibri"/>
      </rPr>
      <t>MD Summmary Cement Process CO</t>
    </r>
    <r>
      <rPr>
        <b/>
        <vertAlign val="subscript"/>
        <sz val="8"/>
        <color theme="1"/>
        <rFont val="Arial"/>
      </rPr>
      <t>2</t>
    </r>
    <r>
      <rPr>
        <b/>
        <sz val="8"/>
        <color theme="1"/>
        <rFont val="Arial"/>
      </rPr>
      <t xml:space="preserve"> Emissions (MMTCO</t>
    </r>
    <r>
      <rPr>
        <b/>
        <vertAlign val="subscript"/>
        <sz val="8"/>
        <color theme="1"/>
        <rFont val="Arial"/>
      </rPr>
      <t>2</t>
    </r>
    <r>
      <rPr>
        <b/>
        <sz val="8"/>
        <color theme="1"/>
        <rFont val="Arial"/>
      </rPr>
      <t xml:space="preserve">E) </t>
    </r>
  </si>
  <si>
    <t>Production &amp; Consumption</t>
  </si>
  <si>
    <t>Subract emissions</t>
  </si>
  <si>
    <t>(Metric Tons)</t>
  </si>
  <si>
    <r>
      <rPr>
        <b/>
        <sz val="11"/>
        <color theme="1"/>
        <rFont val="Calibri"/>
      </rPr>
      <t>(mt CO</t>
    </r>
    <r>
      <rPr>
        <b/>
        <vertAlign val="subscript"/>
        <sz val="10"/>
        <color theme="1"/>
        <rFont val="Times New Roman"/>
      </rPr>
      <t>2</t>
    </r>
    <r>
      <rPr>
        <b/>
        <sz val="10"/>
        <color theme="1"/>
        <rFont val="Times New Roman"/>
      </rPr>
      <t>/mt activity)</t>
    </r>
  </si>
  <si>
    <t xml:space="preserve"> from Urea</t>
  </si>
  <si>
    <r>
      <rPr>
        <b/>
        <sz val="11"/>
        <color theme="1"/>
        <rFont val="Calibri"/>
      </rPr>
      <t>(MTCO</t>
    </r>
    <r>
      <rPr>
        <b/>
        <vertAlign val="subscript"/>
        <sz val="10"/>
        <color theme="1"/>
        <rFont val="Calibri"/>
      </rPr>
      <t>2</t>
    </r>
    <r>
      <rPr>
        <b/>
        <sz val="10"/>
        <color theme="1"/>
        <rFont val="Calibri"/>
      </rPr>
      <t>E)</t>
    </r>
  </si>
  <si>
    <r>
      <rPr>
        <b/>
        <sz val="11"/>
        <color theme="1"/>
        <rFont val="Calibri"/>
      </rPr>
      <t>(MMTCO</t>
    </r>
    <r>
      <rPr>
        <b/>
        <vertAlign val="subscript"/>
        <sz val="10"/>
        <color theme="1"/>
        <rFont val="Calibri"/>
      </rPr>
      <t>2</t>
    </r>
    <r>
      <rPr>
        <b/>
        <sz val="10"/>
        <color theme="1"/>
        <rFont val="Calibri"/>
      </rPr>
      <t>E)</t>
    </r>
  </si>
  <si>
    <t>Iron &amp; Steel Industry Production Emissions</t>
  </si>
  <si>
    <r>
      <rPr>
        <b/>
        <sz val="11"/>
        <color theme="1"/>
        <rFont val="Calibri"/>
      </rPr>
      <t>CO</t>
    </r>
    <r>
      <rPr>
        <b/>
        <vertAlign val="subscript"/>
        <sz val="10"/>
        <color theme="1"/>
        <rFont val="Arial"/>
      </rPr>
      <t>2</t>
    </r>
    <r>
      <rPr>
        <b/>
        <sz val="10"/>
        <color theme="1"/>
        <rFont val="Arial"/>
      </rPr>
      <t xml:space="preserve"> Emissions (metric tons)</t>
    </r>
  </si>
  <si>
    <r>
      <rPr>
        <b/>
        <sz val="11"/>
        <color theme="1"/>
        <rFont val="Calibri"/>
      </rPr>
      <t>CO</t>
    </r>
    <r>
      <rPr>
        <b/>
        <vertAlign val="subscript"/>
        <sz val="10"/>
        <color theme="1"/>
        <rFont val="Arial"/>
      </rPr>
      <t>2</t>
    </r>
    <r>
      <rPr>
        <b/>
        <sz val="10"/>
        <color theme="1"/>
        <rFont val="Arial"/>
      </rPr>
      <t xml:space="preserve"> Emissions (short tons)</t>
    </r>
  </si>
  <si>
    <r>
      <rPr>
        <sz val="11"/>
        <color theme="1"/>
        <rFont val="Calibri"/>
      </rPr>
      <t>CO</t>
    </r>
    <r>
      <rPr>
        <vertAlign val="subscript"/>
        <sz val="10"/>
        <color theme="1"/>
        <rFont val="Arial"/>
      </rPr>
      <t>2</t>
    </r>
  </si>
  <si>
    <t>Bleeders</t>
  </si>
  <si>
    <r>
      <rPr>
        <sz val="11"/>
        <color theme="1"/>
        <rFont val="Calibri"/>
      </rPr>
      <t>CH</t>
    </r>
    <r>
      <rPr>
        <vertAlign val="subscript"/>
        <sz val="10"/>
        <color theme="1"/>
        <rFont val="Arial"/>
      </rPr>
      <t>4</t>
    </r>
  </si>
  <si>
    <r>
      <rPr>
        <sz val="11"/>
        <color theme="1"/>
        <rFont val="Calibri"/>
      </rPr>
      <t>N</t>
    </r>
    <r>
      <rPr>
        <vertAlign val="subscript"/>
        <sz val="10"/>
        <color theme="1"/>
        <rFont val="Arial"/>
      </rPr>
      <t>2</t>
    </r>
    <r>
      <rPr>
        <sz val="8"/>
        <color theme="1"/>
        <rFont val="Arial"/>
      </rPr>
      <t>O</t>
    </r>
  </si>
  <si>
    <r>
      <rPr>
        <sz val="11"/>
        <color theme="1"/>
        <rFont val="Calibri"/>
      </rPr>
      <t>CO</t>
    </r>
    <r>
      <rPr>
        <vertAlign val="subscript"/>
        <sz val="10"/>
        <color theme="1"/>
        <rFont val="Arial"/>
      </rPr>
      <t>2</t>
    </r>
  </si>
  <si>
    <t>L Blast Furnace</t>
  </si>
  <si>
    <r>
      <rPr>
        <sz val="11"/>
        <color theme="1"/>
        <rFont val="Calibri"/>
      </rPr>
      <t>CH</t>
    </r>
    <r>
      <rPr>
        <vertAlign val="subscript"/>
        <sz val="10"/>
        <color theme="1"/>
        <rFont val="Arial"/>
      </rPr>
      <t>4</t>
    </r>
  </si>
  <si>
    <r>
      <rPr>
        <sz val="11"/>
        <color theme="1"/>
        <rFont val="Calibri"/>
      </rPr>
      <t>N</t>
    </r>
    <r>
      <rPr>
        <vertAlign val="subscript"/>
        <sz val="10"/>
        <color theme="1"/>
        <rFont val="Arial"/>
      </rPr>
      <t>2</t>
    </r>
    <r>
      <rPr>
        <sz val="8"/>
        <color theme="1"/>
        <rFont val="Arial"/>
      </rPr>
      <t>O</t>
    </r>
  </si>
  <si>
    <t>Sinter Plant</t>
  </si>
  <si>
    <r>
      <rPr>
        <sz val="11"/>
        <color theme="1"/>
        <rFont val="Calibri"/>
      </rPr>
      <t>CO</t>
    </r>
    <r>
      <rPr>
        <vertAlign val="subscript"/>
        <sz val="10"/>
        <color theme="1"/>
        <rFont val="Arial"/>
      </rPr>
      <t>2</t>
    </r>
  </si>
  <si>
    <t>BOF</t>
  </si>
  <si>
    <r>
      <rPr>
        <sz val="11"/>
        <color theme="1"/>
        <rFont val="Calibri"/>
      </rPr>
      <t>CO</t>
    </r>
    <r>
      <rPr>
        <vertAlign val="subscript"/>
        <sz val="10"/>
        <color theme="1"/>
        <rFont val="Arial"/>
      </rPr>
      <t>2</t>
    </r>
  </si>
  <si>
    <r>
      <rPr>
        <sz val="11"/>
        <color theme="1"/>
        <rFont val="Calibri"/>
      </rPr>
      <t>CO</t>
    </r>
    <r>
      <rPr>
        <vertAlign val="subscript"/>
        <sz val="10"/>
        <color theme="1"/>
        <rFont val="Arial"/>
      </rPr>
      <t>2</t>
    </r>
  </si>
  <si>
    <r>
      <rPr>
        <sz val="11"/>
        <color theme="1"/>
        <rFont val="Calibri"/>
      </rPr>
      <t>CH</t>
    </r>
    <r>
      <rPr>
        <vertAlign val="subscript"/>
        <sz val="10"/>
        <color theme="1"/>
        <rFont val="Arial"/>
      </rPr>
      <t>4</t>
    </r>
  </si>
  <si>
    <r>
      <rPr>
        <sz val="11"/>
        <color theme="1"/>
        <rFont val="Calibri"/>
      </rPr>
      <t>N</t>
    </r>
    <r>
      <rPr>
        <vertAlign val="subscript"/>
        <sz val="10"/>
        <color theme="1"/>
        <rFont val="Arial"/>
      </rPr>
      <t>2</t>
    </r>
    <r>
      <rPr>
        <sz val="8"/>
        <color theme="1"/>
        <rFont val="Arial"/>
      </rPr>
      <t>O</t>
    </r>
  </si>
  <si>
    <t>Landfill Emissions</t>
  </si>
  <si>
    <t>Uncontrolled Landfills</t>
  </si>
  <si>
    <t>Flared Landfills</t>
  </si>
  <si>
    <t>LFTGE Landfills</t>
  </si>
  <si>
    <t>County</t>
  </si>
  <si>
    <t>Facility Name</t>
  </si>
  <si>
    <t>TOTAL Landfill Capacity (Million tons)</t>
  </si>
  <si>
    <t>Correct Capacity (MegaGrams)</t>
  </si>
  <si>
    <t>Average Acceptance / Yearly Disposal (tons/yr)</t>
  </si>
  <si>
    <t>Average Acceptance / Yearly Disposal ( Mg/yr)</t>
  </si>
  <si>
    <t>Year Opened</t>
  </si>
  <si>
    <t>Year Closed</t>
  </si>
  <si>
    <r>
      <rPr>
        <b/>
        <sz val="11"/>
        <color theme="1"/>
        <rFont val="Calibri"/>
      </rPr>
      <t>CO</t>
    </r>
    <r>
      <rPr>
        <b/>
        <vertAlign val="subscript"/>
        <sz val="11"/>
        <color theme="1"/>
        <rFont val="Calibri"/>
      </rPr>
      <t>2</t>
    </r>
    <r>
      <rPr>
        <b/>
        <sz val="11"/>
        <color theme="1"/>
        <rFont val="Calibri"/>
      </rPr>
      <t xml:space="preserve"> Generation (short tons) LandGEM 3.0</t>
    </r>
  </si>
  <si>
    <r>
      <rPr>
        <b/>
        <sz val="11"/>
        <color theme="1"/>
        <rFont val="Calibri"/>
      </rPr>
      <t>CH</t>
    </r>
    <r>
      <rPr>
        <b/>
        <vertAlign val="subscript"/>
        <sz val="11"/>
        <color theme="1"/>
        <rFont val="Calibri"/>
      </rPr>
      <t>4</t>
    </r>
    <r>
      <rPr>
        <b/>
        <sz val="11"/>
        <color theme="1"/>
        <rFont val="Calibri"/>
      </rPr>
      <t xml:space="preserve"> Generation (short tons/yr) LandGEM 3.0</t>
    </r>
  </si>
  <si>
    <r>
      <rPr>
        <b/>
        <sz val="11"/>
        <color theme="1"/>
        <rFont val="Calibri"/>
      </rPr>
      <t xml:space="preserve"> CH</t>
    </r>
    <r>
      <rPr>
        <b/>
        <vertAlign val="subscript"/>
        <sz val="11"/>
        <color theme="1"/>
        <rFont val="Calibri"/>
      </rPr>
      <t>4</t>
    </r>
    <r>
      <rPr>
        <b/>
        <sz val="11"/>
        <color theme="1"/>
        <rFont val="Calibri"/>
      </rPr>
      <t xml:space="preserve"> Collection Efficiency (%)</t>
    </r>
  </si>
  <si>
    <r>
      <rPr>
        <b/>
        <sz val="11"/>
        <color theme="1"/>
        <rFont val="Calibri"/>
      </rPr>
      <t>CH</t>
    </r>
    <r>
      <rPr>
        <vertAlign val="subscript"/>
        <sz val="11"/>
        <color theme="1"/>
        <rFont val="Calibri"/>
      </rPr>
      <t>4</t>
    </r>
    <r>
      <rPr>
        <b/>
        <sz val="11"/>
        <color theme="1"/>
        <rFont val="Calibri"/>
      </rPr>
      <t xml:space="preserve"> Collected (tons)</t>
    </r>
  </si>
  <si>
    <t>Flare Control Efficeincy (%)</t>
  </si>
  <si>
    <r>
      <rPr>
        <b/>
        <sz val="11"/>
        <color theme="1"/>
        <rFont val="Calibri"/>
      </rPr>
      <t>Amount of CH</t>
    </r>
    <r>
      <rPr>
        <b/>
        <vertAlign val="subscript"/>
        <sz val="11"/>
        <color theme="1"/>
        <rFont val="Calibri"/>
      </rPr>
      <t>4</t>
    </r>
    <r>
      <rPr>
        <b/>
        <sz val="11"/>
        <color theme="1"/>
        <rFont val="Calibri"/>
      </rPr>
      <t xml:space="preserve"> Flared ,tons</t>
    </r>
  </si>
  <si>
    <r>
      <rPr>
        <b/>
        <sz val="11"/>
        <color theme="1"/>
        <rFont val="Calibri"/>
      </rPr>
      <t>CO</t>
    </r>
    <r>
      <rPr>
        <b/>
        <vertAlign val="subscript"/>
        <sz val="11"/>
        <color theme="1"/>
        <rFont val="Calibri"/>
      </rPr>
      <t>2</t>
    </r>
    <r>
      <rPr>
        <b/>
        <sz val="11"/>
        <color theme="1"/>
        <rFont val="Calibri"/>
      </rPr>
      <t xml:space="preserve"> Generated from CH4 Combustion, tons</t>
    </r>
  </si>
  <si>
    <r>
      <rPr>
        <b/>
        <sz val="11"/>
        <color theme="1"/>
        <rFont val="Calibri"/>
      </rPr>
      <t>Uncombusted CH</t>
    </r>
    <r>
      <rPr>
        <b/>
        <vertAlign val="subscript"/>
        <sz val="11"/>
        <color theme="1"/>
        <rFont val="Calibri"/>
      </rPr>
      <t xml:space="preserve">4 </t>
    </r>
    <r>
      <rPr>
        <b/>
        <sz val="11"/>
        <color theme="1"/>
        <rFont val="Calibri"/>
      </rPr>
      <t xml:space="preserve"> (Flare Emission, tons)  </t>
    </r>
  </si>
  <si>
    <r>
      <rPr>
        <b/>
        <sz val="11"/>
        <color theme="1"/>
        <rFont val="Calibri"/>
      </rPr>
      <t>Uncollected Landfill  CH</t>
    </r>
    <r>
      <rPr>
        <b/>
        <vertAlign val="subscript"/>
        <sz val="11"/>
        <color theme="1"/>
        <rFont val="Calibri"/>
      </rPr>
      <t>4</t>
    </r>
  </si>
  <si>
    <t>Surface Oxidation %</t>
  </si>
  <si>
    <r>
      <rPr>
        <b/>
        <sz val="11"/>
        <color theme="1"/>
        <rFont val="Calibri"/>
      </rPr>
      <t>CH</t>
    </r>
    <r>
      <rPr>
        <b/>
        <vertAlign val="subscript"/>
        <sz val="11"/>
        <color theme="1"/>
        <rFont val="Calibri"/>
      </rPr>
      <t>4</t>
    </r>
    <r>
      <rPr>
        <b/>
        <sz val="11"/>
        <color theme="1"/>
        <rFont val="Calibri"/>
      </rPr>
      <t xml:space="preserve">  Removed By Surface Oxidation (tons)</t>
    </r>
  </si>
  <si>
    <r>
      <rPr>
        <b/>
        <sz val="11"/>
        <color theme="1"/>
        <rFont val="Calibri"/>
      </rPr>
      <t>Fugitive Landfill CH</t>
    </r>
    <r>
      <rPr>
        <b/>
        <vertAlign val="subscript"/>
        <sz val="11"/>
        <color theme="1"/>
        <rFont val="Calibri"/>
      </rPr>
      <t>4</t>
    </r>
    <r>
      <rPr>
        <b/>
        <sz val="11"/>
        <color theme="1"/>
        <rFont val="Calibri"/>
      </rPr>
      <t xml:space="preserve"> Emission (tons)</t>
    </r>
  </si>
  <si>
    <t>Total CH4 Emissions (tons)</t>
  </si>
  <si>
    <t>Tolat GHG Emissions (tons)</t>
  </si>
  <si>
    <t>Allegany</t>
  </si>
  <si>
    <t>Mountainview Municipal Landfill</t>
  </si>
  <si>
    <t>Vale Summit</t>
  </si>
  <si>
    <t>Anne Arundel</t>
  </si>
  <si>
    <t>Annapolis</t>
  </si>
  <si>
    <t>Fort G. Meade Municipal Landfill</t>
  </si>
  <si>
    <t>Millersville Municipal Landfill</t>
  </si>
  <si>
    <t>Sudley Road</t>
  </si>
  <si>
    <t>Solley Road</t>
  </si>
  <si>
    <t>Glen Burnie</t>
  </si>
  <si>
    <t>Baltimore City</t>
  </si>
  <si>
    <t>Quarantine Road Municipal Landfill</t>
  </si>
  <si>
    <t>Baltimore County</t>
  </si>
  <si>
    <t>Eastern Municipal Landfill</t>
  </si>
  <si>
    <t>Norris Farm</t>
  </si>
  <si>
    <t>Calvert</t>
  </si>
  <si>
    <t>Appeal Municipal Landfill</t>
  </si>
  <si>
    <t>Barstow</t>
  </si>
  <si>
    <t>Carroll</t>
  </si>
  <si>
    <t>Hoods Mill</t>
  </si>
  <si>
    <t>Northern Municpal Landfill</t>
  </si>
  <si>
    <t>Caroline</t>
  </si>
  <si>
    <t>Midshore I Regional Landfill</t>
  </si>
  <si>
    <t>Cecil</t>
  </si>
  <si>
    <t>Cecil County Central Landfill - Hog Hill</t>
  </si>
  <si>
    <t>Charles</t>
  </si>
  <si>
    <t>Charles County Municipal LF #2</t>
  </si>
  <si>
    <t>Pisgah</t>
  </si>
  <si>
    <t xml:space="preserve">Dorchester </t>
  </si>
  <si>
    <t>Beulah HE #1</t>
  </si>
  <si>
    <t>Beulah HE #2</t>
  </si>
  <si>
    <t>Frederick</t>
  </si>
  <si>
    <t>Fort Detrick Municipal Landfill</t>
  </si>
  <si>
    <t>Reich's Ford A &amp; B  Municpal Landfill</t>
  </si>
  <si>
    <t>Reich's Ford Site B-Cell 3 Municpal Landfill</t>
  </si>
  <si>
    <t>Garrett</t>
  </si>
  <si>
    <t>Garrett County SWD&amp;RF  or  Del Signiore</t>
  </si>
  <si>
    <t>Round Glade</t>
  </si>
  <si>
    <t>Harford</t>
  </si>
  <si>
    <t>Harford W.D. Center Municipal Landfill</t>
  </si>
  <si>
    <t>Howard</t>
  </si>
  <si>
    <t>Alpha Ridge</t>
  </si>
  <si>
    <t>Kent</t>
  </si>
  <si>
    <t>Nicholson</t>
  </si>
  <si>
    <t>Montgomery</t>
  </si>
  <si>
    <t>Gude Landfill</t>
  </si>
  <si>
    <t>Oaks Landfill</t>
  </si>
  <si>
    <t>Prince Georges</t>
  </si>
  <si>
    <t>Brown Station Landfill A</t>
  </si>
  <si>
    <t>Brown Station Landfill B</t>
  </si>
  <si>
    <t>CDP/Sandy Hill</t>
  </si>
  <si>
    <t>Saint Andrews 1 &amp; 2 Municipal LF</t>
  </si>
  <si>
    <t>Somerset</t>
  </si>
  <si>
    <t>Somerset County Municipal LF or Fairmount Rd</t>
  </si>
  <si>
    <t>Westover/Ring</t>
  </si>
  <si>
    <t>Talbot</t>
  </si>
  <si>
    <t>Midshore II Regional Municipal LF</t>
  </si>
  <si>
    <t>Washington</t>
  </si>
  <si>
    <t>Hancock Landfill</t>
  </si>
  <si>
    <t>Resh Road 1 &amp; 2 Municipal LF</t>
  </si>
  <si>
    <t>Forty West</t>
  </si>
  <si>
    <t>Wicomico</t>
  </si>
  <si>
    <t>Newland Park Municipal LF - Wicomico County Landfill</t>
  </si>
  <si>
    <t>Worcester</t>
  </si>
  <si>
    <t>Central Municipal LF- Worcester County Sanitary Landfill</t>
  </si>
  <si>
    <t>Worcester County Sanitary Landfill Cells 2 &amp; 3</t>
  </si>
  <si>
    <r>
      <rPr>
        <b/>
        <sz val="11"/>
        <color theme="1"/>
        <rFont val="Calibri"/>
      </rPr>
      <t>MSW CH</t>
    </r>
    <r>
      <rPr>
        <b/>
        <vertAlign val="subscript"/>
        <sz val="10"/>
        <color theme="1"/>
        <rFont val="Arial"/>
      </rPr>
      <t>4</t>
    </r>
    <r>
      <rPr>
        <b/>
        <sz val="10"/>
        <color theme="1"/>
        <rFont val="Arial"/>
      </rPr>
      <t xml:space="preserve"> Generation (short ton CH</t>
    </r>
    <r>
      <rPr>
        <b/>
        <vertAlign val="subscript"/>
        <sz val="10"/>
        <color theme="1"/>
        <rFont val="Arial"/>
      </rPr>
      <t>4</t>
    </r>
    <r>
      <rPr>
        <b/>
        <sz val="10"/>
        <color theme="1"/>
        <rFont val="Arial"/>
      </rPr>
      <t>)</t>
    </r>
  </si>
  <si>
    <r>
      <rPr>
        <b/>
        <sz val="11"/>
        <color theme="1"/>
        <rFont val="Calibri"/>
      </rPr>
      <t>Flared CH</t>
    </r>
    <r>
      <rPr>
        <b/>
        <vertAlign val="subscript"/>
        <sz val="10"/>
        <color theme="1"/>
        <rFont val="Arial"/>
      </rPr>
      <t>4</t>
    </r>
    <r>
      <rPr>
        <b/>
        <sz val="8"/>
        <color theme="1"/>
        <rFont val="Arial"/>
      </rPr>
      <t xml:space="preserve"> (short tons)</t>
    </r>
  </si>
  <si>
    <t>Landfill Gas-to-Energy (tons)</t>
  </si>
  <si>
    <r>
      <rPr>
        <sz val="11"/>
        <color theme="1"/>
        <rFont val="Calibri"/>
      </rPr>
      <t>CH</t>
    </r>
    <r>
      <rPr>
        <vertAlign val="subscript"/>
        <sz val="10"/>
        <color theme="1"/>
        <rFont val="Arial"/>
      </rPr>
      <t>4</t>
    </r>
    <r>
      <rPr>
        <sz val="10"/>
        <color theme="1"/>
        <rFont val="Arial"/>
      </rPr>
      <t xml:space="preserve"> GWP</t>
    </r>
  </si>
  <si>
    <r>
      <rPr>
        <sz val="11"/>
        <color theme="1"/>
        <rFont val="Calibri"/>
      </rPr>
      <t>CH</t>
    </r>
    <r>
      <rPr>
        <vertAlign val="subscript"/>
        <sz val="10"/>
        <color theme="1"/>
        <rFont val="Arial"/>
      </rPr>
      <t>4</t>
    </r>
    <r>
      <rPr>
        <sz val="10"/>
        <color theme="1"/>
        <rFont val="Arial"/>
      </rPr>
      <t xml:space="preserve"> GWP</t>
    </r>
  </si>
  <si>
    <r>
      <rPr>
        <sz val="11"/>
        <color theme="1"/>
        <rFont val="Calibri"/>
      </rPr>
      <t>CH</t>
    </r>
    <r>
      <rPr>
        <vertAlign val="subscript"/>
        <sz val="10"/>
        <color theme="1"/>
        <rFont val="Arial"/>
      </rPr>
      <t>4</t>
    </r>
    <r>
      <rPr>
        <sz val="10"/>
        <color theme="1"/>
        <rFont val="Arial"/>
      </rPr>
      <t xml:space="preserve"> GWP</t>
    </r>
  </si>
  <si>
    <r>
      <rPr>
        <b/>
        <sz val="11"/>
        <color theme="1"/>
        <rFont val="Calibri"/>
      </rPr>
      <t>MSW Generation (MTCO</t>
    </r>
    <r>
      <rPr>
        <b/>
        <vertAlign val="subscript"/>
        <sz val="10"/>
        <color theme="1"/>
        <rFont val="Arial"/>
      </rPr>
      <t>2</t>
    </r>
    <r>
      <rPr>
        <b/>
        <sz val="10"/>
        <color theme="1"/>
        <rFont val="Arial"/>
      </rPr>
      <t>E)</t>
    </r>
  </si>
  <si>
    <r>
      <rPr>
        <b/>
        <sz val="11"/>
        <color theme="1"/>
        <rFont val="Calibri"/>
      </rPr>
      <t>Flared CH</t>
    </r>
    <r>
      <rPr>
        <b/>
        <vertAlign val="subscript"/>
        <sz val="10"/>
        <color theme="1"/>
        <rFont val="Arial"/>
      </rPr>
      <t>4</t>
    </r>
    <r>
      <rPr>
        <b/>
        <sz val="10"/>
        <color theme="1"/>
        <rFont val="Arial"/>
      </rPr>
      <t xml:space="preserve"> (MTCO</t>
    </r>
    <r>
      <rPr>
        <b/>
        <vertAlign val="subscript"/>
        <sz val="10"/>
        <color theme="1"/>
        <rFont val="Arial"/>
      </rPr>
      <t>2</t>
    </r>
    <r>
      <rPr>
        <b/>
        <sz val="10"/>
        <color theme="1"/>
        <rFont val="Arial"/>
      </rPr>
      <t>E)</t>
    </r>
  </si>
  <si>
    <r>
      <rPr>
        <b/>
        <sz val="11"/>
        <color theme="1"/>
        <rFont val="Calibri"/>
      </rPr>
      <t>Landfill Gas-to-Energy (MTCO</t>
    </r>
    <r>
      <rPr>
        <b/>
        <vertAlign val="subscript"/>
        <sz val="10"/>
        <color theme="1"/>
        <rFont val="Arial"/>
      </rPr>
      <t>2</t>
    </r>
    <r>
      <rPr>
        <b/>
        <sz val="10"/>
        <color theme="1"/>
        <rFont val="Arial"/>
      </rPr>
      <t>E)</t>
    </r>
  </si>
  <si>
    <r>
      <rPr>
        <b/>
        <sz val="11"/>
        <color theme="1"/>
        <rFont val="Calibri"/>
      </rPr>
      <t>Industrial  Generation (MTCO</t>
    </r>
    <r>
      <rPr>
        <b/>
        <vertAlign val="subscript"/>
        <sz val="10"/>
        <color theme="1"/>
        <rFont val="Arial"/>
      </rPr>
      <t>2</t>
    </r>
    <r>
      <rPr>
        <b/>
        <sz val="10"/>
        <color theme="1"/>
        <rFont val="Arial"/>
      </rPr>
      <t>E)</t>
    </r>
  </si>
  <si>
    <r>
      <rPr>
        <b/>
        <sz val="11"/>
        <color theme="1"/>
        <rFont val="Calibri"/>
      </rPr>
      <t>Landfill Gas-to-Energy (MTC</t>
    </r>
    <r>
      <rPr>
        <b/>
        <sz val="10"/>
        <color theme="1"/>
        <rFont val="Arial"/>
      </rPr>
      <t>E)</t>
    </r>
  </si>
  <si>
    <r>
      <rPr>
        <b/>
        <sz val="11"/>
        <color theme="1"/>
        <rFont val="Calibri"/>
      </rPr>
      <t>Potential CH</t>
    </r>
    <r>
      <rPr>
        <b/>
        <vertAlign val="subscript"/>
        <sz val="10"/>
        <color theme="1"/>
        <rFont val="Arial"/>
      </rPr>
      <t xml:space="preserve">4 </t>
    </r>
    <r>
      <rPr>
        <b/>
        <sz val="10"/>
        <color theme="1"/>
        <rFont val="Arial"/>
      </rPr>
      <t>(MTCO</t>
    </r>
    <r>
      <rPr>
        <b/>
        <vertAlign val="subscript"/>
        <sz val="10"/>
        <color theme="1"/>
        <rFont val="Arial"/>
      </rPr>
      <t>2</t>
    </r>
    <r>
      <rPr>
        <b/>
        <sz val="10"/>
        <color theme="1"/>
        <rFont val="Arial"/>
      </rPr>
      <t>E)</t>
    </r>
  </si>
  <si>
    <r>
      <rPr>
        <b/>
        <sz val="11"/>
        <color theme="1"/>
        <rFont val="Calibri"/>
      </rPr>
      <t>CH</t>
    </r>
    <r>
      <rPr>
        <b/>
        <vertAlign val="subscript"/>
        <sz val="10"/>
        <color theme="1"/>
        <rFont val="Arial"/>
      </rPr>
      <t>4</t>
    </r>
    <r>
      <rPr>
        <b/>
        <sz val="10"/>
        <color theme="1"/>
        <rFont val="Arial"/>
      </rPr>
      <t xml:space="preserve"> Avoided (MTCO</t>
    </r>
    <r>
      <rPr>
        <b/>
        <vertAlign val="subscript"/>
        <sz val="10"/>
        <color theme="1"/>
        <rFont val="Arial"/>
      </rPr>
      <t>2</t>
    </r>
    <r>
      <rPr>
        <b/>
        <sz val="10"/>
        <color theme="1"/>
        <rFont val="Arial"/>
      </rPr>
      <t>E)</t>
    </r>
  </si>
  <si>
    <t>Oxidation at MSW Landfills (tons)</t>
  </si>
  <si>
    <r>
      <rPr>
        <sz val="11"/>
        <color theme="1"/>
        <rFont val="Calibri"/>
      </rPr>
      <t>CH</t>
    </r>
    <r>
      <rPr>
        <vertAlign val="subscript"/>
        <sz val="10"/>
        <color theme="1"/>
        <rFont val="Arial"/>
      </rPr>
      <t>4</t>
    </r>
    <r>
      <rPr>
        <sz val="10"/>
        <color theme="1"/>
        <rFont val="Arial"/>
      </rPr>
      <t xml:space="preserve"> GWP</t>
    </r>
  </si>
  <si>
    <r>
      <rPr>
        <b/>
        <sz val="11"/>
        <color theme="1"/>
        <rFont val="Calibri"/>
      </rPr>
      <t>Potential CH</t>
    </r>
    <r>
      <rPr>
        <b/>
        <vertAlign val="subscript"/>
        <sz val="10"/>
        <color theme="1"/>
        <rFont val="Arial"/>
      </rPr>
      <t xml:space="preserve">4 </t>
    </r>
    <r>
      <rPr>
        <b/>
        <sz val="10"/>
        <color theme="1"/>
        <rFont val="Arial"/>
      </rPr>
      <t>(MTCE)</t>
    </r>
  </si>
  <si>
    <r>
      <rPr>
        <b/>
        <sz val="11"/>
        <color theme="1"/>
        <rFont val="Calibri"/>
      </rPr>
      <t>CH</t>
    </r>
    <r>
      <rPr>
        <b/>
        <vertAlign val="subscript"/>
        <sz val="10"/>
        <color theme="1"/>
        <rFont val="Arial"/>
      </rPr>
      <t>4</t>
    </r>
    <r>
      <rPr>
        <b/>
        <sz val="10"/>
        <color theme="1"/>
        <rFont val="Arial"/>
      </rPr>
      <t xml:space="preserve"> Avoided (MTCE)</t>
    </r>
  </si>
  <si>
    <r>
      <rPr>
        <b/>
        <sz val="11"/>
        <color theme="1"/>
        <rFont val="Calibri"/>
      </rPr>
      <t>Oxidation at MSW Landfills (MTCO</t>
    </r>
    <r>
      <rPr>
        <b/>
        <vertAlign val="subscript"/>
        <sz val="10"/>
        <color theme="1"/>
        <rFont val="Arial"/>
      </rPr>
      <t>2</t>
    </r>
    <r>
      <rPr>
        <b/>
        <sz val="10"/>
        <color theme="1"/>
        <rFont val="Arial"/>
      </rPr>
      <t>E)</t>
    </r>
  </si>
  <si>
    <r>
      <rPr>
        <b/>
        <sz val="11"/>
        <color theme="1"/>
        <rFont val="Calibri"/>
      </rPr>
      <t>Oxidation at MSW Landfills (MTC</t>
    </r>
    <r>
      <rPr>
        <b/>
        <sz val="10"/>
        <color theme="1"/>
        <rFont val="Arial"/>
      </rPr>
      <t>E)</t>
    </r>
  </si>
  <si>
    <r>
      <rPr>
        <b/>
        <sz val="11"/>
        <color theme="1"/>
        <rFont val="Calibri"/>
      </rPr>
      <t>Oxidation at Industrial Landfills (MTCO</t>
    </r>
    <r>
      <rPr>
        <b/>
        <vertAlign val="subscript"/>
        <sz val="10"/>
        <color theme="1"/>
        <rFont val="Arial"/>
      </rPr>
      <t>2</t>
    </r>
    <r>
      <rPr>
        <b/>
        <sz val="10"/>
        <color theme="1"/>
        <rFont val="Arial"/>
      </rPr>
      <t>E)</t>
    </r>
  </si>
  <si>
    <r>
      <rPr>
        <b/>
        <sz val="11"/>
        <color theme="1"/>
        <rFont val="Calibri"/>
      </rPr>
      <t>Oxidation at Industrial Landfills (MTC</t>
    </r>
    <r>
      <rPr>
        <b/>
        <sz val="10"/>
        <color theme="1"/>
        <rFont val="Arial"/>
      </rPr>
      <t>E)</t>
    </r>
  </si>
  <si>
    <r>
      <rPr>
        <b/>
        <sz val="11"/>
        <color theme="1"/>
        <rFont val="Calibri"/>
      </rPr>
      <t>Total CH</t>
    </r>
    <r>
      <rPr>
        <b/>
        <vertAlign val="subscript"/>
        <sz val="10"/>
        <color theme="1"/>
        <rFont val="Arial"/>
      </rPr>
      <t>4</t>
    </r>
    <r>
      <rPr>
        <b/>
        <sz val="10"/>
        <color theme="1"/>
        <rFont val="Arial"/>
      </rPr>
      <t xml:space="preserve"> Emissions (MTCO</t>
    </r>
    <r>
      <rPr>
        <b/>
        <vertAlign val="subscript"/>
        <sz val="10"/>
        <color theme="1"/>
        <rFont val="Arial"/>
      </rPr>
      <t>2</t>
    </r>
    <r>
      <rPr>
        <b/>
        <sz val="10"/>
        <color theme="1"/>
        <rFont val="Arial"/>
      </rPr>
      <t>E)</t>
    </r>
  </si>
  <si>
    <r>
      <rPr>
        <b/>
        <sz val="11"/>
        <color rgb="FFFF6600"/>
        <rFont val="Calibri"/>
      </rPr>
      <t xml:space="preserve"> CO</t>
    </r>
    <r>
      <rPr>
        <b/>
        <vertAlign val="subscript"/>
        <sz val="10"/>
        <color rgb="FFFF6600"/>
        <rFont val="Arial"/>
      </rPr>
      <t>2</t>
    </r>
    <r>
      <rPr>
        <b/>
        <sz val="10"/>
        <color rgb="FFFF6600"/>
        <rFont val="Arial"/>
      </rPr>
      <t xml:space="preserve"> Emission from (Flaring + LFGTE) (MTCO</t>
    </r>
    <r>
      <rPr>
        <b/>
        <vertAlign val="subscript"/>
        <sz val="10"/>
        <color rgb="FFFF6600"/>
        <rFont val="Arial"/>
      </rPr>
      <t>2</t>
    </r>
    <r>
      <rPr>
        <b/>
        <sz val="10"/>
        <color rgb="FFFF6600"/>
        <rFont val="Arial"/>
      </rPr>
      <t>E)</t>
    </r>
  </si>
  <si>
    <r>
      <rPr>
        <b/>
        <sz val="11"/>
        <color theme="1"/>
        <rFont val="Calibri"/>
      </rPr>
      <t>CO</t>
    </r>
    <r>
      <rPr>
        <b/>
        <vertAlign val="subscript"/>
        <sz val="10"/>
        <color theme="1"/>
        <rFont val="Arial"/>
      </rPr>
      <t>2</t>
    </r>
    <r>
      <rPr>
        <b/>
        <sz val="10"/>
        <color theme="1"/>
        <rFont val="Arial"/>
      </rPr>
      <t xml:space="preserve"> Emission from (Flaring + LFGTE) (MMTCO</t>
    </r>
    <r>
      <rPr>
        <b/>
        <vertAlign val="subscript"/>
        <sz val="10"/>
        <color theme="1"/>
        <rFont val="Arial"/>
      </rPr>
      <t>2</t>
    </r>
    <r>
      <rPr>
        <b/>
        <sz val="10"/>
        <color theme="1"/>
        <rFont val="Arial"/>
      </rPr>
      <t>E)</t>
    </r>
  </si>
  <si>
    <r>
      <rPr>
        <b/>
        <sz val="11"/>
        <color rgb="FFFF6600"/>
        <rFont val="Calibri"/>
      </rPr>
      <t xml:space="preserve"> CO</t>
    </r>
    <r>
      <rPr>
        <b/>
        <vertAlign val="subscript"/>
        <sz val="11"/>
        <color rgb="FFFF6600"/>
        <rFont val="Calibri"/>
      </rPr>
      <t>2</t>
    </r>
    <r>
      <rPr>
        <b/>
        <sz val="11"/>
        <color rgb="FFFF6600"/>
        <rFont val="Calibri"/>
      </rPr>
      <t xml:space="preserve"> Emission from Landfill (MTCO</t>
    </r>
    <r>
      <rPr>
        <b/>
        <vertAlign val="subscript"/>
        <sz val="11"/>
        <color rgb="FFFF6600"/>
        <rFont val="Calibri"/>
      </rPr>
      <t>2</t>
    </r>
    <r>
      <rPr>
        <b/>
        <sz val="11"/>
        <color rgb="FFFF6600"/>
        <rFont val="Calibri"/>
      </rPr>
      <t>E)</t>
    </r>
  </si>
  <si>
    <r>
      <rPr>
        <b/>
        <sz val="11"/>
        <color theme="1"/>
        <rFont val="Calibri"/>
      </rPr>
      <t xml:space="preserve"> CO</t>
    </r>
    <r>
      <rPr>
        <b/>
        <vertAlign val="subscript"/>
        <sz val="11"/>
        <color theme="1"/>
        <rFont val="Calibri"/>
      </rPr>
      <t>2</t>
    </r>
    <r>
      <rPr>
        <b/>
        <sz val="11"/>
        <color theme="1"/>
        <rFont val="Calibri"/>
      </rPr>
      <t xml:space="preserve"> Emission from Landfill (MMTCO</t>
    </r>
    <r>
      <rPr>
        <b/>
        <vertAlign val="subscript"/>
        <sz val="11"/>
        <color theme="1"/>
        <rFont val="Calibri"/>
      </rPr>
      <t>2</t>
    </r>
    <r>
      <rPr>
        <b/>
        <sz val="11"/>
        <color theme="1"/>
        <rFont val="Calibri"/>
      </rPr>
      <t>E)</t>
    </r>
  </si>
  <si>
    <r>
      <rPr>
        <b/>
        <sz val="11"/>
        <color theme="1"/>
        <rFont val="Calibri"/>
      </rPr>
      <t>Total CH</t>
    </r>
    <r>
      <rPr>
        <b/>
        <vertAlign val="subscript"/>
        <sz val="10"/>
        <color theme="1"/>
        <rFont val="Arial"/>
      </rPr>
      <t>4</t>
    </r>
    <r>
      <rPr>
        <b/>
        <sz val="10"/>
        <color theme="1"/>
        <rFont val="Arial"/>
      </rPr>
      <t xml:space="preserve"> Emissions (MMTCO</t>
    </r>
    <r>
      <rPr>
        <b/>
        <vertAlign val="subscript"/>
        <sz val="10"/>
        <color theme="1"/>
        <rFont val="Arial"/>
      </rPr>
      <t>2</t>
    </r>
    <r>
      <rPr>
        <b/>
        <sz val="10"/>
        <color theme="1"/>
        <rFont val="Arial"/>
      </rPr>
      <t>E)</t>
    </r>
  </si>
  <si>
    <t>Incinerator Emissions</t>
  </si>
  <si>
    <t xml:space="preserve">MD Summary </t>
  </si>
  <si>
    <t>Wheelabrator Baltimore</t>
  </si>
  <si>
    <t>Fort Detrick</t>
  </si>
  <si>
    <t>Incinerator #1</t>
  </si>
  <si>
    <t>Incinerator #4</t>
  </si>
  <si>
    <t>Incinerator #5</t>
  </si>
  <si>
    <t>Incinerator #6</t>
  </si>
  <si>
    <t>MSW Processed (tons)</t>
  </si>
  <si>
    <t>MSW HHV (mmbtu/short tons)</t>
  </si>
  <si>
    <t>EPA factor</t>
  </si>
  <si>
    <t>MSW Heat Input (mmbtu)</t>
  </si>
  <si>
    <r>
      <rPr>
        <sz val="11"/>
        <color theme="1"/>
        <rFont val="Calibri"/>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</si>
  <si>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11"/>
        <color theme="1"/>
        <rFont val="Calibri"/>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</si>
  <si>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11"/>
        <color theme="1"/>
        <rFont val="Calibri"/>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</si>
  <si>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11"/>
        <color theme="1"/>
        <rFont val="Calibri"/>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</si>
  <si>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11"/>
        <color theme="1"/>
        <rFont val="Calibri"/>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</si>
  <si>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11"/>
        <color theme="1"/>
        <rFont val="Calibri"/>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</si>
  <si>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</si>
  <si>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</si>
  <si>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</si>
  <si>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</si>
  <si>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</si>
  <si>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</si>
  <si>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</si>
  <si>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</si>
  <si>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Estimate (short tons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</si>
  <si>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</si>
  <si>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</si>
  <si>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t>CEM/ECR</t>
  </si>
  <si>
    <r>
      <rPr>
        <sz val="11"/>
        <color theme="1"/>
        <rFont val="Calibri"/>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</si>
  <si>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</si>
  <si>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</si>
  <si>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</si>
  <si>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</si>
  <si>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</si>
  <si>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11"/>
        <color theme="1"/>
        <rFont val="Calibri"/>
      </rPr>
      <t>CO</t>
    </r>
    <r>
      <rPr>
        <vertAlign val="subscript"/>
        <sz val="8"/>
        <color theme="1"/>
        <rFont val="Arial"/>
      </rPr>
      <t>2</t>
    </r>
    <r>
      <rPr>
        <sz val="8"/>
        <color theme="1"/>
        <rFont val="Arial"/>
      </rPr>
      <t xml:space="preserve"> Emission CEM Readings (short tons CO</t>
    </r>
    <r>
      <rPr>
        <vertAlign val="subscript"/>
        <sz val="8"/>
        <color theme="1"/>
        <rFont val="Arial"/>
      </rPr>
      <t>2</t>
    </r>
    <r>
      <rPr>
        <sz val="8"/>
        <color theme="1"/>
        <rFont val="Arial"/>
      </rPr>
      <t>)</t>
    </r>
  </si>
  <si>
    <r>
      <rPr>
        <sz val="11"/>
        <color theme="1"/>
        <rFont val="Calibri"/>
      </rPr>
      <t>CH</t>
    </r>
    <r>
      <rPr>
        <vertAlign val="subscript"/>
        <sz val="8"/>
        <color theme="1"/>
        <rFont val="Arial"/>
      </rPr>
      <t>4</t>
    </r>
    <r>
      <rPr>
        <sz val="8"/>
        <color theme="1"/>
        <rFont val="Arial"/>
      </rPr>
      <t xml:space="preserve"> Emission Factor (kg/mmbtu)</t>
    </r>
  </si>
  <si>
    <r>
      <rPr>
        <sz val="11"/>
        <color theme="1"/>
        <rFont val="Calibri"/>
      </rPr>
      <t>CH</t>
    </r>
    <r>
      <rPr>
        <vertAlign val="subscript"/>
        <sz val="8"/>
        <color theme="1"/>
        <rFont val="Arial"/>
      </rPr>
      <t>4</t>
    </r>
    <r>
      <rPr>
        <sz val="8"/>
        <color theme="1"/>
        <rFont val="Arial"/>
      </rPr>
      <t xml:space="preserve"> Emission Factor (kg/mmbtu)</t>
    </r>
  </si>
  <si>
    <r>
      <rPr>
        <sz val="11"/>
        <color theme="1"/>
        <rFont val="Calibri"/>
      </rPr>
      <t>CH</t>
    </r>
    <r>
      <rPr>
        <vertAlign val="subscript"/>
        <sz val="8"/>
        <color theme="1"/>
        <rFont val="Arial"/>
      </rPr>
      <t>4</t>
    </r>
    <r>
      <rPr>
        <sz val="8"/>
        <color theme="1"/>
        <rFont val="Arial"/>
      </rPr>
      <t xml:space="preserve"> Emission Factor (kg/mmbtu)</t>
    </r>
  </si>
  <si>
    <r>
      <rPr>
        <sz val="11"/>
        <color theme="1"/>
        <rFont val="Calibri"/>
      </rPr>
      <t>CH</t>
    </r>
    <r>
      <rPr>
        <vertAlign val="subscript"/>
        <sz val="8"/>
        <color theme="1"/>
        <rFont val="Arial"/>
      </rPr>
      <t>4</t>
    </r>
    <r>
      <rPr>
        <sz val="8"/>
        <color theme="1"/>
        <rFont val="Arial"/>
      </rPr>
      <t xml:space="preserve"> Emission Factor (kg/mmbtu)</t>
    </r>
  </si>
  <si>
    <r>
      <rPr>
        <sz val="11"/>
        <color theme="1"/>
        <rFont val="Calibri"/>
      </rPr>
      <t>CH</t>
    </r>
    <r>
      <rPr>
        <vertAlign val="subscript"/>
        <sz val="8"/>
        <color theme="1"/>
        <rFont val="Arial"/>
      </rPr>
      <t>4</t>
    </r>
    <r>
      <rPr>
        <sz val="8"/>
        <color theme="1"/>
        <rFont val="Arial"/>
      </rPr>
      <t xml:space="preserve"> Emission Factor (kg/mmbtu)</t>
    </r>
  </si>
  <si>
    <r>
      <rPr>
        <sz val="11"/>
        <color theme="1"/>
        <rFont val="Calibri"/>
      </rPr>
      <t>CH</t>
    </r>
    <r>
      <rPr>
        <vertAlign val="subscript"/>
        <sz val="8"/>
        <color theme="1"/>
        <rFont val="Arial"/>
      </rPr>
      <t>4</t>
    </r>
    <r>
      <rPr>
        <sz val="8"/>
        <color theme="1"/>
        <rFont val="Arial"/>
      </rPr>
      <t xml:space="preserve"> Emissions (kg)</t>
    </r>
  </si>
  <si>
    <r>
      <rPr>
        <sz val="11"/>
        <color theme="1"/>
        <rFont val="Calibri"/>
      </rPr>
      <t>CH</t>
    </r>
    <r>
      <rPr>
        <vertAlign val="subscript"/>
        <sz val="8"/>
        <color theme="1"/>
        <rFont val="Arial"/>
      </rPr>
      <t>4</t>
    </r>
    <r>
      <rPr>
        <sz val="8"/>
        <color theme="1"/>
        <rFont val="Arial"/>
      </rPr>
      <t xml:space="preserve"> Emissions (kg)</t>
    </r>
  </si>
  <si>
    <r>
      <rPr>
        <sz val="11"/>
        <color theme="1"/>
        <rFont val="Calibri"/>
      </rPr>
      <t>CH</t>
    </r>
    <r>
      <rPr>
        <vertAlign val="subscript"/>
        <sz val="8"/>
        <color theme="1"/>
        <rFont val="Arial"/>
      </rPr>
      <t>4</t>
    </r>
    <r>
      <rPr>
        <sz val="8"/>
        <color theme="1"/>
        <rFont val="Arial"/>
      </rPr>
      <t xml:space="preserve"> Emissions (kg)</t>
    </r>
  </si>
  <si>
    <r>
      <rPr>
        <sz val="11"/>
        <color theme="1"/>
        <rFont val="Calibri"/>
      </rPr>
      <t>CH</t>
    </r>
    <r>
      <rPr>
        <vertAlign val="subscript"/>
        <sz val="8"/>
        <color theme="1"/>
        <rFont val="Arial"/>
      </rPr>
      <t>4</t>
    </r>
    <r>
      <rPr>
        <sz val="8"/>
        <color theme="1"/>
        <rFont val="Arial"/>
      </rPr>
      <t xml:space="preserve"> Emissions (kg)</t>
    </r>
  </si>
  <si>
    <r>
      <rPr>
        <sz val="11"/>
        <color theme="1"/>
        <rFont val="Calibri"/>
      </rPr>
      <t>CH</t>
    </r>
    <r>
      <rPr>
        <vertAlign val="subscript"/>
        <sz val="8"/>
        <color theme="1"/>
        <rFont val="Arial"/>
      </rPr>
      <t>4</t>
    </r>
    <r>
      <rPr>
        <sz val="8"/>
        <color theme="1"/>
        <rFont val="Arial"/>
      </rPr>
      <t xml:space="preserve"> Emissions (kg)</t>
    </r>
  </si>
  <si>
    <r>
      <rPr>
        <sz val="11"/>
        <color theme="1"/>
        <rFont val="Calibri"/>
      </rPr>
      <t>CH</t>
    </r>
    <r>
      <rPr>
        <vertAlign val="subscript"/>
        <sz val="8"/>
        <color theme="1"/>
        <rFont val="Arial"/>
      </rPr>
      <t>4</t>
    </r>
    <r>
      <rPr>
        <sz val="8"/>
        <color theme="1"/>
        <rFont val="Arial"/>
      </rPr>
      <t xml:space="preserve"> Emissions (short tons)</t>
    </r>
  </si>
  <si>
    <r>
      <rPr>
        <sz val="11"/>
        <color theme="1"/>
        <rFont val="Calibri"/>
      </rPr>
      <t>CH</t>
    </r>
    <r>
      <rPr>
        <vertAlign val="subscript"/>
        <sz val="8"/>
        <color theme="1"/>
        <rFont val="Arial"/>
      </rPr>
      <t>4</t>
    </r>
    <r>
      <rPr>
        <sz val="8"/>
        <color theme="1"/>
        <rFont val="Arial"/>
      </rPr>
      <t xml:space="preserve"> Emissions (short tons)</t>
    </r>
  </si>
  <si>
    <r>
      <rPr>
        <sz val="11"/>
        <color theme="1"/>
        <rFont val="Calibri"/>
      </rPr>
      <t>CH</t>
    </r>
    <r>
      <rPr>
        <vertAlign val="subscript"/>
        <sz val="8"/>
        <color theme="1"/>
        <rFont val="Arial"/>
      </rPr>
      <t>4</t>
    </r>
    <r>
      <rPr>
        <sz val="8"/>
        <color theme="1"/>
        <rFont val="Arial"/>
      </rPr>
      <t xml:space="preserve"> Emissions (short tons)</t>
    </r>
  </si>
  <si>
    <r>
      <rPr>
        <sz val="11"/>
        <color theme="1"/>
        <rFont val="Calibri"/>
      </rPr>
      <t>CH</t>
    </r>
    <r>
      <rPr>
        <vertAlign val="subscript"/>
        <sz val="8"/>
        <color theme="1"/>
        <rFont val="Arial"/>
      </rPr>
      <t>4</t>
    </r>
    <r>
      <rPr>
        <sz val="8"/>
        <color theme="1"/>
        <rFont val="Arial"/>
      </rPr>
      <t xml:space="preserve"> Emissions (short tons)</t>
    </r>
  </si>
  <si>
    <r>
      <rPr>
        <sz val="11"/>
        <color theme="1"/>
        <rFont val="Calibri"/>
      </rPr>
      <t>CH</t>
    </r>
    <r>
      <rPr>
        <vertAlign val="subscript"/>
        <sz val="8"/>
        <color theme="1"/>
        <rFont val="Arial"/>
      </rPr>
      <t>4</t>
    </r>
    <r>
      <rPr>
        <sz val="8"/>
        <color theme="1"/>
        <rFont val="Arial"/>
      </rPr>
      <t xml:space="preserve"> Emissions (short tons)</t>
    </r>
  </si>
  <si>
    <r>
      <rPr>
        <sz val="11"/>
        <color theme="1"/>
        <rFont val="Calibri"/>
      </rPr>
      <t>CH</t>
    </r>
    <r>
      <rPr>
        <vertAlign val="subscript"/>
        <sz val="8"/>
        <color theme="1"/>
        <rFont val="Arial"/>
      </rPr>
      <t>4</t>
    </r>
    <r>
      <rPr>
        <sz val="8"/>
        <color theme="1"/>
        <rFont val="Arial"/>
      </rPr>
      <t xml:space="preserve"> Emissions (short tons)</t>
    </r>
  </si>
  <si>
    <r>
      <rPr>
        <sz val="11"/>
        <color theme="1"/>
        <rFont val="Calibri"/>
      </rPr>
      <t>CH</t>
    </r>
    <r>
      <rPr>
        <vertAlign val="subscript"/>
        <sz val="8"/>
        <color theme="1"/>
        <rFont val="Arial"/>
      </rPr>
      <t>4</t>
    </r>
    <r>
      <rPr>
        <sz val="8"/>
        <color theme="1"/>
        <rFont val="Arial"/>
      </rPr>
      <t xml:space="preserve"> Emissions (short tons)</t>
    </r>
  </si>
  <si>
    <r>
      <rPr>
        <sz val="11"/>
        <color theme="1"/>
        <rFont val="Calibri"/>
      </rPr>
      <t>CH</t>
    </r>
    <r>
      <rPr>
        <vertAlign val="subscript"/>
        <sz val="8"/>
        <color theme="1"/>
        <rFont val="Arial"/>
      </rPr>
      <t>4</t>
    </r>
    <r>
      <rPr>
        <sz val="8"/>
        <color theme="1"/>
        <rFont val="Arial"/>
      </rPr>
      <t xml:space="preserve"> Emissions (short tons)</t>
    </r>
  </si>
  <si>
    <r>
      <rPr>
        <sz val="11"/>
        <color theme="1"/>
        <rFont val="Calibri"/>
      </rPr>
      <t>CH</t>
    </r>
    <r>
      <rPr>
        <vertAlign val="subscript"/>
        <sz val="8"/>
        <color theme="1"/>
        <rFont val="Arial"/>
      </rPr>
      <t>4</t>
    </r>
    <r>
      <rPr>
        <sz val="8"/>
        <color theme="1"/>
        <rFont val="Arial"/>
      </rPr>
      <t xml:space="preserve"> Emissions (short tons)</t>
    </r>
  </si>
  <si>
    <r>
      <rPr>
        <sz val="11"/>
        <color theme="1"/>
        <rFont val="Calibri"/>
      </rPr>
      <t>CH</t>
    </r>
    <r>
      <rPr>
        <sz val="8"/>
        <color theme="1"/>
        <rFont val="Arial"/>
      </rPr>
      <t>4 Emissions (short tons CO2e)</t>
    </r>
  </si>
  <si>
    <r>
      <rPr>
        <sz val="11"/>
        <color theme="1"/>
        <rFont val="Calibri"/>
      </rPr>
      <t>N</t>
    </r>
    <r>
      <rPr>
        <vertAlign val="subscript"/>
        <sz val="8"/>
        <color theme="1"/>
        <rFont val="Arial"/>
      </rPr>
      <t>2</t>
    </r>
    <r>
      <rPr>
        <sz val="8"/>
        <color theme="1"/>
        <rFont val="Arial"/>
      </rPr>
      <t>O Emission Factor (kg/mmbtu)</t>
    </r>
  </si>
  <si>
    <r>
      <rPr>
        <sz val="11"/>
        <color theme="1"/>
        <rFont val="Calibri"/>
      </rPr>
      <t>N</t>
    </r>
    <r>
      <rPr>
        <vertAlign val="subscript"/>
        <sz val="8"/>
        <color theme="1"/>
        <rFont val="Arial"/>
      </rPr>
      <t>2</t>
    </r>
    <r>
      <rPr>
        <sz val="8"/>
        <color theme="1"/>
        <rFont val="Arial"/>
      </rPr>
      <t>O Emission Factor (kg/mmbtu)</t>
    </r>
  </si>
  <si>
    <r>
      <rPr>
        <sz val="11"/>
        <color theme="1"/>
        <rFont val="Calibri"/>
      </rPr>
      <t>N</t>
    </r>
    <r>
      <rPr>
        <vertAlign val="subscript"/>
        <sz val="8"/>
        <color theme="1"/>
        <rFont val="Arial"/>
      </rPr>
      <t>2</t>
    </r>
    <r>
      <rPr>
        <sz val="8"/>
        <color theme="1"/>
        <rFont val="Arial"/>
      </rPr>
      <t>O Emission Factor (kg/mmbtu)</t>
    </r>
  </si>
  <si>
    <r>
      <rPr>
        <sz val="11"/>
        <color theme="1"/>
        <rFont val="Calibri"/>
      </rPr>
      <t>N</t>
    </r>
    <r>
      <rPr>
        <vertAlign val="subscript"/>
        <sz val="8"/>
        <color theme="1"/>
        <rFont val="Arial"/>
      </rPr>
      <t>2</t>
    </r>
    <r>
      <rPr>
        <sz val="8"/>
        <color theme="1"/>
        <rFont val="Arial"/>
      </rPr>
      <t>O Emission Factor (kg/mmbtu)</t>
    </r>
  </si>
  <si>
    <r>
      <rPr>
        <sz val="11"/>
        <color theme="1"/>
        <rFont val="Calibri"/>
      </rPr>
      <t>N</t>
    </r>
    <r>
      <rPr>
        <vertAlign val="subscript"/>
        <sz val="8"/>
        <color theme="1"/>
        <rFont val="Arial"/>
      </rPr>
      <t>2</t>
    </r>
    <r>
      <rPr>
        <sz val="8"/>
        <color theme="1"/>
        <rFont val="Arial"/>
      </rPr>
      <t>O Emission Factor (kg/mmbtu)</t>
    </r>
  </si>
  <si>
    <r>
      <rPr>
        <sz val="11"/>
        <color theme="1"/>
        <rFont val="Calibri"/>
      </rPr>
      <t>N</t>
    </r>
    <r>
      <rPr>
        <vertAlign val="subscript"/>
        <sz val="8"/>
        <color theme="1"/>
        <rFont val="Arial"/>
      </rPr>
      <t>2</t>
    </r>
    <r>
      <rPr>
        <sz val="8"/>
        <color theme="1"/>
        <rFont val="Arial"/>
      </rPr>
      <t>O Emissions (kg)</t>
    </r>
  </si>
  <si>
    <r>
      <rPr>
        <sz val="11"/>
        <color theme="1"/>
        <rFont val="Calibri"/>
      </rPr>
      <t>N</t>
    </r>
    <r>
      <rPr>
        <vertAlign val="subscript"/>
        <sz val="8"/>
        <color theme="1"/>
        <rFont val="Arial"/>
      </rPr>
      <t>2</t>
    </r>
    <r>
      <rPr>
        <sz val="8"/>
        <color theme="1"/>
        <rFont val="Arial"/>
      </rPr>
      <t>O Emissions (kg)</t>
    </r>
  </si>
  <si>
    <r>
      <rPr>
        <sz val="11"/>
        <color theme="1"/>
        <rFont val="Calibri"/>
      </rPr>
      <t>N</t>
    </r>
    <r>
      <rPr>
        <vertAlign val="subscript"/>
        <sz val="8"/>
        <color theme="1"/>
        <rFont val="Arial"/>
      </rPr>
      <t>2</t>
    </r>
    <r>
      <rPr>
        <sz val="8"/>
        <color theme="1"/>
        <rFont val="Arial"/>
      </rPr>
      <t>O Emissions (kg)</t>
    </r>
  </si>
  <si>
    <r>
      <rPr>
        <sz val="11"/>
        <color theme="1"/>
        <rFont val="Calibri"/>
      </rPr>
      <t>N</t>
    </r>
    <r>
      <rPr>
        <vertAlign val="subscript"/>
        <sz val="8"/>
        <color theme="1"/>
        <rFont val="Arial"/>
      </rPr>
      <t>2</t>
    </r>
    <r>
      <rPr>
        <sz val="8"/>
        <color theme="1"/>
        <rFont val="Arial"/>
      </rPr>
      <t>O Emissions (kg)</t>
    </r>
  </si>
  <si>
    <r>
      <rPr>
        <sz val="11"/>
        <color theme="1"/>
        <rFont val="Calibri"/>
      </rPr>
      <t>N</t>
    </r>
    <r>
      <rPr>
        <vertAlign val="subscript"/>
        <sz val="8"/>
        <color theme="1"/>
        <rFont val="Arial"/>
      </rPr>
      <t>2</t>
    </r>
    <r>
      <rPr>
        <sz val="8"/>
        <color theme="1"/>
        <rFont val="Arial"/>
      </rPr>
      <t>O Emissions (kg)</t>
    </r>
  </si>
  <si>
    <r>
      <rPr>
        <sz val="11"/>
        <color theme="1"/>
        <rFont val="Calibri"/>
      </rPr>
      <t>N</t>
    </r>
    <r>
      <rPr>
        <vertAlign val="subscript"/>
        <sz val="8"/>
        <color theme="1"/>
        <rFont val="Arial"/>
      </rPr>
      <t>2</t>
    </r>
    <r>
      <rPr>
        <sz val="8"/>
        <color theme="1"/>
        <rFont val="Arial"/>
      </rPr>
      <t>O Emissions (short tons)</t>
    </r>
  </si>
  <si>
    <r>
      <rPr>
        <sz val="11"/>
        <color theme="1"/>
        <rFont val="Calibri"/>
      </rPr>
      <t>N</t>
    </r>
    <r>
      <rPr>
        <vertAlign val="subscript"/>
        <sz val="8"/>
        <color theme="1"/>
        <rFont val="Arial"/>
      </rPr>
      <t>2</t>
    </r>
    <r>
      <rPr>
        <sz val="8"/>
        <color theme="1"/>
        <rFont val="Arial"/>
      </rPr>
      <t>O Emissions (short tons)</t>
    </r>
  </si>
  <si>
    <r>
      <rPr>
        <sz val="11"/>
        <color theme="1"/>
        <rFont val="Calibri"/>
      </rPr>
      <t>N</t>
    </r>
    <r>
      <rPr>
        <vertAlign val="subscript"/>
        <sz val="8"/>
        <color theme="1"/>
        <rFont val="Arial"/>
      </rPr>
      <t>2</t>
    </r>
    <r>
      <rPr>
        <sz val="8"/>
        <color theme="1"/>
        <rFont val="Arial"/>
      </rPr>
      <t>O Emissions (short tons)</t>
    </r>
  </si>
  <si>
    <r>
      <rPr>
        <sz val="11"/>
        <color theme="1"/>
        <rFont val="Calibri"/>
      </rPr>
      <t>N</t>
    </r>
    <r>
      <rPr>
        <vertAlign val="subscript"/>
        <sz val="8"/>
        <color theme="1"/>
        <rFont val="Arial"/>
      </rPr>
      <t>2</t>
    </r>
    <r>
      <rPr>
        <sz val="8"/>
        <color theme="1"/>
        <rFont val="Arial"/>
      </rPr>
      <t>O Emissions (short tons)</t>
    </r>
  </si>
  <si>
    <r>
      <rPr>
        <sz val="11"/>
        <color theme="1"/>
        <rFont val="Calibri"/>
      </rPr>
      <t>N</t>
    </r>
    <r>
      <rPr>
        <vertAlign val="subscript"/>
        <sz val="8"/>
        <color theme="1"/>
        <rFont val="Arial"/>
      </rPr>
      <t>2</t>
    </r>
    <r>
      <rPr>
        <sz val="8"/>
        <color theme="1"/>
        <rFont val="Arial"/>
      </rPr>
      <t>O Emissions (short tons)</t>
    </r>
  </si>
  <si>
    <r>
      <rPr>
        <sz val="11"/>
        <color theme="1"/>
        <rFont val="Calibri"/>
      </rPr>
      <t>N</t>
    </r>
    <r>
      <rPr>
        <vertAlign val="subscript"/>
        <sz val="8"/>
        <color theme="1"/>
        <rFont val="Arial"/>
      </rPr>
      <t>2</t>
    </r>
    <r>
      <rPr>
        <sz val="8"/>
        <color theme="1"/>
        <rFont val="Arial"/>
      </rPr>
      <t>O Emissions (short tons)</t>
    </r>
  </si>
  <si>
    <r>
      <rPr>
        <sz val="11"/>
        <color theme="1"/>
        <rFont val="Calibri"/>
      </rPr>
      <t>N</t>
    </r>
    <r>
      <rPr>
        <vertAlign val="subscript"/>
        <sz val="8"/>
        <color theme="1"/>
        <rFont val="Arial"/>
      </rPr>
      <t>2</t>
    </r>
    <r>
      <rPr>
        <sz val="8"/>
        <color theme="1"/>
        <rFont val="Arial"/>
      </rPr>
      <t>O Emissions (short tons)</t>
    </r>
  </si>
  <si>
    <r>
      <rPr>
        <sz val="11"/>
        <color theme="1"/>
        <rFont val="Calibri"/>
      </rPr>
      <t>N</t>
    </r>
    <r>
      <rPr>
        <vertAlign val="subscript"/>
        <sz val="8"/>
        <color theme="1"/>
        <rFont val="Arial"/>
      </rPr>
      <t>2</t>
    </r>
    <r>
      <rPr>
        <sz val="8"/>
        <color theme="1"/>
        <rFont val="Arial"/>
      </rPr>
      <t>O Emissions (short tons)</t>
    </r>
  </si>
  <si>
    <r>
      <rPr>
        <sz val="11"/>
        <color theme="1"/>
        <rFont val="Calibri"/>
      </rPr>
      <t>N</t>
    </r>
    <r>
      <rPr>
        <vertAlign val="subscript"/>
        <sz val="8"/>
        <color theme="1"/>
        <rFont val="Arial"/>
      </rPr>
      <t>2</t>
    </r>
    <r>
      <rPr>
        <sz val="8"/>
        <color theme="1"/>
        <rFont val="Arial"/>
      </rPr>
      <t>O Emissions (short tons)</t>
    </r>
  </si>
  <si>
    <r>
      <rPr>
        <sz val="11"/>
        <color theme="1"/>
        <rFont val="Calibri"/>
      </rPr>
      <t>N</t>
    </r>
    <r>
      <rPr>
        <sz val="8"/>
        <color theme="1"/>
        <rFont val="Arial"/>
      </rPr>
      <t>2O Emissions (short tons CO2e)</t>
    </r>
  </si>
  <si>
    <t>Residential Open Burning - Leaves, Brush, MSW</t>
  </si>
  <si>
    <r>
      <rPr>
        <b/>
        <sz val="11"/>
        <color theme="1"/>
        <rFont val="Calibri"/>
      </rPr>
      <t>(MMTCO</t>
    </r>
    <r>
      <rPr>
        <b/>
        <vertAlign val="subscript"/>
        <sz val="11"/>
        <color theme="1"/>
        <rFont val="Calibri"/>
      </rPr>
      <t>2</t>
    </r>
    <r>
      <rPr>
        <b/>
        <sz val="11"/>
        <color theme="1"/>
        <rFont val="Calibri"/>
      </rPr>
      <t>E)</t>
    </r>
  </si>
  <si>
    <t>Open Burning</t>
  </si>
  <si>
    <t>Emissions from Natural Gas Activities in MD</t>
  </si>
  <si>
    <t>Natural Gas - Production</t>
  </si>
  <si>
    <t>Activity Data</t>
  </si>
  <si>
    <r>
      <rPr>
        <b/>
        <sz val="11"/>
        <color theme="1"/>
        <rFont val="Calibri"/>
      </rPr>
      <t>Metric Tons CH</t>
    </r>
    <r>
      <rPr>
        <b/>
        <vertAlign val="subscript"/>
        <sz val="8"/>
        <color theme="1"/>
        <rFont val="Comic Sans MS"/>
      </rPr>
      <t>4</t>
    </r>
  </si>
  <si>
    <r>
      <rPr>
        <b/>
        <sz val="11"/>
        <color theme="1"/>
        <rFont val="Calibri"/>
      </rPr>
      <t>MMTCO</t>
    </r>
    <r>
      <rPr>
        <b/>
        <vertAlign val="subscript"/>
        <sz val="8"/>
        <color theme="1"/>
        <rFont val="Comic Sans MS"/>
      </rPr>
      <t>2</t>
    </r>
    <r>
      <rPr>
        <b/>
        <sz val="8"/>
        <color theme="1"/>
        <rFont val="Comic Sans MS"/>
      </rPr>
      <t>E</t>
    </r>
  </si>
  <si>
    <r>
      <rPr>
        <sz val="11"/>
        <color theme="1"/>
        <rFont val="Calibri"/>
      </rPr>
      <t>metric tons CH</t>
    </r>
    <r>
      <rPr>
        <vertAlign val="subscript"/>
        <sz val="8"/>
        <color theme="1"/>
        <rFont val="Comic Sans MS"/>
      </rPr>
      <t>4</t>
    </r>
    <r>
      <rPr>
        <sz val="8"/>
        <color theme="1"/>
        <rFont val="Comic Sans MS"/>
      </rPr>
      <t xml:space="preserve"> per year per activity unit</t>
    </r>
  </si>
  <si>
    <t>Total number of wells</t>
  </si>
  <si>
    <t>Number of off-shore platforms not in the Gulf of Mexico</t>
  </si>
  <si>
    <t xml:space="preserve">Total  </t>
  </si>
  <si>
    <t>Number of Wells from EIA, " Natural Gas Navigator- Maryland Natural Gas Number of Gas and Gas Condensate Wells" acccessed from: http://tonto.eia.doe.gov/dnav/ng/hist/na1170_smd_8a.htm</t>
  </si>
  <si>
    <t>http://www.eia.gov/naturalgas/annual/pdf/table_005.pdf</t>
  </si>
  <si>
    <r>
      <rPr>
        <sz val="11"/>
        <color theme="1"/>
        <rFont val="Calibri"/>
      </rPr>
      <t>Emission factor from US EP</t>
    </r>
    <r>
      <rPr>
        <sz val="10"/>
        <color theme="1"/>
        <rFont val="Arial"/>
      </rPr>
      <t>A, Emissions Inventory Improvements Program,</t>
    </r>
    <r>
      <rPr>
        <i/>
        <sz val="10"/>
        <color theme="1"/>
        <rFont val="Arial"/>
      </rPr>
      <t xml:space="preserve"> Volume VII: Chpater 5. Methods for Estimating Methane Emissions from Natural Gas and Oil Systems. </t>
    </r>
    <r>
      <rPr>
        <sz val="10"/>
        <color theme="1"/>
        <rFont val="Arial"/>
      </rPr>
      <t>This factor represents emissions not just from wells but also from pneumatic devices, dehydrator vents, Kimray pumps, gas engines, and well clean-ups</t>
    </r>
  </si>
  <si>
    <t>Natural Gas - Distribution</t>
  </si>
  <si>
    <r>
      <rPr>
        <b/>
        <sz val="11"/>
        <color theme="1"/>
        <rFont val="Calibri"/>
      </rPr>
      <t>Metric Tons CH</t>
    </r>
    <r>
      <rPr>
        <b/>
        <vertAlign val="subscript"/>
        <sz val="7"/>
        <color theme="1"/>
        <rFont val="Comic Sans MS"/>
      </rPr>
      <t>4</t>
    </r>
  </si>
  <si>
    <r>
      <rPr>
        <b/>
        <sz val="11"/>
        <color theme="1"/>
        <rFont val="Calibri"/>
      </rPr>
      <t>MMTCO</t>
    </r>
    <r>
      <rPr>
        <b/>
        <vertAlign val="subscript"/>
        <sz val="7"/>
        <color theme="1"/>
        <rFont val="Comic Sans MS"/>
      </rPr>
      <t>2</t>
    </r>
    <r>
      <rPr>
        <b/>
        <sz val="7"/>
        <color theme="1"/>
        <rFont val="Comic Sans MS"/>
      </rPr>
      <t>E</t>
    </r>
  </si>
  <si>
    <t>Distribution pipeline</t>
  </si>
  <si>
    <r>
      <rPr>
        <sz val="11"/>
        <color theme="1"/>
        <rFont val="Calibri"/>
      </rPr>
      <t>(metric tons CH</t>
    </r>
    <r>
      <rPr>
        <vertAlign val="subscript"/>
        <sz val="7"/>
        <color theme="1"/>
        <rFont val="Comic Sans MS"/>
      </rPr>
      <t>4</t>
    </r>
    <r>
      <rPr>
        <sz val="7"/>
        <color theme="1"/>
        <rFont val="Comic Sans MS"/>
      </rPr>
      <t xml:space="preserve"> per year per activity unit)</t>
    </r>
  </si>
  <si>
    <t>Miles of cast iron distribution pipeline</t>
  </si>
  <si>
    <t>Miles of unprotected steel distribution pipeline</t>
  </si>
  <si>
    <t>Miles of protected steel distribution pipeline</t>
  </si>
  <si>
    <t>Miles of plastic distribution pipeline</t>
  </si>
  <si>
    <t>Services</t>
  </si>
  <si>
    <t>Total number of services</t>
  </si>
  <si>
    <t>Number of unprotected steel services</t>
  </si>
  <si>
    <t>Number of protected steel services</t>
  </si>
  <si>
    <t>Miles of Distribution pipeline from US Department of Transport, Office of Pipeline Safety, "  Distribution and Transmission Annuals data:1990 -2005" . Acess from http://www.phmsa.dot.gov/portal/</t>
  </si>
  <si>
    <r>
      <rPr>
        <sz val="11"/>
        <color theme="1"/>
        <rFont val="Calibri"/>
      </rPr>
      <t>All emission factors from US EP</t>
    </r>
    <r>
      <rPr>
        <sz val="10"/>
        <color theme="1"/>
        <rFont val="Arial"/>
      </rPr>
      <t>A, Emissions Inventory Improvements Program,</t>
    </r>
    <r>
      <rPr>
        <i/>
        <sz val="10"/>
        <color theme="1"/>
        <rFont val="Arial"/>
      </rPr>
      <t xml:space="preserve"> Volume VII: Chapter 5. Methods for Estimating Methane Emissions from Natural Gas and Oil Systems. </t>
    </r>
  </si>
  <si>
    <t>Natural Gas - Transmission</t>
  </si>
  <si>
    <r>
      <rPr>
        <b/>
        <sz val="11"/>
        <color theme="1"/>
        <rFont val="Calibri"/>
      </rPr>
      <t>Metric Tons CH</t>
    </r>
    <r>
      <rPr>
        <b/>
        <vertAlign val="subscript"/>
        <sz val="8"/>
        <color theme="1"/>
        <rFont val="Comic Sans MS"/>
      </rPr>
      <t>4</t>
    </r>
  </si>
  <si>
    <r>
      <rPr>
        <b/>
        <sz val="11"/>
        <color theme="1"/>
        <rFont val="Calibri"/>
      </rPr>
      <t>MMTCO</t>
    </r>
    <r>
      <rPr>
        <b/>
        <vertAlign val="subscript"/>
        <sz val="8"/>
        <color theme="1"/>
        <rFont val="Comic Sans MS"/>
      </rPr>
      <t>2</t>
    </r>
    <r>
      <rPr>
        <b/>
        <sz val="8"/>
        <color theme="1"/>
        <rFont val="Comic Sans MS"/>
      </rPr>
      <t>E</t>
    </r>
  </si>
  <si>
    <r>
      <rPr>
        <sz val="11"/>
        <color theme="1"/>
        <rFont val="Calibri"/>
      </rPr>
      <t>metric tons CH</t>
    </r>
    <r>
      <rPr>
        <vertAlign val="subscript"/>
        <sz val="8"/>
        <color theme="1"/>
        <rFont val="Comic Sans MS"/>
      </rPr>
      <t>4</t>
    </r>
    <r>
      <rPr>
        <sz val="8"/>
        <color theme="1"/>
        <rFont val="Comic Sans MS"/>
      </rPr>
      <t xml:space="preserve"> per year per activity unit</t>
    </r>
  </si>
  <si>
    <t>Miles of transmission pipeline</t>
  </si>
  <si>
    <t>Number of gas transmission compressor stations</t>
  </si>
  <si>
    <t>Number of gas storage compressor stations</t>
  </si>
  <si>
    <t xml:space="preserve">Number of LNG storage compressor stations from EIA, US LNG Markets and Uses, http://www.eia.doe.gov/pub/oil_gas/natural_gas/feature_articles/2003/lng/lng2003.pdf </t>
  </si>
  <si>
    <t>Miles of transmission pipeline from US Department of Transport, Office of Pipeline Safety, "  Distribution and Transmission Annuals data:1990 -2005" . Acess from http://www.phmsa.dot.gov/portal/</t>
  </si>
  <si>
    <t>Number of gas transmission compressor stations = miles of transmission pipeline x 0.006 -EIIP, Volume VII: Chapter 5,March 2005</t>
  </si>
  <si>
    <t>Number of gas storage compressor station  = miles of transmission pipeline x 0.0015 -EIIP, Volume VII: Chapter 5,March 2005</t>
  </si>
  <si>
    <r>
      <rPr>
        <sz val="11"/>
        <color theme="1"/>
        <rFont val="Calibri"/>
      </rPr>
      <t>All emission factors from US EP</t>
    </r>
    <r>
      <rPr>
        <sz val="10"/>
        <color theme="1"/>
        <rFont val="Arial"/>
      </rPr>
      <t>A, Emissions Inventory Improvements Program,</t>
    </r>
    <r>
      <rPr>
        <i/>
        <sz val="10"/>
        <color theme="1"/>
        <rFont val="Arial"/>
      </rPr>
      <t xml:space="preserve"> Volume VII: Chapter 5. Methods for Estimating Methane Emissions from Natural Gas and Oil Systems. </t>
    </r>
  </si>
  <si>
    <t>Natural Gas - Consumption as Pipeline Fuel</t>
  </si>
  <si>
    <t xml:space="preserve">                         Emission Factors:</t>
  </si>
  <si>
    <t xml:space="preserve"> Combustion</t>
  </si>
  <si>
    <r>
      <rPr>
        <b/>
        <sz val="11"/>
        <color theme="1"/>
        <rFont val="Calibri"/>
      </rPr>
      <t>CO</t>
    </r>
    <r>
      <rPr>
        <b/>
        <vertAlign val="subscript"/>
        <sz val="10"/>
        <color theme="1"/>
        <rFont val="Arial"/>
      </rPr>
      <t>2</t>
    </r>
    <r>
      <rPr>
        <b/>
        <sz val="10"/>
        <color theme="1"/>
        <rFont val="Arial"/>
      </rPr>
      <t xml:space="preserve"> Emissions</t>
    </r>
  </si>
  <si>
    <r>
      <rPr>
        <b/>
        <sz val="11"/>
        <color theme="1"/>
        <rFont val="Calibri"/>
      </rPr>
      <t>N</t>
    </r>
    <r>
      <rPr>
        <b/>
        <vertAlign val="subscript"/>
        <sz val="10"/>
        <color theme="1"/>
        <rFont val="Arial"/>
      </rPr>
      <t>2</t>
    </r>
    <r>
      <rPr>
        <b/>
        <sz val="10"/>
        <color theme="1"/>
        <rFont val="Arial"/>
      </rPr>
      <t>O Emissions</t>
    </r>
  </si>
  <si>
    <r>
      <rPr>
        <b/>
        <sz val="11"/>
        <color theme="1"/>
        <rFont val="Calibri"/>
      </rPr>
      <t>CH</t>
    </r>
    <r>
      <rPr>
        <b/>
        <vertAlign val="subscript"/>
        <sz val="10"/>
        <color theme="1"/>
        <rFont val="Arial"/>
      </rPr>
      <t>4</t>
    </r>
    <r>
      <rPr>
        <b/>
        <sz val="10"/>
        <color theme="1"/>
        <rFont val="Arial"/>
      </rPr>
      <t xml:space="preserve"> Emissions</t>
    </r>
  </si>
  <si>
    <t>GHG Emissions</t>
  </si>
  <si>
    <t>NG Consumption</t>
  </si>
  <si>
    <t>(Billion Btus)</t>
  </si>
  <si>
    <t>Carbon</t>
  </si>
  <si>
    <r>
      <rPr>
        <b/>
        <sz val="11"/>
        <color theme="1"/>
        <rFont val="Calibri"/>
      </rPr>
      <t>N</t>
    </r>
    <r>
      <rPr>
        <b/>
        <vertAlign val="subscript"/>
        <sz val="10"/>
        <color theme="1"/>
        <rFont val="Arial"/>
      </rPr>
      <t>2</t>
    </r>
    <r>
      <rPr>
        <b/>
        <sz val="10"/>
        <color theme="1"/>
        <rFont val="Arial"/>
      </rPr>
      <t>O</t>
    </r>
  </si>
  <si>
    <r>
      <rPr>
        <b/>
        <sz val="11"/>
        <color theme="1"/>
        <rFont val="Calibri"/>
      </rPr>
      <t>CH</t>
    </r>
    <r>
      <rPr>
        <b/>
        <vertAlign val="subscript"/>
        <sz val="10"/>
        <color theme="1"/>
        <rFont val="Arial"/>
      </rPr>
      <t>4</t>
    </r>
  </si>
  <si>
    <r>
      <rPr>
        <b/>
        <sz val="11"/>
        <color theme="1"/>
        <rFont val="Calibri"/>
      </rPr>
      <t>(MMTCO</t>
    </r>
    <r>
      <rPr>
        <b/>
        <vertAlign val="subscript"/>
        <sz val="10"/>
        <color theme="1"/>
        <rFont val="Arial"/>
      </rPr>
      <t>2</t>
    </r>
    <r>
      <rPr>
        <b/>
        <sz val="10"/>
        <color theme="1"/>
        <rFont val="Arial"/>
      </rPr>
      <t>E)</t>
    </r>
  </si>
  <si>
    <r>
      <rPr>
        <b/>
        <sz val="11"/>
        <color theme="1"/>
        <rFont val="Calibri"/>
      </rPr>
      <t>(MMTCO</t>
    </r>
    <r>
      <rPr>
        <b/>
        <vertAlign val="subscript"/>
        <sz val="10"/>
        <color theme="1"/>
        <rFont val="Arial"/>
      </rPr>
      <t>2</t>
    </r>
    <r>
      <rPr>
        <b/>
        <sz val="10"/>
        <color theme="1"/>
        <rFont val="Arial"/>
      </rPr>
      <t>E)</t>
    </r>
  </si>
  <si>
    <r>
      <rPr>
        <b/>
        <sz val="11"/>
        <color theme="1"/>
        <rFont val="Calibri"/>
      </rPr>
      <t>(MMTCO</t>
    </r>
    <r>
      <rPr>
        <b/>
        <vertAlign val="subscript"/>
        <sz val="10"/>
        <color theme="1"/>
        <rFont val="Arial"/>
      </rPr>
      <t>2</t>
    </r>
    <r>
      <rPr>
        <b/>
        <sz val="10"/>
        <color theme="1"/>
        <rFont val="Arial"/>
      </rPr>
      <t>E)</t>
    </r>
  </si>
  <si>
    <t>(lbs/MMBtu)</t>
  </si>
  <si>
    <t>(Mt/BBtu)</t>
  </si>
  <si>
    <t>NGPZB (Billion Btus)</t>
  </si>
  <si>
    <t>NGPZB (Million Btus)</t>
  </si>
  <si>
    <t xml:space="preserve">Natural Gas as Pipeline Fuel Activity Data (Billion Btu)  was obtained from: http://www.eia.doe.gov/states/sep_fuel/html/csv/fuel_adjust_consum.csv </t>
  </si>
  <si>
    <t>Number of Gas Producing Wells : http://www.eia.gov/dnav/ng/hist/na1170_smd_8a.htm.</t>
  </si>
  <si>
    <r>
      <rPr>
        <b/>
        <sz val="11"/>
        <color theme="1"/>
        <rFont val="Calibri"/>
      </rPr>
      <t>Emissions by Gas (MMTCO</t>
    </r>
    <r>
      <rPr>
        <b/>
        <vertAlign val="subscript"/>
        <sz val="8"/>
        <color theme="1"/>
        <rFont val="Comic Sans MS"/>
      </rPr>
      <t>2</t>
    </r>
    <r>
      <rPr>
        <b/>
        <sz val="8"/>
        <color theme="1"/>
        <rFont val="Comic Sans MS"/>
      </rPr>
      <t>e)</t>
    </r>
  </si>
  <si>
    <t>Production</t>
  </si>
  <si>
    <t>Transmission</t>
  </si>
  <si>
    <t>Distribution</t>
  </si>
  <si>
    <t>Pipeline Fuel</t>
  </si>
  <si>
    <t>Emissions from Mining in MD</t>
  </si>
  <si>
    <r>
      <rPr>
        <sz val="11"/>
        <color theme="1"/>
        <rFont val="Calibri"/>
      </rPr>
      <t>CH</t>
    </r>
    <r>
      <rPr>
        <vertAlign val="subscript"/>
        <sz val="14"/>
        <color theme="1"/>
        <rFont val="Calibri"/>
      </rPr>
      <t>4</t>
    </r>
    <r>
      <rPr>
        <sz val="14"/>
        <color theme="1"/>
        <rFont val="Calibri"/>
      </rPr>
      <t xml:space="preserve"> from Coal Mining in MD</t>
    </r>
  </si>
  <si>
    <t>Emissions from:</t>
  </si>
  <si>
    <t>Coal Basin(s)                            (if applicable)</t>
  </si>
  <si>
    <t>Measured Ventilation Emissions
(mcf)</t>
  </si>
  <si>
    <t>Degasification System Emissions
(mcf)</t>
  </si>
  <si>
    <t>Methane Recovered from Degasification Systems and Usef for Energy
(mcf)</t>
  </si>
  <si>
    <r>
      <rPr>
        <b/>
        <sz val="11"/>
        <color theme="1"/>
        <rFont val="Calibri"/>
      </rPr>
      <t>Emissions
(mcf CH</t>
    </r>
    <r>
      <rPr>
        <b/>
        <vertAlign val="subscript"/>
        <sz val="7"/>
        <color theme="1"/>
        <rFont val="Calibri"/>
      </rPr>
      <t>4</t>
    </r>
    <r>
      <rPr>
        <b/>
        <sz val="7"/>
        <color theme="1"/>
        <rFont val="Calibri"/>
      </rPr>
      <t>)</t>
    </r>
  </si>
  <si>
    <r>
      <rPr>
        <b/>
        <sz val="11"/>
        <color theme="1"/>
        <rFont val="Calibri"/>
      </rPr>
      <t>Emissions
(MTCH</t>
    </r>
    <r>
      <rPr>
        <b/>
        <vertAlign val="subscript"/>
        <sz val="7"/>
        <color theme="1"/>
        <rFont val="Calibri"/>
      </rPr>
      <t>4</t>
    </r>
    <r>
      <rPr>
        <b/>
        <sz val="7"/>
        <color theme="1"/>
        <rFont val="Calibri"/>
      </rPr>
      <t>)</t>
    </r>
  </si>
  <si>
    <r>
      <rPr>
        <b/>
        <sz val="11"/>
        <color theme="1"/>
        <rFont val="Calibri"/>
      </rPr>
      <t>Emissions
(MTCO</t>
    </r>
    <r>
      <rPr>
        <b/>
        <vertAlign val="subscript"/>
        <sz val="7"/>
        <color theme="1"/>
        <rFont val="Calibri"/>
      </rPr>
      <t>2</t>
    </r>
    <r>
      <rPr>
        <b/>
        <sz val="7"/>
        <color theme="1"/>
        <rFont val="Calibri"/>
      </rPr>
      <t>E)</t>
    </r>
  </si>
  <si>
    <t>Constants</t>
  </si>
  <si>
    <t>Mines</t>
  </si>
  <si>
    <r>
      <rPr>
        <sz val="11"/>
        <color rgb="FFFF0000"/>
        <rFont val="Calibri"/>
      </rPr>
      <t>grams/ft</t>
    </r>
    <r>
      <rPr>
        <vertAlign val="superscript"/>
        <sz val="11"/>
        <color rgb="FFFF0000"/>
        <rFont val="Calibri"/>
      </rPr>
      <t>3</t>
    </r>
    <r>
      <rPr>
        <sz val="11"/>
        <color rgb="FFFF0000"/>
        <rFont val="Calibri"/>
      </rPr>
      <t xml:space="preserve"> CH</t>
    </r>
    <r>
      <rPr>
        <vertAlign val="subscript"/>
        <sz val="11"/>
        <color rgb="FFFF0000"/>
        <rFont val="Calibri"/>
      </rPr>
      <t>4</t>
    </r>
  </si>
  <si>
    <t>Underground Mines</t>
  </si>
  <si>
    <t>+</t>
  </si>
  <si>
    <t>-</t>
  </si>
  <si>
    <t>metric tons/gram</t>
  </si>
  <si>
    <t>Surface Coal Production
('000 short tons)</t>
  </si>
  <si>
    <r>
      <rPr>
        <b/>
        <sz val="11"/>
        <color theme="1"/>
        <rFont val="Calibri"/>
      </rPr>
      <t>Basin-specific EF
(ft</t>
    </r>
    <r>
      <rPr>
        <b/>
        <vertAlign val="superscript"/>
        <sz val="7"/>
        <color theme="1"/>
        <rFont val="Calibri"/>
      </rPr>
      <t>3</t>
    </r>
    <r>
      <rPr>
        <b/>
        <sz val="7"/>
        <color theme="1"/>
        <rFont val="Calibri"/>
      </rPr>
      <t>/short ton)</t>
    </r>
  </si>
  <si>
    <r>
      <rPr>
        <b/>
        <sz val="11"/>
        <color theme="1"/>
        <rFont val="Calibri"/>
      </rPr>
      <t>Emissions
('000 ft</t>
    </r>
    <r>
      <rPr>
        <b/>
        <vertAlign val="superscript"/>
        <sz val="7"/>
        <color theme="1"/>
        <rFont val="Calibri"/>
      </rPr>
      <t>3</t>
    </r>
    <r>
      <rPr>
        <b/>
        <sz val="7"/>
        <color theme="1"/>
        <rFont val="Calibri"/>
      </rPr>
      <t xml:space="preserve"> CH</t>
    </r>
    <r>
      <rPr>
        <b/>
        <vertAlign val="subscript"/>
        <sz val="7"/>
        <color theme="1"/>
        <rFont val="Calibri"/>
      </rPr>
      <t>4</t>
    </r>
    <r>
      <rPr>
        <b/>
        <sz val="7"/>
        <color theme="1"/>
        <rFont val="Calibri"/>
      </rPr>
      <t>)</t>
    </r>
  </si>
  <si>
    <r>
      <rPr>
        <b/>
        <sz val="11"/>
        <color theme="1"/>
        <rFont val="Calibri"/>
      </rPr>
      <t>Emissions
(MTCH</t>
    </r>
    <r>
      <rPr>
        <b/>
        <vertAlign val="subscript"/>
        <sz val="7"/>
        <color theme="1"/>
        <rFont val="Calibri"/>
      </rPr>
      <t>4</t>
    </r>
    <r>
      <rPr>
        <b/>
        <sz val="7"/>
        <color theme="1"/>
        <rFont val="Calibri"/>
      </rPr>
      <t>)</t>
    </r>
  </si>
  <si>
    <r>
      <rPr>
        <b/>
        <sz val="11"/>
        <color theme="1"/>
        <rFont val="Calibri"/>
      </rPr>
      <t>Emissions
(MTCO</t>
    </r>
    <r>
      <rPr>
        <b/>
        <vertAlign val="subscript"/>
        <sz val="7"/>
        <color theme="1"/>
        <rFont val="Calibri"/>
      </rPr>
      <t>2</t>
    </r>
    <r>
      <rPr>
        <b/>
        <sz val="7"/>
        <color theme="1"/>
        <rFont val="Calibri"/>
      </rPr>
      <t>E)</t>
    </r>
  </si>
  <si>
    <t>Surface Mines</t>
  </si>
  <si>
    <t>Northern Appalachian Basin</t>
  </si>
  <si>
    <t>---</t>
  </si>
  <si>
    <t>Post-Mining Activity</t>
  </si>
  <si>
    <t>Coal Production
('000 short tons)</t>
  </si>
  <si>
    <r>
      <rPr>
        <b/>
        <sz val="11"/>
        <color theme="1"/>
        <rFont val="Calibri"/>
      </rPr>
      <t>Basin- &amp; Mine-specific EF
(ft</t>
    </r>
    <r>
      <rPr>
        <b/>
        <vertAlign val="superscript"/>
        <sz val="7"/>
        <color theme="1"/>
        <rFont val="Calibri"/>
      </rPr>
      <t>3</t>
    </r>
    <r>
      <rPr>
        <b/>
        <sz val="7"/>
        <color theme="1"/>
        <rFont val="Calibri"/>
      </rPr>
      <t>/short ton)</t>
    </r>
  </si>
  <si>
    <r>
      <rPr>
        <b/>
        <sz val="11"/>
        <color theme="1"/>
        <rFont val="Calibri"/>
      </rPr>
      <t>Emissions
('000 ft</t>
    </r>
    <r>
      <rPr>
        <b/>
        <vertAlign val="superscript"/>
        <sz val="7"/>
        <color theme="1"/>
        <rFont val="Calibri"/>
      </rPr>
      <t>3</t>
    </r>
    <r>
      <rPr>
        <b/>
        <sz val="7"/>
        <color theme="1"/>
        <rFont val="Calibri"/>
      </rPr>
      <t xml:space="preserve"> CH</t>
    </r>
    <r>
      <rPr>
        <b/>
        <vertAlign val="subscript"/>
        <sz val="7"/>
        <color theme="1"/>
        <rFont val="Calibri"/>
      </rPr>
      <t>4</t>
    </r>
    <r>
      <rPr>
        <b/>
        <sz val="7"/>
        <color theme="1"/>
        <rFont val="Calibri"/>
      </rPr>
      <t>)</t>
    </r>
  </si>
  <si>
    <r>
      <rPr>
        <b/>
        <sz val="11"/>
        <color theme="1"/>
        <rFont val="Calibri"/>
      </rPr>
      <t>Emissions
(MTCH</t>
    </r>
    <r>
      <rPr>
        <b/>
        <vertAlign val="subscript"/>
        <sz val="7"/>
        <color theme="1"/>
        <rFont val="Calibri"/>
      </rPr>
      <t>4</t>
    </r>
    <r>
      <rPr>
        <b/>
        <sz val="7"/>
        <color theme="1"/>
        <rFont val="Calibri"/>
      </rPr>
      <t>)</t>
    </r>
  </si>
  <si>
    <r>
      <rPr>
        <b/>
        <sz val="11"/>
        <color theme="1"/>
        <rFont val="Calibri"/>
      </rPr>
      <t>Emissions
(MTCO</t>
    </r>
    <r>
      <rPr>
        <b/>
        <vertAlign val="subscript"/>
        <sz val="7"/>
        <color theme="1"/>
        <rFont val="Calibri"/>
      </rPr>
      <t>2</t>
    </r>
    <r>
      <rPr>
        <b/>
        <sz val="7"/>
        <color theme="1"/>
        <rFont val="Calibri"/>
      </rPr>
      <t>E)</t>
    </r>
  </si>
  <si>
    <t>Post-Mining Total</t>
  </si>
  <si>
    <t>Total Coal Mining</t>
  </si>
  <si>
    <r>
      <rPr>
        <b/>
        <sz val="11"/>
        <color theme="1"/>
        <rFont val="Calibri"/>
      </rPr>
      <t>(MTCO</t>
    </r>
    <r>
      <rPr>
        <b/>
        <vertAlign val="subscript"/>
        <sz val="7"/>
        <color theme="1"/>
        <rFont val="Calibri"/>
      </rPr>
      <t>2</t>
    </r>
    <r>
      <rPr>
        <b/>
        <sz val="7"/>
        <color theme="1"/>
        <rFont val="Calibri"/>
      </rPr>
      <t>E)</t>
    </r>
  </si>
  <si>
    <t>Maryland Abandoned Coal Mines Emissions Summary</t>
  </si>
  <si>
    <t>Default MD Abandoned Mine Emissions
Gg/Year</t>
  </si>
  <si>
    <t xml:space="preserve">Mine Status
Percent </t>
  </si>
  <si>
    <r>
      <rPr>
        <b/>
        <sz val="11"/>
        <color theme="1"/>
        <rFont val="Calibri"/>
      </rPr>
      <t>Emissions
(MTCH</t>
    </r>
    <r>
      <rPr>
        <b/>
        <vertAlign val="subscript"/>
        <sz val="7"/>
        <color theme="1"/>
        <rFont val="Calibri"/>
      </rPr>
      <t>4</t>
    </r>
    <r>
      <rPr>
        <b/>
        <sz val="7"/>
        <color theme="1"/>
        <rFont val="Calibri"/>
      </rPr>
      <t>)</t>
    </r>
  </si>
  <si>
    <r>
      <rPr>
        <b/>
        <sz val="11"/>
        <color theme="1"/>
        <rFont val="Calibri"/>
      </rPr>
      <t>Emissions
(MTCO</t>
    </r>
    <r>
      <rPr>
        <b/>
        <vertAlign val="subscript"/>
        <sz val="7"/>
        <color theme="1"/>
        <rFont val="Calibri"/>
      </rPr>
      <t>2</t>
    </r>
    <r>
      <rPr>
        <b/>
        <sz val="7"/>
        <color theme="1"/>
        <rFont val="Calibri"/>
      </rPr>
      <t>E)</t>
    </r>
  </si>
  <si>
    <t>Vented</t>
  </si>
  <si>
    <t>Sealed</t>
  </si>
  <si>
    <t>Flooded</t>
  </si>
  <si>
    <t>Maryland Coal Mines Emissions Summary</t>
  </si>
  <si>
    <r>
      <rPr>
        <b/>
        <sz val="11"/>
        <color theme="1"/>
        <rFont val="Calibri"/>
      </rPr>
      <t>Emissions (MMTCO</t>
    </r>
    <r>
      <rPr>
        <b/>
        <vertAlign val="subscript"/>
        <sz val="8"/>
        <color theme="1"/>
        <rFont val="Calibri"/>
      </rPr>
      <t>2</t>
    </r>
    <r>
      <rPr>
        <b/>
        <sz val="8"/>
        <color theme="1"/>
        <rFont val="Calibri"/>
      </rPr>
      <t>E)</t>
    </r>
  </si>
  <si>
    <t>Coal Mining</t>
  </si>
  <si>
    <t>Abandoned Coal Mines</t>
  </si>
  <si>
    <r>
      <rPr>
        <b/>
        <sz val="11"/>
        <color theme="1"/>
        <rFont val="Calibri"/>
      </rPr>
      <t>Emissions (MTCO</t>
    </r>
    <r>
      <rPr>
        <b/>
        <vertAlign val="subscript"/>
        <sz val="8"/>
        <color theme="1"/>
        <rFont val="Calibri"/>
      </rPr>
      <t>2</t>
    </r>
    <r>
      <rPr>
        <b/>
        <sz val="8"/>
        <color theme="1"/>
        <rFont val="Calibri"/>
      </rPr>
      <t>E)</t>
    </r>
  </si>
  <si>
    <t>Emissions (MTCE)</t>
  </si>
  <si>
    <r>
      <rPr>
        <b/>
        <sz val="11"/>
        <color theme="1"/>
        <rFont val="Calibri"/>
      </rPr>
      <t>Emissions by Gas (MTCH</t>
    </r>
    <r>
      <rPr>
        <b/>
        <vertAlign val="subscript"/>
        <sz val="8"/>
        <color theme="1"/>
        <rFont val="Calibri"/>
      </rPr>
      <t>4</t>
    </r>
    <r>
      <rPr>
        <b/>
        <sz val="8"/>
        <color theme="1"/>
        <rFont val="Calibri"/>
      </rPr>
      <t>)</t>
    </r>
  </si>
  <si>
    <t>Energy Information Administration, U.S. Department of Energy, Annual Coal Report, Table 1.</t>
  </si>
  <si>
    <t>Table 1: Coal Production and Number of Mines by State and Mine Type, 2010</t>
  </si>
  <si>
    <t>http://www.eia.gov/coal/annual/pdf/table1.pdf</t>
  </si>
  <si>
    <t>Office of Surface Mining Reclamation and Enforcement - Annual Evaluation Report.</t>
  </si>
  <si>
    <t>Table 1: Coal Produced for sale, Transfer, Or Use</t>
  </si>
  <si>
    <t>http://odocs.osmre.gov/qdocs.aspx</t>
  </si>
  <si>
    <t>Maryland Wastewater Emissions Summary</t>
  </si>
  <si>
    <t>Maryland Municipal Wastewater Methane Emissions</t>
  </si>
  <si>
    <r>
      <rPr>
        <b/>
        <sz val="11"/>
        <color theme="1"/>
        <rFont val="Calibri"/>
      </rPr>
      <t>Per Capita BOD</t>
    </r>
    <r>
      <rPr>
        <b/>
        <vertAlign val="subscript"/>
        <sz val="7"/>
        <color theme="1"/>
        <rFont val="Calibri"/>
      </rPr>
      <t xml:space="preserve">5
</t>
    </r>
    <r>
      <rPr>
        <b/>
        <sz val="7"/>
        <color theme="1"/>
        <rFont val="Calibri"/>
      </rPr>
      <t>(kg/day)</t>
    </r>
  </si>
  <si>
    <t>Days per Year
(days)</t>
  </si>
  <si>
    <t>Unit Conversion
(metric tons/kg)</t>
  </si>
  <si>
    <r>
      <rPr>
        <b/>
        <sz val="11"/>
        <color theme="1"/>
        <rFont val="Calibri"/>
      </rPr>
      <t>Emission Factor
(Gg CH</t>
    </r>
    <r>
      <rPr>
        <b/>
        <vertAlign val="subscript"/>
        <sz val="7"/>
        <color theme="1"/>
        <rFont val="Calibri"/>
      </rPr>
      <t>4</t>
    </r>
    <r>
      <rPr>
        <b/>
        <sz val="7"/>
        <color theme="1"/>
        <rFont val="Calibri"/>
      </rPr>
      <t>/Gg BOD</t>
    </r>
    <r>
      <rPr>
        <b/>
        <vertAlign val="subscript"/>
        <sz val="7"/>
        <color theme="1"/>
        <rFont val="Calibri"/>
      </rPr>
      <t>5</t>
    </r>
    <r>
      <rPr>
        <b/>
        <sz val="7"/>
        <color theme="1"/>
        <rFont val="Calibri"/>
      </rPr>
      <t>)</t>
    </r>
  </si>
  <si>
    <r>
      <rPr>
        <b/>
        <sz val="11"/>
        <color theme="1"/>
        <rFont val="Calibri"/>
      </rPr>
      <t>WW BOD</t>
    </r>
    <r>
      <rPr>
        <b/>
        <vertAlign val="subscript"/>
        <sz val="7"/>
        <color theme="1"/>
        <rFont val="Calibri"/>
      </rPr>
      <t>5</t>
    </r>
    <r>
      <rPr>
        <b/>
        <sz val="7"/>
        <color theme="1"/>
        <rFont val="Calibri"/>
      </rPr>
      <t xml:space="preserve"> anaerobically digested
(percent)</t>
    </r>
  </si>
  <si>
    <r>
      <rPr>
        <b/>
        <sz val="11"/>
        <color theme="1"/>
        <rFont val="Calibri"/>
      </rPr>
      <t>Emissions
(metric tons CH</t>
    </r>
    <r>
      <rPr>
        <b/>
        <vertAlign val="subscript"/>
        <sz val="7"/>
        <color theme="1"/>
        <rFont val="Calibri"/>
      </rPr>
      <t>4</t>
    </r>
    <r>
      <rPr>
        <b/>
        <sz val="7"/>
        <color theme="1"/>
        <rFont val="Calibri"/>
      </rPr>
      <t>)</t>
    </r>
  </si>
  <si>
    <r>
      <rPr>
        <b/>
        <sz val="11"/>
        <color theme="1"/>
        <rFont val="Calibri"/>
      </rPr>
      <t>CH</t>
    </r>
    <r>
      <rPr>
        <b/>
        <vertAlign val="subscript"/>
        <sz val="7"/>
        <color theme="1"/>
        <rFont val="Calibri"/>
      </rPr>
      <t xml:space="preserve">4 </t>
    </r>
    <r>
      <rPr>
        <b/>
        <sz val="7"/>
        <color theme="1"/>
        <rFont val="Calibri"/>
      </rPr>
      <t>GWP
(CO</t>
    </r>
    <r>
      <rPr>
        <b/>
        <vertAlign val="subscript"/>
        <sz val="7"/>
        <color theme="1"/>
        <rFont val="Calibri"/>
      </rPr>
      <t>2</t>
    </r>
    <r>
      <rPr>
        <b/>
        <sz val="7"/>
        <color theme="1"/>
        <rFont val="Calibri"/>
      </rPr>
      <t xml:space="preserve"> Eq.)</t>
    </r>
  </si>
  <si>
    <t>Unit Conversion
(MMT/MT)</t>
  </si>
  <si>
    <r>
      <rPr>
        <b/>
        <sz val="11"/>
        <color theme="1"/>
        <rFont val="Calibri"/>
      </rPr>
      <t>C/CO</t>
    </r>
    <r>
      <rPr>
        <b/>
        <vertAlign val="subscript"/>
        <sz val="7"/>
        <color theme="1"/>
        <rFont val="Calibri"/>
      </rPr>
      <t>2</t>
    </r>
  </si>
  <si>
    <t>Emissions
(MMTCE)</t>
  </si>
  <si>
    <r>
      <rPr>
        <b/>
        <sz val="11"/>
        <color theme="1"/>
        <rFont val="Calibri"/>
      </rPr>
      <t>Emissions
(MMTCO</t>
    </r>
    <r>
      <rPr>
        <b/>
        <vertAlign val="subscript"/>
        <sz val="7"/>
        <color theme="1"/>
        <rFont val="Calibri"/>
      </rPr>
      <t>2</t>
    </r>
    <r>
      <rPr>
        <b/>
        <sz val="7"/>
        <color theme="1"/>
        <rFont val="Calibri"/>
      </rPr>
      <t>E)</t>
    </r>
  </si>
  <si>
    <t>Maryland Direct Nitrous Oxide Emissions from Municipal Wastewater Treatment</t>
  </si>
  <si>
    <t>Fraction of Population not on Septic</t>
  </si>
  <si>
    <r>
      <rPr>
        <b/>
        <sz val="11"/>
        <color theme="1"/>
        <rFont val="Calibri"/>
      </rPr>
      <t>Direct N</t>
    </r>
    <r>
      <rPr>
        <b/>
        <vertAlign val="subscript"/>
        <sz val="7"/>
        <color theme="1"/>
        <rFont val="Calibri"/>
      </rPr>
      <t>2</t>
    </r>
    <r>
      <rPr>
        <b/>
        <sz val="7"/>
        <color theme="1"/>
        <rFont val="Calibri"/>
      </rPr>
      <t>O Emissions from Wastewater Treatment
 (g N</t>
    </r>
    <r>
      <rPr>
        <b/>
        <vertAlign val="subscript"/>
        <sz val="7"/>
        <color theme="1"/>
        <rFont val="Calibri"/>
      </rPr>
      <t>2</t>
    </r>
    <r>
      <rPr>
        <b/>
        <sz val="7"/>
        <color theme="1"/>
        <rFont val="Calibri"/>
      </rPr>
      <t>O/person/year)</t>
    </r>
  </si>
  <si>
    <t>Unit Conversion
(g/metric ton)</t>
  </si>
  <si>
    <r>
      <rPr>
        <b/>
        <sz val="11"/>
        <color theme="1"/>
        <rFont val="Calibri"/>
      </rPr>
      <t>Emissions
(Metric Tons N</t>
    </r>
    <r>
      <rPr>
        <b/>
        <vertAlign val="subscript"/>
        <sz val="7"/>
        <color theme="1"/>
        <rFont val="Calibri"/>
      </rPr>
      <t>2</t>
    </r>
    <r>
      <rPr>
        <b/>
        <sz val="7"/>
        <color theme="1"/>
        <rFont val="Calibri"/>
      </rPr>
      <t>O)</t>
    </r>
  </si>
  <si>
    <r>
      <rPr>
        <b/>
        <sz val="11"/>
        <color theme="1"/>
        <rFont val="Calibri"/>
      </rPr>
      <t>N</t>
    </r>
    <r>
      <rPr>
        <b/>
        <vertAlign val="subscript"/>
        <sz val="7"/>
        <color theme="1"/>
        <rFont val="Calibri"/>
      </rPr>
      <t>2</t>
    </r>
    <r>
      <rPr>
        <b/>
        <sz val="7"/>
        <color theme="1"/>
        <rFont val="Calibri"/>
      </rPr>
      <t>O GWP
(CO</t>
    </r>
    <r>
      <rPr>
        <b/>
        <vertAlign val="subscript"/>
        <sz val="7"/>
        <color theme="1"/>
        <rFont val="Calibri"/>
      </rPr>
      <t>2</t>
    </r>
    <r>
      <rPr>
        <b/>
        <sz val="7"/>
        <color theme="1"/>
        <rFont val="Calibri"/>
      </rPr>
      <t xml:space="preserve"> Eq.)</t>
    </r>
  </si>
  <si>
    <t xml:space="preserve">Unit Conversion
(MMT/MT)
</t>
  </si>
  <si>
    <r>
      <rPr>
        <b/>
        <sz val="11"/>
        <color theme="1"/>
        <rFont val="Calibri"/>
      </rPr>
      <t>C/CO</t>
    </r>
    <r>
      <rPr>
        <b/>
        <vertAlign val="subscript"/>
        <sz val="7"/>
        <color theme="1"/>
        <rFont val="Calibri"/>
      </rPr>
      <t>2</t>
    </r>
  </si>
  <si>
    <r>
      <rPr>
        <b/>
        <sz val="11"/>
        <color theme="1"/>
        <rFont val="Calibri"/>
      </rPr>
      <t>Emissions
(MMTCO</t>
    </r>
    <r>
      <rPr>
        <b/>
        <vertAlign val="subscript"/>
        <sz val="7"/>
        <color theme="1"/>
        <rFont val="Calibri"/>
      </rPr>
      <t>2</t>
    </r>
    <r>
      <rPr>
        <b/>
        <sz val="7"/>
        <color theme="1"/>
        <rFont val="Calibri"/>
      </rPr>
      <t>E)</t>
    </r>
  </si>
  <si>
    <t>Maryland Effulent Nitrous Oxide Emissions from Municipal Wastewater Treatment</t>
  </si>
  <si>
    <t>Protein
(kg/ person/ year)</t>
  </si>
  <si>
    <r>
      <rPr>
        <b/>
        <sz val="11"/>
        <color theme="1"/>
        <rFont val="Calibri"/>
      </rPr>
      <t>Frac</t>
    </r>
    <r>
      <rPr>
        <b/>
        <vertAlign val="subscript"/>
        <sz val="7"/>
        <color theme="1"/>
        <rFont val="Comic Sans MS"/>
      </rPr>
      <t xml:space="preserve">NPR 
</t>
    </r>
    <r>
      <rPr>
        <b/>
        <sz val="7"/>
        <color theme="1"/>
        <rFont val="Comic Sans MS"/>
      </rPr>
      <t xml:space="preserve">(kg N/kg protein) </t>
    </r>
  </si>
  <si>
    <t>Fraction Non-Consumption N</t>
  </si>
  <si>
    <t>N in Domestic Wastewater
(metric tons)</t>
  </si>
  <si>
    <t>Direct N Emissions from Domestic Wastewater
(metric tons)</t>
  </si>
  <si>
    <t>Biosolids Available N
(metric tons)</t>
  </si>
  <si>
    <t>Percentage of Biosolids Used as Fertilizer</t>
  </si>
  <si>
    <r>
      <rPr>
        <b/>
        <sz val="11"/>
        <color theme="1"/>
        <rFont val="Calibri"/>
      </rPr>
      <t>Emission Factor
(kg N</t>
    </r>
    <r>
      <rPr>
        <b/>
        <vertAlign val="subscript"/>
        <sz val="7"/>
        <color theme="1"/>
        <rFont val="Comic Sans MS"/>
      </rPr>
      <t>2</t>
    </r>
    <r>
      <rPr>
        <b/>
        <sz val="7"/>
        <color theme="1"/>
        <rFont val="Comic Sans MS"/>
      </rPr>
      <t xml:space="preserve">O-N/ kg sewage N-produced) </t>
    </r>
  </si>
  <si>
    <r>
      <rPr>
        <b/>
        <sz val="11"/>
        <color theme="1"/>
        <rFont val="Calibri"/>
      </rPr>
      <t>N</t>
    </r>
    <r>
      <rPr>
        <b/>
        <vertAlign val="subscript"/>
        <sz val="7"/>
        <color theme="1"/>
        <rFont val="Comic Sans MS"/>
      </rPr>
      <t>2</t>
    </r>
    <r>
      <rPr>
        <b/>
        <sz val="7"/>
        <color theme="1"/>
        <rFont val="Comic Sans MS"/>
      </rPr>
      <t>O/N</t>
    </r>
    <r>
      <rPr>
        <b/>
        <vertAlign val="subscript"/>
        <sz val="7"/>
        <color theme="1"/>
        <rFont val="Comic Sans MS"/>
      </rPr>
      <t>2</t>
    </r>
  </si>
  <si>
    <r>
      <rPr>
        <b/>
        <sz val="11"/>
        <color theme="1"/>
        <rFont val="Calibri"/>
      </rPr>
      <t>Emissions 
(metric tons N</t>
    </r>
    <r>
      <rPr>
        <b/>
        <vertAlign val="subscript"/>
        <sz val="7"/>
        <color theme="1"/>
        <rFont val="Comic Sans MS"/>
      </rPr>
      <t>2</t>
    </r>
    <r>
      <rPr>
        <b/>
        <sz val="7"/>
        <color theme="1"/>
        <rFont val="Comic Sans MS"/>
      </rPr>
      <t>O)</t>
    </r>
  </si>
  <si>
    <r>
      <rPr>
        <b/>
        <sz val="11"/>
        <color theme="1"/>
        <rFont val="Calibri"/>
      </rPr>
      <t>N</t>
    </r>
    <r>
      <rPr>
        <b/>
        <vertAlign val="subscript"/>
        <sz val="7"/>
        <color theme="1"/>
        <rFont val="Comic Sans MS"/>
      </rPr>
      <t>2</t>
    </r>
    <r>
      <rPr>
        <b/>
        <sz val="7"/>
        <color theme="1"/>
        <rFont val="Comic Sans MS"/>
      </rPr>
      <t>O GWP
(CO2 Eq.)</t>
    </r>
  </si>
  <si>
    <r>
      <rPr>
        <b/>
        <sz val="11"/>
        <color theme="1"/>
        <rFont val="Calibri"/>
      </rPr>
      <t>C/CO</t>
    </r>
    <r>
      <rPr>
        <b/>
        <vertAlign val="subscript"/>
        <sz val="7"/>
        <color theme="1"/>
        <rFont val="Comic Sans MS"/>
      </rPr>
      <t>2</t>
    </r>
  </si>
  <si>
    <t>Emissions from Biosolids
(MMTCE)</t>
  </si>
  <si>
    <t>Direct Emissions
(MMTCE)</t>
  </si>
  <si>
    <t>Total Emissions
(MMTCE)</t>
  </si>
  <si>
    <t>Emission
(MMTCO2E)</t>
  </si>
  <si>
    <t>(MMT/MT)</t>
  </si>
  <si>
    <r>
      <rPr>
        <b/>
        <sz val="11"/>
        <color rgb="FF000000"/>
        <rFont val="Calibri"/>
      </rPr>
      <t>Maryland Industrial Wastewater Methane Emissions - CH</t>
    </r>
    <r>
      <rPr>
        <b/>
        <vertAlign val="subscript"/>
        <sz val="12"/>
        <color rgb="FF000000"/>
        <rFont val="Comic Sans MS"/>
      </rPr>
      <t>4</t>
    </r>
  </si>
  <si>
    <t>Production Processed</t>
  </si>
  <si>
    <t xml:space="preserve">WW Outflow </t>
  </si>
  <si>
    <t>Unit Conversion</t>
  </si>
  <si>
    <t xml:space="preserve">COD </t>
  </si>
  <si>
    <t>COD Degraded</t>
  </si>
  <si>
    <r>
      <rPr>
        <b/>
        <sz val="11"/>
        <color theme="1"/>
        <rFont val="Calibri"/>
      </rPr>
      <t>CH</t>
    </r>
    <r>
      <rPr>
        <b/>
        <vertAlign val="subscript"/>
        <sz val="7"/>
        <color theme="1"/>
        <rFont val="Comic Sans MS"/>
      </rPr>
      <t>4</t>
    </r>
    <r>
      <rPr>
        <b/>
        <sz val="7"/>
        <color theme="1"/>
        <rFont val="Comic Sans MS"/>
      </rPr>
      <t xml:space="preserve"> GWP</t>
    </r>
  </si>
  <si>
    <r>
      <rPr>
        <b/>
        <sz val="11"/>
        <color theme="1"/>
        <rFont val="Calibri"/>
      </rPr>
      <t>C/CO</t>
    </r>
    <r>
      <rPr>
        <b/>
        <vertAlign val="subscript"/>
        <sz val="7"/>
        <color theme="1"/>
        <rFont val="Comic Sans MS"/>
      </rPr>
      <t>2</t>
    </r>
  </si>
  <si>
    <r>
      <rPr>
        <sz val="11"/>
        <color theme="1"/>
        <rFont val="Calibri"/>
      </rPr>
      <t>(m</t>
    </r>
    <r>
      <rPr>
        <vertAlign val="superscript"/>
        <sz val="7"/>
        <color theme="1"/>
        <rFont val="Comic Sans MS"/>
      </rPr>
      <t>3</t>
    </r>
    <r>
      <rPr>
        <sz val="7"/>
        <color theme="1"/>
        <rFont val="Comic Sans MS"/>
      </rPr>
      <t>/metric ton)</t>
    </r>
  </si>
  <si>
    <r>
      <rPr>
        <sz val="11"/>
        <color theme="1"/>
        <rFont val="Calibri"/>
      </rPr>
      <t>(l/m</t>
    </r>
    <r>
      <rPr>
        <vertAlign val="superscript"/>
        <sz val="7"/>
        <color theme="1"/>
        <rFont val="Comic Sans MS"/>
      </rPr>
      <t>3</t>
    </r>
    <r>
      <rPr>
        <sz val="7"/>
        <color theme="1"/>
        <rFont val="Comic Sans MS"/>
      </rPr>
      <t>)</t>
    </r>
  </si>
  <si>
    <t>(g COD/l)</t>
  </si>
  <si>
    <r>
      <rPr>
        <sz val="11"/>
        <color theme="1"/>
        <rFont val="Calibri"/>
      </rPr>
      <t>(g CH</t>
    </r>
    <r>
      <rPr>
        <vertAlign val="subscript"/>
        <sz val="7"/>
        <color theme="1"/>
        <rFont val="Comic Sans MS"/>
      </rPr>
      <t>4</t>
    </r>
    <r>
      <rPr>
        <sz val="7"/>
        <color theme="1"/>
        <rFont val="Comic Sans MS"/>
      </rPr>
      <t>/g COD)</t>
    </r>
  </si>
  <si>
    <t>(percent)</t>
  </si>
  <si>
    <r>
      <rPr>
        <sz val="11"/>
        <color theme="1"/>
        <rFont val="Calibri"/>
      </rPr>
      <t>(g CH</t>
    </r>
    <r>
      <rPr>
        <vertAlign val="subscript"/>
        <sz val="7"/>
        <color theme="1"/>
        <rFont val="Comic Sans MS"/>
      </rPr>
      <t>4</t>
    </r>
    <r>
      <rPr>
        <sz val="7"/>
        <color theme="1"/>
        <rFont val="Comic Sans MS"/>
      </rPr>
      <t>)</t>
    </r>
  </si>
  <si>
    <t>(g/Tg)</t>
  </si>
  <si>
    <r>
      <rPr>
        <sz val="11"/>
        <color theme="1"/>
        <rFont val="Calibri"/>
      </rPr>
      <t>(Tg or MMT CH</t>
    </r>
    <r>
      <rPr>
        <vertAlign val="subscript"/>
        <sz val="7"/>
        <color theme="1"/>
        <rFont val="Comic Sans MS"/>
      </rPr>
      <t>4</t>
    </r>
    <r>
      <rPr>
        <sz val="7"/>
        <color theme="1"/>
        <rFont val="Comic Sans MS"/>
      </rPr>
      <t>)</t>
    </r>
  </si>
  <si>
    <r>
      <rPr>
        <sz val="11"/>
        <color theme="1"/>
        <rFont val="Calibri"/>
      </rPr>
      <t>(CO</t>
    </r>
    <r>
      <rPr>
        <vertAlign val="subscript"/>
        <sz val="7"/>
        <color theme="1"/>
        <rFont val="Comic Sans MS"/>
      </rPr>
      <t>2</t>
    </r>
    <r>
      <rPr>
        <sz val="7"/>
        <color theme="1"/>
        <rFont val="Comic Sans MS"/>
      </rPr>
      <t xml:space="preserve"> Eq.)</t>
    </r>
  </si>
  <si>
    <r>
      <rPr>
        <sz val="11"/>
        <color theme="1"/>
        <rFont val="Calibri"/>
      </rPr>
      <t>(MMTCO</t>
    </r>
    <r>
      <rPr>
        <vertAlign val="subscript"/>
        <sz val="7"/>
        <color theme="1"/>
        <rFont val="Comic Sans MS"/>
      </rPr>
      <t>2</t>
    </r>
    <r>
      <rPr>
        <sz val="7"/>
        <color theme="1"/>
        <rFont val="Comic Sans MS"/>
      </rPr>
      <t>E)</t>
    </r>
  </si>
  <si>
    <t>Emissions were not calculated for the following sources: Industrial fruits &amp; vegetables, Industrial poultry, and Industrial pulp &amp; paper.</t>
  </si>
  <si>
    <r>
      <rPr>
        <b/>
        <sz val="11"/>
        <color theme="1"/>
        <rFont val="Calibri"/>
      </rPr>
      <t>Emissions (MMTCO</t>
    </r>
    <r>
      <rPr>
        <b/>
        <vertAlign val="subscript"/>
        <sz val="8"/>
        <color theme="1"/>
        <rFont val="Comic Sans MS"/>
      </rPr>
      <t>2</t>
    </r>
    <r>
      <rPr>
        <b/>
        <sz val="8"/>
        <color theme="1"/>
        <rFont val="Comic Sans MS"/>
      </rPr>
      <t>E)</t>
    </r>
  </si>
  <si>
    <r>
      <rPr>
        <sz val="11"/>
        <color theme="1"/>
        <rFont val="Calibri"/>
      </rPr>
      <t>Municipal CH</t>
    </r>
    <r>
      <rPr>
        <vertAlign val="subscript"/>
        <sz val="11"/>
        <color theme="1"/>
        <rFont val="Calibri"/>
      </rPr>
      <t>4</t>
    </r>
  </si>
  <si>
    <r>
      <rPr>
        <sz val="11"/>
        <color theme="1"/>
        <rFont val="Calibri"/>
      </rPr>
      <t>Municipal N</t>
    </r>
    <r>
      <rPr>
        <vertAlign val="subscript"/>
        <sz val="11"/>
        <color theme="1"/>
        <rFont val="Calibri"/>
      </rPr>
      <t>2</t>
    </r>
    <r>
      <rPr>
        <sz val="11"/>
        <color theme="1"/>
        <rFont val="Calibri"/>
      </rPr>
      <t>O</t>
    </r>
  </si>
  <si>
    <r>
      <rPr>
        <sz val="11"/>
        <color theme="1"/>
        <rFont val="Calibri"/>
      </rPr>
      <t>Industrial CH</t>
    </r>
    <r>
      <rPr>
        <vertAlign val="subscript"/>
        <sz val="11"/>
        <color theme="1"/>
        <rFont val="Calibri"/>
      </rPr>
      <t>4</t>
    </r>
  </si>
  <si>
    <t>Fruits &amp; Vegetables</t>
  </si>
  <si>
    <t>Red Meat</t>
  </si>
  <si>
    <t>Poultry</t>
  </si>
  <si>
    <t>Pulp &amp; Paper</t>
  </si>
  <si>
    <t>Agricultural Emissions in Maryland</t>
  </si>
  <si>
    <t>Enteric Fermentation Emissions</t>
  </si>
  <si>
    <t>Number of Animals
('000 head)</t>
  </si>
  <si>
    <r>
      <rPr>
        <b/>
        <sz val="11"/>
        <color theme="1"/>
        <rFont val="Calibri"/>
      </rPr>
      <t>Emission Factor
(kg CH</t>
    </r>
    <r>
      <rPr>
        <b/>
        <vertAlign val="subscript"/>
        <sz val="7"/>
        <color theme="1"/>
        <rFont val="Arial"/>
      </rPr>
      <t>4</t>
    </r>
    <r>
      <rPr>
        <b/>
        <sz val="7"/>
        <color theme="1"/>
        <rFont val="Arial"/>
      </rPr>
      <t>/head)</t>
    </r>
  </si>
  <si>
    <r>
      <rPr>
        <b/>
        <sz val="11"/>
        <color theme="1"/>
        <rFont val="Calibri"/>
      </rPr>
      <t>Emissions
(kg CH</t>
    </r>
    <r>
      <rPr>
        <b/>
        <vertAlign val="subscript"/>
        <sz val="7"/>
        <color theme="1"/>
        <rFont val="Arial"/>
      </rPr>
      <t>4</t>
    </r>
    <r>
      <rPr>
        <b/>
        <sz val="7"/>
        <color theme="1"/>
        <rFont val="Arial"/>
      </rPr>
      <t>)</t>
    </r>
  </si>
  <si>
    <r>
      <rPr>
        <b/>
        <sz val="11"/>
        <color theme="1"/>
        <rFont val="Calibri"/>
      </rPr>
      <t>Emissions
(MMTCH</t>
    </r>
    <r>
      <rPr>
        <b/>
        <vertAlign val="subscript"/>
        <sz val="7"/>
        <color theme="1"/>
        <rFont val="Arial"/>
      </rPr>
      <t>4</t>
    </r>
    <r>
      <rPr>
        <b/>
        <sz val="7"/>
        <color theme="1"/>
        <rFont val="Arial"/>
      </rPr>
      <t>)</t>
    </r>
  </si>
  <si>
    <r>
      <rPr>
        <b/>
        <sz val="11"/>
        <color theme="1"/>
        <rFont val="Calibri"/>
      </rPr>
      <t>Emissions
(MMTCO</t>
    </r>
    <r>
      <rPr>
        <b/>
        <vertAlign val="subscript"/>
        <sz val="7"/>
        <color theme="1"/>
        <rFont val="Arial"/>
      </rPr>
      <t>2</t>
    </r>
    <r>
      <rPr>
        <b/>
        <sz val="7"/>
        <color theme="1"/>
        <rFont val="Arial"/>
      </rPr>
      <t>E)</t>
    </r>
  </si>
  <si>
    <t>Dairy Cattle</t>
  </si>
  <si>
    <t>Dairy Cows</t>
  </si>
  <si>
    <t>Dairy Replacement Heifers</t>
  </si>
  <si>
    <t xml:space="preserve">   Replacements 0-12 mos.</t>
  </si>
  <si>
    <t xml:space="preserve">   Replacements 12-24 mos.</t>
  </si>
  <si>
    <t>Beef Cattle</t>
  </si>
  <si>
    <t>Beef Cows</t>
  </si>
  <si>
    <t>Beef Replacement Heifers</t>
  </si>
  <si>
    <t>Heifer Stockers</t>
  </si>
  <si>
    <t>Steer Stockers</t>
  </si>
  <si>
    <t>Feedlot Heifers</t>
  </si>
  <si>
    <t>Feedlot Steer</t>
  </si>
  <si>
    <t>Bulls</t>
  </si>
  <si>
    <t>Sheep</t>
  </si>
  <si>
    <t>Goats</t>
  </si>
  <si>
    <t>Swine</t>
  </si>
  <si>
    <t>Horses</t>
  </si>
  <si>
    <t>TOTAL</t>
  </si>
  <si>
    <t>Manure Management Methane Emissions</t>
  </si>
  <si>
    <t>Number of Animals ('000 head)</t>
  </si>
  <si>
    <t>Typical Animal Mass (TAM) (kg)</t>
  </si>
  <si>
    <t>Volatile Solids (VS)  [kg VS/1000 kg animal mass/day]</t>
  </si>
  <si>
    <t>Total VS (kg/yr)</t>
  </si>
  <si>
    <r>
      <rPr>
        <b/>
        <sz val="11"/>
        <color theme="1"/>
        <rFont val="Calibri"/>
      </rPr>
      <t>Max Pot. Emissions (m</t>
    </r>
    <r>
      <rPr>
        <b/>
        <vertAlign val="superscript"/>
        <sz val="7"/>
        <color theme="1"/>
        <rFont val="Comic Sans MS"/>
      </rPr>
      <t>3</t>
    </r>
    <r>
      <rPr>
        <b/>
        <sz val="7"/>
        <color theme="1"/>
        <rFont val="Comic Sans MS"/>
      </rPr>
      <t xml:space="preserve"> CH</t>
    </r>
    <r>
      <rPr>
        <b/>
        <vertAlign val="subscript"/>
        <sz val="7"/>
        <color theme="1"/>
        <rFont val="Comic Sans MS"/>
      </rPr>
      <t>4</t>
    </r>
    <r>
      <rPr>
        <b/>
        <sz val="7"/>
        <color theme="1"/>
        <rFont val="Comic Sans MS"/>
      </rPr>
      <t>/ kg VS)</t>
    </r>
  </si>
  <si>
    <t>Weighted MCF</t>
  </si>
  <si>
    <r>
      <rPr>
        <b/>
        <sz val="11"/>
        <color theme="1"/>
        <rFont val="Calibri"/>
      </rPr>
      <t>Emissions      (m</t>
    </r>
    <r>
      <rPr>
        <b/>
        <vertAlign val="superscript"/>
        <sz val="7"/>
        <color theme="1"/>
        <rFont val="Comic Sans MS"/>
      </rPr>
      <t>3</t>
    </r>
    <r>
      <rPr>
        <b/>
        <sz val="7"/>
        <color theme="1"/>
        <rFont val="Comic Sans MS"/>
      </rPr>
      <t xml:space="preserve"> CH</t>
    </r>
    <r>
      <rPr>
        <b/>
        <vertAlign val="subscript"/>
        <sz val="7"/>
        <color theme="1"/>
        <rFont val="Comic Sans MS"/>
      </rPr>
      <t>4</t>
    </r>
    <r>
      <rPr>
        <b/>
        <sz val="7"/>
        <color theme="1"/>
        <rFont val="Comic Sans MS"/>
      </rPr>
      <t>)</t>
    </r>
  </si>
  <si>
    <r>
      <rPr>
        <b/>
        <sz val="11"/>
        <color theme="1"/>
        <rFont val="Calibri"/>
      </rPr>
      <t>Emissions (Metric Tons CH</t>
    </r>
    <r>
      <rPr>
        <b/>
        <vertAlign val="subscript"/>
        <sz val="7"/>
        <color theme="1"/>
        <rFont val="Comic Sans MS"/>
      </rPr>
      <t>4</t>
    </r>
    <r>
      <rPr>
        <b/>
        <sz val="7"/>
        <color theme="1"/>
        <rFont val="Comic Sans MS"/>
      </rPr>
      <t>)</t>
    </r>
  </si>
  <si>
    <r>
      <rPr>
        <b/>
        <sz val="11"/>
        <color theme="1"/>
        <rFont val="Calibri"/>
      </rPr>
      <t>Emissions (MMTCH</t>
    </r>
    <r>
      <rPr>
        <b/>
        <vertAlign val="subscript"/>
        <sz val="7"/>
        <color theme="1"/>
        <rFont val="Comic Sans MS"/>
      </rPr>
      <t>4</t>
    </r>
    <r>
      <rPr>
        <b/>
        <sz val="7"/>
        <color theme="1"/>
        <rFont val="Comic Sans MS"/>
      </rPr>
      <t>)</t>
    </r>
  </si>
  <si>
    <t>Emissions (MMTCE)</t>
  </si>
  <si>
    <r>
      <rPr>
        <b/>
        <sz val="11"/>
        <color theme="1"/>
        <rFont val="Calibri"/>
      </rPr>
      <t>Emissions  (MMTCO</t>
    </r>
    <r>
      <rPr>
        <b/>
        <vertAlign val="subscript"/>
        <sz val="7"/>
        <color theme="1"/>
        <rFont val="Arial"/>
      </rPr>
      <t>2</t>
    </r>
    <r>
      <rPr>
        <b/>
        <sz val="7"/>
        <color theme="1"/>
        <rFont val="Arial"/>
      </rPr>
      <t>E)</t>
    </r>
  </si>
  <si>
    <t>Calves</t>
  </si>
  <si>
    <t>Breeding Swine</t>
  </si>
  <si>
    <t>Market Under 60 lbs</t>
  </si>
  <si>
    <t>Market 60-119 lbs</t>
  </si>
  <si>
    <t>Market 120-179 lbs</t>
  </si>
  <si>
    <t>Market over 180 lbs</t>
  </si>
  <si>
    <t>Layers</t>
  </si>
  <si>
    <t>Hens &gt; 1 yr</t>
  </si>
  <si>
    <t>Pullets</t>
  </si>
  <si>
    <t>Chickens</t>
  </si>
  <si>
    <t>Broilers</t>
  </si>
  <si>
    <t>Turkeys</t>
  </si>
  <si>
    <t>Sheep on Feed</t>
  </si>
  <si>
    <t>Sheep Not on Feed</t>
  </si>
  <si>
    <r>
      <rPr>
        <sz val="11"/>
        <color theme="1"/>
        <rFont val="Calibri"/>
      </rPr>
      <t>Manure Management N</t>
    </r>
    <r>
      <rPr>
        <vertAlign val="subscript"/>
        <sz val="12"/>
        <color theme="1"/>
        <rFont val="Comic Sans MS"/>
      </rPr>
      <t>2</t>
    </r>
    <r>
      <rPr>
        <sz val="12"/>
        <color theme="1"/>
        <rFont val="Comic Sans MS"/>
      </rPr>
      <t>0 Emissions</t>
    </r>
  </si>
  <si>
    <t>Total K-Nitrogen Excreted
(kg)</t>
  </si>
  <si>
    <t>Unvolatilized N from Manure in Anaerobic Lagoons and Liquid Systems
(kg)</t>
  </si>
  <si>
    <t>Unvolatilized N from Manure in Solid Storage, Drylot &amp; Other Systems
(kg)</t>
  </si>
  <si>
    <r>
      <rPr>
        <b/>
        <sz val="11"/>
        <color theme="1"/>
        <rFont val="Calibri"/>
      </rPr>
      <t>Emissions from Anaerobic Lagoons and Liquid Systems
(kg N</t>
    </r>
    <r>
      <rPr>
        <b/>
        <vertAlign val="subscript"/>
        <sz val="11"/>
        <color theme="1"/>
        <rFont val="Calibri"/>
      </rPr>
      <t>2</t>
    </r>
    <r>
      <rPr>
        <b/>
        <sz val="11"/>
        <color theme="1"/>
        <rFont val="Calibri"/>
      </rPr>
      <t>O-N)</t>
    </r>
  </si>
  <si>
    <r>
      <rPr>
        <b/>
        <sz val="11"/>
        <color theme="1"/>
        <rFont val="Calibri"/>
      </rPr>
      <t>Emissions from Solid Storage, Drylot, &amp; Other Systems
(kg N</t>
    </r>
    <r>
      <rPr>
        <b/>
        <vertAlign val="subscript"/>
        <sz val="11"/>
        <color theme="1"/>
        <rFont val="Calibri"/>
      </rPr>
      <t>2</t>
    </r>
    <r>
      <rPr>
        <b/>
        <sz val="11"/>
        <color theme="1"/>
        <rFont val="Calibri"/>
      </rPr>
      <t>O-N)</t>
    </r>
  </si>
  <si>
    <r>
      <rPr>
        <b/>
        <sz val="11"/>
        <color theme="1"/>
        <rFont val="Calibri"/>
      </rPr>
      <t>Total N</t>
    </r>
    <r>
      <rPr>
        <b/>
        <vertAlign val="subscript"/>
        <sz val="7"/>
        <color theme="1"/>
        <rFont val="Arial"/>
      </rPr>
      <t>2</t>
    </r>
    <r>
      <rPr>
        <b/>
        <sz val="7"/>
        <color theme="1"/>
        <rFont val="Arial"/>
      </rPr>
      <t>O Emissions
(kg N</t>
    </r>
    <r>
      <rPr>
        <b/>
        <vertAlign val="subscript"/>
        <sz val="7"/>
        <color theme="1"/>
        <rFont val="Arial"/>
      </rPr>
      <t>2</t>
    </r>
    <r>
      <rPr>
        <b/>
        <sz val="7"/>
        <color theme="1"/>
        <rFont val="Arial"/>
      </rPr>
      <t>O)</t>
    </r>
  </si>
  <si>
    <r>
      <rPr>
        <b/>
        <sz val="11"/>
        <color theme="1"/>
        <rFont val="Calibri"/>
      </rPr>
      <t>Emissions
(MMTCO</t>
    </r>
    <r>
      <rPr>
        <b/>
        <vertAlign val="subscript"/>
        <sz val="7"/>
        <color theme="1"/>
        <rFont val="Arial"/>
      </rPr>
      <t>2</t>
    </r>
    <r>
      <rPr>
        <b/>
        <sz val="7"/>
        <color theme="1"/>
        <rFont val="Arial"/>
      </rPr>
      <t>E)</t>
    </r>
  </si>
  <si>
    <t>Dairy</t>
  </si>
  <si>
    <t xml:space="preserve"> </t>
  </si>
  <si>
    <t>Agriculture  Soils- Plant Residues &amp; Legumes in Maryland</t>
  </si>
  <si>
    <t>Legumes and Crop Residue Calculations</t>
  </si>
  <si>
    <t xml:space="preserve">Crop Production </t>
  </si>
  <si>
    <t>metric tons/bushel:</t>
  </si>
  <si>
    <t>Residue: Crop Mass Ratio</t>
  </si>
  <si>
    <t>Crop Production (metric tons)</t>
  </si>
  <si>
    <t>Residue Dry Matter Fraction</t>
  </si>
  <si>
    <t xml:space="preserve">Fraction Residue Applied </t>
  </si>
  <si>
    <t>Nitrogen Content of Residue</t>
  </si>
  <si>
    <t>Nitrogen Returned to Soil</t>
  </si>
  <si>
    <t>N content of Aboveground Biomass for N fixing</t>
  </si>
  <si>
    <t>N-Fixed by Crops (kg)</t>
  </si>
  <si>
    <t>EF Direct</t>
  </si>
  <si>
    <r>
      <rPr>
        <b/>
        <sz val="11"/>
        <color theme="1"/>
        <rFont val="Calibri"/>
      </rPr>
      <t>Direct N</t>
    </r>
    <r>
      <rPr>
        <b/>
        <vertAlign val="subscript"/>
        <sz val="8"/>
        <color theme="1"/>
        <rFont val="Calibri"/>
      </rPr>
      <t>2</t>
    </r>
    <r>
      <rPr>
        <b/>
        <sz val="8"/>
        <color theme="1"/>
        <rFont val="Calibri"/>
      </rPr>
      <t>O Emissions (metric tons N</t>
    </r>
    <r>
      <rPr>
        <b/>
        <vertAlign val="subscript"/>
        <sz val="8"/>
        <color theme="1"/>
        <rFont val="Calibri"/>
      </rPr>
      <t>2</t>
    </r>
    <r>
      <rPr>
        <b/>
        <sz val="8"/>
        <color theme="1"/>
        <rFont val="Calibri"/>
      </rPr>
      <t>O)</t>
    </r>
  </si>
  <si>
    <r>
      <rPr>
        <b/>
        <sz val="11"/>
        <color theme="1"/>
        <rFont val="Calibri"/>
      </rPr>
      <t>Direct Emissions</t>
    </r>
    <r>
      <rPr>
        <sz val="8"/>
        <color theme="1"/>
        <rFont val="Calibri"/>
      </rPr>
      <t xml:space="preserve"> (MMTCE)</t>
    </r>
  </si>
  <si>
    <r>
      <rPr>
        <b/>
        <sz val="11"/>
        <color theme="1"/>
        <rFont val="Calibri"/>
      </rPr>
      <t>Direct Emissions  (MMTCO</t>
    </r>
    <r>
      <rPr>
        <b/>
        <vertAlign val="subscript"/>
        <sz val="8"/>
        <color theme="1"/>
        <rFont val="Calibri"/>
      </rPr>
      <t>2</t>
    </r>
    <r>
      <rPr>
        <b/>
        <sz val="8"/>
        <color theme="1"/>
        <rFont val="Calibri"/>
      </rPr>
      <t>E)</t>
    </r>
  </si>
  <si>
    <t xml:space="preserve">Alfalfa  </t>
  </si>
  <si>
    <t>'000 tons</t>
  </si>
  <si>
    <t>Residues</t>
  </si>
  <si>
    <t xml:space="preserve">Corn for Grain </t>
  </si>
  <si>
    <t>'000 bushels</t>
  </si>
  <si>
    <t>Legumes</t>
  </si>
  <si>
    <t xml:space="preserve">All Wheat </t>
  </si>
  <si>
    <t xml:space="preserve">Barley </t>
  </si>
  <si>
    <t>Sorghum for Grain</t>
  </si>
  <si>
    <t>Oats</t>
  </si>
  <si>
    <t>Rye</t>
  </si>
  <si>
    <t>Millet</t>
  </si>
  <si>
    <t>Rice</t>
  </si>
  <si>
    <t>'000 hundred weight</t>
  </si>
  <si>
    <t xml:space="preserve">Soybeans </t>
  </si>
  <si>
    <t>Peanuts</t>
  </si>
  <si>
    <t>'000 lbs</t>
  </si>
  <si>
    <t>Dry Edible Beans</t>
  </si>
  <si>
    <t>Dry Edible Peas</t>
  </si>
  <si>
    <t>Austrian Winter Peas</t>
  </si>
  <si>
    <t>Lentils</t>
  </si>
  <si>
    <t>Wrinkled Seed Peas</t>
  </si>
  <si>
    <t>Red Clover</t>
  </si>
  <si>
    <t>White Clover</t>
  </si>
  <si>
    <t>Birdsfoot Trefoil</t>
  </si>
  <si>
    <t>Arrowleaf Clover</t>
  </si>
  <si>
    <t>Crimson Clover</t>
  </si>
  <si>
    <t>Agriculture Soils -  Plant Fertilizer Emissions in Maryland</t>
  </si>
  <si>
    <t>Fertilizer Calculations</t>
  </si>
  <si>
    <t>Growing Year Entry</t>
  </si>
  <si>
    <r>
      <rPr>
        <b/>
        <sz val="11"/>
        <color theme="1"/>
        <rFont val="Calibri"/>
      </rPr>
      <t>Total Fertilizer Use</t>
    </r>
    <r>
      <rPr>
        <sz val="8"/>
        <color theme="1"/>
        <rFont val="Calibri"/>
      </rPr>
      <t xml:space="preserve"> (kg N)</t>
    </r>
  </si>
  <si>
    <r>
      <rPr>
        <b/>
        <sz val="11"/>
        <color theme="1"/>
        <rFont val="Calibri"/>
      </rPr>
      <t xml:space="preserve">Total N in Fertilizers </t>
    </r>
    <r>
      <rPr>
        <sz val="8"/>
        <color theme="1"/>
        <rFont val="Calibri"/>
      </rPr>
      <t>(Calendar Year)</t>
    </r>
  </si>
  <si>
    <t>Volatilzation
(Percent)</t>
  </si>
  <si>
    <t>N Content of Non-Manure Organics</t>
  </si>
  <si>
    <r>
      <rPr>
        <b/>
        <sz val="11"/>
        <color theme="1"/>
        <rFont val="Calibri"/>
      </rPr>
      <t xml:space="preserve">Unvolatized N
</t>
    </r>
    <r>
      <rPr>
        <sz val="8"/>
        <color theme="1"/>
        <rFont val="Calibri"/>
      </rPr>
      <t>(kg)</t>
    </r>
  </si>
  <si>
    <r>
      <rPr>
        <b/>
        <sz val="11"/>
        <color theme="1"/>
        <rFont val="Calibri"/>
      </rPr>
      <t xml:space="preserve">Volatized N
</t>
    </r>
    <r>
      <rPr>
        <sz val="8"/>
        <color theme="1"/>
        <rFont val="Calibri"/>
      </rPr>
      <t>(kg)</t>
    </r>
  </si>
  <si>
    <r>
      <rPr>
        <b/>
        <sz val="11"/>
        <color theme="1"/>
        <rFont val="Calibri"/>
      </rPr>
      <t>Direct N</t>
    </r>
    <r>
      <rPr>
        <b/>
        <vertAlign val="subscript"/>
        <sz val="8"/>
        <color theme="1"/>
        <rFont val="Calibri"/>
      </rPr>
      <t>2</t>
    </r>
    <r>
      <rPr>
        <b/>
        <sz val="8"/>
        <color theme="1"/>
        <rFont val="Calibri"/>
      </rPr>
      <t>O Emissions
(metric tons)</t>
    </r>
  </si>
  <si>
    <r>
      <rPr>
        <b/>
        <sz val="11"/>
        <color theme="1"/>
        <rFont val="Calibri"/>
      </rPr>
      <t>Indirect N</t>
    </r>
    <r>
      <rPr>
        <b/>
        <vertAlign val="subscript"/>
        <sz val="8"/>
        <color theme="1"/>
        <rFont val="Calibri"/>
      </rPr>
      <t>2</t>
    </r>
    <r>
      <rPr>
        <b/>
        <sz val="8"/>
        <color theme="1"/>
        <rFont val="Calibri"/>
      </rPr>
      <t>O Emissions
(metric tons)</t>
    </r>
  </si>
  <si>
    <r>
      <rPr>
        <b/>
        <sz val="11"/>
        <color theme="1"/>
        <rFont val="Calibri"/>
      </rPr>
      <t xml:space="preserve">Direct Emissions
</t>
    </r>
    <r>
      <rPr>
        <sz val="8"/>
        <color theme="1"/>
        <rFont val="Calibri"/>
      </rPr>
      <t>(MMTCE)</t>
    </r>
  </si>
  <si>
    <r>
      <rPr>
        <b/>
        <sz val="11"/>
        <color theme="1"/>
        <rFont val="Calibri"/>
      </rPr>
      <t xml:space="preserve">Indirect Emissions
</t>
    </r>
    <r>
      <rPr>
        <sz val="8"/>
        <color theme="1"/>
        <rFont val="Calibri"/>
      </rPr>
      <t>(MMTCE)</t>
    </r>
  </si>
  <si>
    <r>
      <rPr>
        <b/>
        <sz val="11"/>
        <color theme="1"/>
        <rFont val="Calibri"/>
      </rPr>
      <t>Direct Emissions
(MMTCO</t>
    </r>
    <r>
      <rPr>
        <b/>
        <vertAlign val="subscript"/>
        <sz val="8"/>
        <color theme="1"/>
        <rFont val="Calibri"/>
      </rPr>
      <t>2</t>
    </r>
    <r>
      <rPr>
        <b/>
        <sz val="8"/>
        <color theme="1"/>
        <rFont val="Calibri"/>
      </rPr>
      <t>E)</t>
    </r>
  </si>
  <si>
    <r>
      <rPr>
        <b/>
        <sz val="11"/>
        <color theme="1"/>
        <rFont val="Calibri"/>
      </rPr>
      <t>Indirect Emissions
(MMTCO</t>
    </r>
    <r>
      <rPr>
        <b/>
        <vertAlign val="subscript"/>
        <sz val="8"/>
        <color theme="1"/>
        <rFont val="Calibri"/>
      </rPr>
      <t>2</t>
    </r>
    <r>
      <rPr>
        <b/>
        <sz val="8"/>
        <color theme="1"/>
        <rFont val="Calibri"/>
      </rPr>
      <t>E)</t>
    </r>
  </si>
  <si>
    <t xml:space="preserve">Synthetic </t>
  </si>
  <si>
    <t xml:space="preserve">Organic  </t>
  </si>
  <si>
    <t>Dried Blood</t>
  </si>
  <si>
    <t>Compost</t>
  </si>
  <si>
    <t>Dried Manure</t>
  </si>
  <si>
    <t>Activated Sewage Sludge</t>
  </si>
  <si>
    <t>Other Sewage Sludge</t>
  </si>
  <si>
    <t>Tankage</t>
  </si>
  <si>
    <t xml:space="preserve">Other </t>
  </si>
  <si>
    <t>Dried Manure %</t>
  </si>
  <si>
    <t>Non-Manure Organics</t>
  </si>
  <si>
    <t>Manure Organics</t>
  </si>
  <si>
    <r>
      <rPr>
        <b/>
        <sz val="11"/>
        <color theme="1"/>
        <rFont val="Calibri"/>
      </rPr>
      <t>Total Fertilizer Use</t>
    </r>
    <r>
      <rPr>
        <sz val="8"/>
        <color theme="1"/>
        <rFont val="Calibri"/>
      </rPr>
      <t xml:space="preserve"> (kg N)</t>
    </r>
  </si>
  <si>
    <t>Agriculture Soils - Emissions from Animals &amp; Runoff</t>
  </si>
  <si>
    <t xml:space="preserve">Percentage Breakdown of Manure Management Systems </t>
  </si>
  <si>
    <t>K-NITROGEN EXCRETED BY MANAGEMENT SYSTEM (kg):</t>
  </si>
  <si>
    <t>DIRECT EMISSIONS (MT N)</t>
  </si>
  <si>
    <t>Source: US Inventory spreadsheets. See Manure-N2O.xls, WMS sheets.</t>
  </si>
  <si>
    <r>
      <rPr>
        <b/>
        <sz val="11"/>
        <color theme="1"/>
        <rFont val="Calibri"/>
      </rPr>
      <t xml:space="preserve">Number of Animals
</t>
    </r>
    <r>
      <rPr>
        <sz val="8"/>
        <color theme="1"/>
        <rFont val="Calibri"/>
      </rPr>
      <t>('000 head)</t>
    </r>
  </si>
  <si>
    <t>TAM
(kg)</t>
  </si>
  <si>
    <t>K-Nitrogen
(kg/day/1000kg)</t>
  </si>
  <si>
    <r>
      <rPr>
        <b/>
        <sz val="11"/>
        <color theme="1"/>
        <rFont val="Calibri"/>
      </rPr>
      <t xml:space="preserve">Total K-Nitrogen Excreted
</t>
    </r>
    <r>
      <rPr>
        <sz val="8"/>
        <color theme="1"/>
        <rFont val="Calibri"/>
      </rPr>
      <t>(kg)</t>
    </r>
  </si>
  <si>
    <r>
      <rPr>
        <b/>
        <sz val="11"/>
        <color theme="1"/>
        <rFont val="Calibri"/>
      </rPr>
      <t>Indirect Animal N</t>
    </r>
    <r>
      <rPr>
        <b/>
        <vertAlign val="subscript"/>
        <sz val="8"/>
        <color theme="1"/>
        <rFont val="Calibri"/>
      </rPr>
      <t>2</t>
    </r>
    <r>
      <rPr>
        <b/>
        <sz val="8"/>
        <color theme="1"/>
        <rFont val="Calibri"/>
      </rPr>
      <t xml:space="preserve">O Emissions
</t>
    </r>
    <r>
      <rPr>
        <sz val="8"/>
        <color theme="1"/>
        <rFont val="Calibri"/>
      </rPr>
      <t>(metric tons N)</t>
    </r>
  </si>
  <si>
    <t>Managed Systems</t>
  </si>
  <si>
    <t>Unmanaged Systems - Pasture, Range, and Paddock</t>
  </si>
  <si>
    <t>Unmanaged Systems - Daily Spread</t>
  </si>
  <si>
    <t>Manure Applied to Soils</t>
  </si>
  <si>
    <t>Pasture, Range and Paddock</t>
  </si>
  <si>
    <t>Leaching and Runoff</t>
  </si>
  <si>
    <t xml:space="preserve">Dairy Cows </t>
  </si>
  <si>
    <t>Dairy Heifers</t>
  </si>
  <si>
    <t>Feedlot Beef</t>
  </si>
  <si>
    <t>NOF Beef</t>
  </si>
  <si>
    <t>Year &amp; State</t>
  </si>
  <si>
    <t>Anaerobic Lagoon</t>
  </si>
  <si>
    <t>Liquid/ Slurry</t>
  </si>
  <si>
    <t>Daily Spread</t>
  </si>
  <si>
    <t>Solid Storage</t>
  </si>
  <si>
    <t>Pasture</t>
  </si>
  <si>
    <t>Deep Pit</t>
  </si>
  <si>
    <t>Managed</t>
  </si>
  <si>
    <t>PRP</t>
  </si>
  <si>
    <t>STATE</t>
  </si>
  <si>
    <t>Dry Lot</t>
  </si>
  <si>
    <t>Poultry without bedding</t>
  </si>
  <si>
    <t>Range</t>
  </si>
  <si>
    <t>On Feed (PRP)</t>
  </si>
  <si>
    <t>Not on Feed (PRP)</t>
  </si>
  <si>
    <t>Pasture, Range &amp; Paddock</t>
  </si>
  <si>
    <t>Unvolatilized N from Organic Fertilizers (kg)</t>
  </si>
  <si>
    <t>2011MD</t>
  </si>
  <si>
    <t>MD</t>
  </si>
  <si>
    <t>Unvolatilized N from Synthetic Fertilizers (kg)</t>
  </si>
  <si>
    <r>
      <rPr>
        <b/>
        <sz val="11"/>
        <color theme="1"/>
        <rFont val="Calibri"/>
      </rPr>
      <t>Fertilizer Runoff/Leached</t>
    </r>
    <r>
      <rPr>
        <sz val="8"/>
        <color theme="1"/>
        <rFont val="Calibri"/>
      </rPr>
      <t xml:space="preserve"> (metric tons N)</t>
    </r>
  </si>
  <si>
    <t>Total N excreted by Livestock (kg)</t>
  </si>
  <si>
    <r>
      <rPr>
        <b/>
        <sz val="11"/>
        <color theme="1"/>
        <rFont val="Calibri"/>
      </rPr>
      <t xml:space="preserve">Manure Runoff/Leached </t>
    </r>
    <r>
      <rPr>
        <sz val="8"/>
        <color theme="1"/>
        <rFont val="Calibri"/>
      </rPr>
      <t>(metric tons N)</t>
    </r>
  </si>
  <si>
    <r>
      <rPr>
        <b/>
        <sz val="11"/>
        <color theme="1"/>
        <rFont val="Calibri"/>
      </rPr>
      <t xml:space="preserve">TOTAL Runoff/Leached </t>
    </r>
    <r>
      <rPr>
        <sz val="8"/>
        <color theme="1"/>
        <rFont val="Calibri"/>
      </rPr>
      <t>(metric tons N</t>
    </r>
    <r>
      <rPr>
        <vertAlign val="subscript"/>
        <sz val="8"/>
        <color theme="1"/>
        <rFont val="Calibri"/>
      </rPr>
      <t>2</t>
    </r>
    <r>
      <rPr>
        <sz val="8"/>
        <color theme="1"/>
        <rFont val="Calibri"/>
      </rPr>
      <t>O-N)</t>
    </r>
  </si>
  <si>
    <t>Total Beef Heifers</t>
  </si>
  <si>
    <t>EMISSIONS SUMMARY  2011</t>
  </si>
  <si>
    <r>
      <rPr>
        <b/>
        <sz val="11"/>
        <color theme="1"/>
        <rFont val="Calibri"/>
      </rPr>
      <t>Livestock
(Metric Tons N</t>
    </r>
    <r>
      <rPr>
        <b/>
        <vertAlign val="subscript"/>
        <sz val="8"/>
        <color theme="1"/>
        <rFont val="Calibri"/>
      </rPr>
      <t>2</t>
    </r>
    <r>
      <rPr>
        <b/>
        <sz val="8"/>
        <color theme="1"/>
        <rFont val="Calibri"/>
      </rPr>
      <t>O)</t>
    </r>
  </si>
  <si>
    <t>Livestock
(MMTCE)</t>
  </si>
  <si>
    <r>
      <rPr>
        <b/>
        <sz val="11"/>
        <color theme="1"/>
        <rFont val="Calibri"/>
      </rPr>
      <t>Livestock
(MMTCO</t>
    </r>
    <r>
      <rPr>
        <b/>
        <vertAlign val="subscript"/>
        <sz val="8"/>
        <color theme="1"/>
        <rFont val="Calibri"/>
      </rPr>
      <t>2</t>
    </r>
    <r>
      <rPr>
        <b/>
        <sz val="8"/>
        <color theme="1"/>
        <rFont val="Calibri"/>
      </rPr>
      <t>E)</t>
    </r>
  </si>
  <si>
    <r>
      <rPr>
        <b/>
        <sz val="11"/>
        <color theme="1"/>
        <rFont val="Calibri"/>
      </rPr>
      <t>Leaching and Runoff
(Metric Tons N</t>
    </r>
    <r>
      <rPr>
        <b/>
        <vertAlign val="subscript"/>
        <sz val="8"/>
        <color theme="1"/>
        <rFont val="Calibri"/>
      </rPr>
      <t>2</t>
    </r>
    <r>
      <rPr>
        <b/>
        <sz val="8"/>
        <color theme="1"/>
        <rFont val="Calibri"/>
      </rPr>
      <t>O)</t>
    </r>
  </si>
  <si>
    <t>Leaching and Runoff
(MMTCE)</t>
  </si>
  <si>
    <r>
      <rPr>
        <b/>
        <sz val="11"/>
        <color theme="1"/>
        <rFont val="Calibri"/>
      </rPr>
      <t>Leaching and Runoff
(MMTCO</t>
    </r>
    <r>
      <rPr>
        <b/>
        <vertAlign val="subscript"/>
        <sz val="8"/>
        <color theme="1"/>
        <rFont val="Calibri"/>
      </rPr>
      <t>2</t>
    </r>
    <r>
      <rPr>
        <b/>
        <sz val="8"/>
        <color theme="1"/>
        <rFont val="Calibri"/>
      </rPr>
      <t>E)</t>
    </r>
  </si>
  <si>
    <r>
      <rPr>
        <b/>
        <sz val="11"/>
        <color rgb="FFFF0000"/>
        <rFont val="Calibri"/>
      </rPr>
      <t>Indirect N</t>
    </r>
    <r>
      <rPr>
        <b/>
        <vertAlign val="subscript"/>
        <sz val="8"/>
        <color rgb="FFFF0000"/>
        <rFont val="Calibri"/>
      </rPr>
      <t>2</t>
    </r>
    <r>
      <rPr>
        <b/>
        <sz val="8"/>
        <color rgb="FFFF0000"/>
        <rFont val="Calibri"/>
      </rPr>
      <t>O Emissions</t>
    </r>
  </si>
  <si>
    <t>TOTAL Runoff/Leached</t>
  </si>
  <si>
    <r>
      <rPr>
        <b/>
        <sz val="11"/>
        <color theme="1"/>
        <rFont val="Calibri"/>
      </rPr>
      <t>Direct N</t>
    </r>
    <r>
      <rPr>
        <b/>
        <vertAlign val="subscript"/>
        <sz val="8"/>
        <color theme="1"/>
        <rFont val="Calibri"/>
      </rPr>
      <t>2</t>
    </r>
    <r>
      <rPr>
        <b/>
        <sz val="8"/>
        <color theme="1"/>
        <rFont val="Calibri"/>
      </rPr>
      <t>O Emissions - Manure Applied to Soils (including Daily Spread)</t>
    </r>
  </si>
  <si>
    <t>Fertilizer Runoff/Leached</t>
  </si>
  <si>
    <r>
      <rPr>
        <b/>
        <sz val="11"/>
        <color theme="1"/>
        <rFont val="Calibri"/>
      </rPr>
      <t>Direct N</t>
    </r>
    <r>
      <rPr>
        <b/>
        <vertAlign val="subscript"/>
        <sz val="8"/>
        <color theme="1"/>
        <rFont val="Calibri"/>
      </rPr>
      <t>2</t>
    </r>
    <r>
      <rPr>
        <b/>
        <sz val="8"/>
        <color theme="1"/>
        <rFont val="Calibri"/>
      </rPr>
      <t>O Emissions - Pasture, Range, and Paddock</t>
    </r>
  </si>
  <si>
    <t xml:space="preserve">Manure Runoff/Leached </t>
  </si>
  <si>
    <r>
      <rPr>
        <b/>
        <sz val="11"/>
        <color rgb="FFFF0000"/>
        <rFont val="Calibri"/>
      </rPr>
      <t>Direct N</t>
    </r>
    <r>
      <rPr>
        <b/>
        <vertAlign val="subscript"/>
        <sz val="8"/>
        <color rgb="FFFF0000"/>
        <rFont val="Calibri"/>
      </rPr>
      <t>2</t>
    </r>
    <r>
      <rPr>
        <b/>
        <sz val="8"/>
        <color rgb="FFFF0000"/>
        <rFont val="Calibri"/>
      </rPr>
      <t>O Emissions</t>
    </r>
  </si>
  <si>
    <r>
      <rPr>
        <sz val="11"/>
        <color theme="1"/>
        <rFont val="Calibri"/>
      </rPr>
      <t>Agricultural Residue Burning -  CH</t>
    </r>
    <r>
      <rPr>
        <vertAlign val="subscript"/>
        <sz val="14"/>
        <color theme="1"/>
        <rFont val="Comic Sans MS"/>
      </rPr>
      <t>4</t>
    </r>
    <r>
      <rPr>
        <sz val="14"/>
        <color theme="1"/>
        <rFont val="Comic Sans MS"/>
      </rPr>
      <t xml:space="preserve"> Emissions</t>
    </r>
  </si>
  <si>
    <t>Crop</t>
  </si>
  <si>
    <t xml:space="preserve">Crop Production        </t>
  </si>
  <si>
    <t>metric tons/bushel</t>
  </si>
  <si>
    <t>Crop Production     (metric tons)</t>
  </si>
  <si>
    <t>Residue/Crop Ratio</t>
  </si>
  <si>
    <t>Fraction   Residue Burned</t>
  </si>
  <si>
    <t>Dry Matter Fraction</t>
  </si>
  <si>
    <t>Burning Efficiency</t>
  </si>
  <si>
    <t>Combustion Efficiency</t>
  </si>
  <si>
    <t>Carbon Content</t>
  </si>
  <si>
    <t>Total C Released  (metric tons C)</t>
  </si>
  <si>
    <r>
      <rPr>
        <b/>
        <sz val="11"/>
        <color theme="1"/>
        <rFont val="Calibri"/>
      </rPr>
      <t>CH</t>
    </r>
    <r>
      <rPr>
        <b/>
        <vertAlign val="subscript"/>
        <sz val="8"/>
        <color theme="1"/>
        <rFont val="Calibri"/>
      </rPr>
      <t>4</t>
    </r>
    <r>
      <rPr>
        <b/>
        <sz val="8"/>
        <color theme="1"/>
        <rFont val="Calibri"/>
      </rPr>
      <t xml:space="preserve"> Emissions  (metric tons CH</t>
    </r>
    <r>
      <rPr>
        <b/>
        <vertAlign val="subscript"/>
        <sz val="8"/>
        <color theme="1"/>
        <rFont val="Calibri"/>
      </rPr>
      <t>4</t>
    </r>
    <r>
      <rPr>
        <b/>
        <sz val="8"/>
        <color theme="1"/>
        <rFont val="Calibri"/>
      </rPr>
      <t>)</t>
    </r>
  </si>
  <si>
    <r>
      <rPr>
        <b/>
        <sz val="11"/>
        <color theme="1"/>
        <rFont val="Calibri"/>
      </rPr>
      <t>CH</t>
    </r>
    <r>
      <rPr>
        <b/>
        <vertAlign val="subscript"/>
        <sz val="8"/>
        <color theme="1"/>
        <rFont val="Calibri"/>
      </rPr>
      <t>4</t>
    </r>
    <r>
      <rPr>
        <b/>
        <sz val="8"/>
        <color theme="1"/>
        <rFont val="Calibri"/>
      </rPr>
      <t xml:space="preserve"> Emissions  (MMTCE)</t>
    </r>
  </si>
  <si>
    <r>
      <rPr>
        <b/>
        <sz val="11"/>
        <color theme="1"/>
        <rFont val="Calibri"/>
      </rPr>
      <t>CH</t>
    </r>
    <r>
      <rPr>
        <b/>
        <vertAlign val="subscript"/>
        <sz val="8"/>
        <color theme="1"/>
        <rFont val="Calibri"/>
      </rPr>
      <t>4</t>
    </r>
    <r>
      <rPr>
        <b/>
        <sz val="8"/>
        <color theme="1"/>
        <rFont val="Calibri"/>
      </rPr>
      <t xml:space="preserve"> Emissions  (MMTCO</t>
    </r>
    <r>
      <rPr>
        <b/>
        <vertAlign val="subscript"/>
        <sz val="8"/>
        <color theme="1"/>
        <rFont val="Calibri"/>
      </rPr>
      <t>2</t>
    </r>
    <r>
      <rPr>
        <b/>
        <sz val="8"/>
        <color theme="1"/>
        <rFont val="Calibri"/>
      </rPr>
      <t>E)</t>
    </r>
  </si>
  <si>
    <t>Barley</t>
  </si>
  <si>
    <t>Corn</t>
  </si>
  <si>
    <t>'000 pounds</t>
  </si>
  <si>
    <t>'000 cwt</t>
  </si>
  <si>
    <t>Soybeans</t>
  </si>
  <si>
    <t>Sugarcane</t>
  </si>
  <si>
    <t>Wheat</t>
  </si>
  <si>
    <r>
      <rPr>
        <sz val="11"/>
        <color theme="1"/>
        <rFont val="Calibri"/>
      </rPr>
      <t>Agricultural Residue Burning -  N</t>
    </r>
    <r>
      <rPr>
        <vertAlign val="subscript"/>
        <sz val="11"/>
        <color theme="1"/>
        <rFont val="Comic Sans MS"/>
      </rPr>
      <t>2</t>
    </r>
    <r>
      <rPr>
        <sz val="11"/>
        <color theme="1"/>
        <rFont val="Comic Sans MS"/>
      </rPr>
      <t>O</t>
    </r>
    <r>
      <rPr>
        <sz val="14"/>
        <color theme="1"/>
        <rFont val="Comic Sans MS"/>
      </rPr>
      <t xml:space="preserve"> Emissions</t>
    </r>
  </si>
  <si>
    <t>Fraction Residue Burned</t>
  </si>
  <si>
    <t>Nitrogen Content</t>
  </si>
  <si>
    <t>Total N Released  (metric tons)</t>
  </si>
  <si>
    <r>
      <rPr>
        <b/>
        <sz val="11"/>
        <color theme="1"/>
        <rFont val="Calibri"/>
      </rPr>
      <t>N</t>
    </r>
    <r>
      <rPr>
        <b/>
        <vertAlign val="subscript"/>
        <sz val="8"/>
        <color theme="1"/>
        <rFont val="Calibri"/>
      </rPr>
      <t>2</t>
    </r>
    <r>
      <rPr>
        <b/>
        <sz val="8"/>
        <color theme="1"/>
        <rFont val="Calibri"/>
      </rPr>
      <t>O Emissions  (metric tons)</t>
    </r>
  </si>
  <si>
    <r>
      <rPr>
        <b/>
        <sz val="11"/>
        <color theme="1"/>
        <rFont val="Calibri"/>
      </rPr>
      <t>N</t>
    </r>
    <r>
      <rPr>
        <b/>
        <vertAlign val="subscript"/>
        <sz val="8"/>
        <color theme="1"/>
        <rFont val="Calibri"/>
      </rPr>
      <t>2</t>
    </r>
    <r>
      <rPr>
        <b/>
        <sz val="8"/>
        <color theme="1"/>
        <rFont val="Calibri"/>
      </rPr>
      <t>O Emissions  (MMTCE)</t>
    </r>
  </si>
  <si>
    <r>
      <rPr>
        <b/>
        <sz val="11"/>
        <color theme="1"/>
        <rFont val="Calibri"/>
      </rPr>
      <t>N</t>
    </r>
    <r>
      <rPr>
        <b/>
        <vertAlign val="subscript"/>
        <sz val="8"/>
        <color theme="1"/>
        <rFont val="Calibri"/>
      </rPr>
      <t>2</t>
    </r>
    <r>
      <rPr>
        <b/>
        <sz val="8"/>
        <color theme="1"/>
        <rFont val="Calibri"/>
      </rPr>
      <t>O Emissions  (MMTCO</t>
    </r>
    <r>
      <rPr>
        <b/>
        <vertAlign val="subscript"/>
        <sz val="8"/>
        <color theme="1"/>
        <rFont val="Calibri"/>
      </rPr>
      <t>2</t>
    </r>
    <r>
      <rPr>
        <b/>
        <sz val="8"/>
        <color theme="1"/>
        <rFont val="Calibri"/>
      </rPr>
      <t>E)</t>
    </r>
  </si>
  <si>
    <t>TOTAL AGRICULTURE</t>
  </si>
  <si>
    <r>
      <rPr>
        <b/>
        <sz val="11"/>
        <color theme="1"/>
        <rFont val="Calibri"/>
      </rPr>
      <t>Emissions (MMTCO</t>
    </r>
    <r>
      <rPr>
        <b/>
        <vertAlign val="subscript"/>
        <sz val="9"/>
        <color theme="1"/>
        <rFont val="Calibri"/>
      </rPr>
      <t xml:space="preserve">2 </t>
    </r>
    <r>
      <rPr>
        <b/>
        <sz val="9"/>
        <color theme="1"/>
        <rFont val="Calibri"/>
      </rPr>
      <t>Eq.)</t>
    </r>
  </si>
  <si>
    <r>
      <rPr>
        <b/>
        <sz val="11"/>
        <color theme="1"/>
        <rFont val="Calibri"/>
      </rPr>
      <t>2011
MMTCO</t>
    </r>
    <r>
      <rPr>
        <b/>
        <vertAlign val="subscript"/>
        <sz val="9"/>
        <color theme="1"/>
        <rFont val="Calibri"/>
      </rPr>
      <t>2</t>
    </r>
    <r>
      <rPr>
        <b/>
        <sz val="9"/>
        <color theme="1"/>
        <rFont val="Calibri"/>
      </rPr>
      <t>E</t>
    </r>
  </si>
  <si>
    <t>Ag Soils</t>
  </si>
  <si>
    <t>Rice Cultivation</t>
  </si>
  <si>
    <t>Agricultural Residue Burning</t>
  </si>
  <si>
    <r>
      <rPr>
        <b/>
        <sz val="11"/>
        <color theme="1"/>
        <rFont val="Calibri"/>
      </rPr>
      <t>Emissions by Gas 
(MMTCH</t>
    </r>
    <r>
      <rPr>
        <b/>
        <vertAlign val="subscript"/>
        <sz val="9"/>
        <color theme="1"/>
        <rFont val="Calibri"/>
      </rPr>
      <t>4</t>
    </r>
    <r>
      <rPr>
        <b/>
        <sz val="9"/>
        <color theme="1"/>
        <rFont val="Calibri"/>
      </rPr>
      <t xml:space="preserve"> or MMTN</t>
    </r>
    <r>
      <rPr>
        <b/>
        <vertAlign val="subscript"/>
        <sz val="9"/>
        <color theme="1"/>
        <rFont val="Calibri"/>
      </rPr>
      <t>2</t>
    </r>
    <r>
      <rPr>
        <b/>
        <sz val="9"/>
        <color theme="1"/>
        <rFont val="Calibri"/>
      </rPr>
      <t>O)</t>
    </r>
  </si>
  <si>
    <r>
      <rPr>
        <b/>
        <sz val="11"/>
        <color theme="1"/>
        <rFont val="Calibri"/>
      </rPr>
      <t>2011
MMTCO</t>
    </r>
    <r>
      <rPr>
        <b/>
        <vertAlign val="subscript"/>
        <sz val="9"/>
        <color theme="1"/>
        <rFont val="Calibri"/>
      </rPr>
      <t>2</t>
    </r>
    <r>
      <rPr>
        <b/>
        <sz val="9"/>
        <color theme="1"/>
        <rFont val="Calibri"/>
      </rPr>
      <t>E</t>
    </r>
  </si>
  <si>
    <t>Methane</t>
  </si>
  <si>
    <t>Nitrous Oxide</t>
  </si>
  <si>
    <r>
      <rPr>
        <b/>
        <sz val="11"/>
        <color theme="1"/>
        <rFont val="Calibri"/>
      </rPr>
      <t>Nitrous Oxide Emissions from Ag Soils (metric tons N</t>
    </r>
    <r>
      <rPr>
        <b/>
        <vertAlign val="subscript"/>
        <sz val="9"/>
        <color theme="1"/>
        <rFont val="Calibri"/>
      </rPr>
      <t>2</t>
    </r>
    <r>
      <rPr>
        <b/>
        <sz val="9"/>
        <color theme="1"/>
        <rFont val="Calibri"/>
      </rPr>
      <t>O)</t>
    </r>
  </si>
  <si>
    <t>Direct</t>
  </si>
  <si>
    <t>Fertilizers</t>
  </si>
  <si>
    <t>Crop Residues</t>
  </si>
  <si>
    <t>N-Fixing Crops</t>
  </si>
  <si>
    <t>Histosols</t>
  </si>
  <si>
    <t>Livestock</t>
  </si>
  <si>
    <t>Indirect</t>
  </si>
  <si>
    <t>Leaching/Runoff</t>
  </si>
  <si>
    <t>CO2 from Urea Fertilization in Maryland</t>
  </si>
  <si>
    <t>Total Urea Applied to Soil</t>
  </si>
  <si>
    <t>(Ton C/Ton urea)</t>
  </si>
  <si>
    <t>(MTCO2E)</t>
  </si>
  <si>
    <t>Emissions from Liming of Soils are calculated by summing carbon emissions from the application of both limestone and dolomite to soil. The masses of limestone and dolomite are multiplied by their carbon emission factors, converted to million metric tons carbon dioxide equivalent, and then summed. For more information, please refer to the Agriculture Chapter of the User's Guide.</t>
  </si>
  <si>
    <t>CO2 from Liming of Agric Soils in Maryland</t>
  </si>
  <si>
    <t>Total Applied to Soil</t>
  </si>
  <si>
    <t>Total Carbon Dioxide Emissions</t>
  </si>
  <si>
    <t>('000 Metric Tons)</t>
  </si>
  <si>
    <t>(Ton C/Ton limestone)</t>
  </si>
  <si>
    <t>Figure ES-1: Gross GHG Emissions by Sector, 2011, Maryland</t>
  </si>
  <si>
    <r>
      <rPr>
        <b/>
        <sz val="11"/>
        <color rgb="FFFFFFFF"/>
        <rFont val="Calibri"/>
      </rPr>
      <t>MMtCO</t>
    </r>
    <r>
      <rPr>
        <b/>
        <vertAlign val="subscript"/>
        <sz val="11"/>
        <color rgb="FFFFFFFF"/>
        <rFont val="Calibri"/>
      </rPr>
      <t>2</t>
    </r>
    <r>
      <rPr>
        <b/>
        <sz val="11"/>
        <color rgb="FFFFFFFF"/>
        <rFont val="Calibri"/>
      </rPr>
      <t>e</t>
    </r>
  </si>
  <si>
    <r>
      <rPr>
        <b/>
        <sz val="11"/>
        <color theme="1"/>
        <rFont val="Calibri"/>
      </rPr>
      <t>Energy Use (CO</t>
    </r>
    <r>
      <rPr>
        <b/>
        <vertAlign val="subscript"/>
        <sz val="11"/>
        <color theme="1"/>
        <rFont val="Calibri"/>
      </rPr>
      <t>2</t>
    </r>
    <r>
      <rPr>
        <b/>
        <sz val="11"/>
        <color theme="1"/>
        <rFont val="Calibri"/>
      </rPr>
      <t>, CH</t>
    </r>
    <r>
      <rPr>
        <b/>
        <vertAlign val="subscript"/>
        <sz val="11"/>
        <color theme="1"/>
        <rFont val="Calibri"/>
      </rPr>
      <t>4</t>
    </r>
    <r>
      <rPr>
        <b/>
        <sz val="11"/>
        <color theme="1"/>
        <rFont val="Calibri"/>
      </rPr>
      <t>, N</t>
    </r>
    <r>
      <rPr>
        <b/>
        <vertAlign val="subscript"/>
        <sz val="11"/>
        <color theme="1"/>
        <rFont val="Calibri"/>
      </rPr>
      <t>2</t>
    </r>
    <r>
      <rPr>
        <b/>
        <sz val="11"/>
        <color theme="1"/>
        <rFont val="Calibri"/>
      </rPr>
      <t>O)</t>
    </r>
  </si>
  <si>
    <r>
      <rPr>
        <b/>
        <sz val="11"/>
        <color theme="1"/>
        <rFont val="Calibri"/>
      </rPr>
      <t>Electricity Use (Consumption)</t>
    </r>
    <r>
      <rPr>
        <b/>
        <vertAlign val="superscript"/>
        <sz val="11"/>
        <color theme="1"/>
        <rFont val="Calibri"/>
      </rPr>
      <t>b</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</si>
  <si>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</si>
  <si>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</si>
  <si>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</si>
  <si>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</si>
  <si>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</si>
  <si>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</si>
  <si>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</si>
  <si>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</si>
  <si>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</si>
  <si>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</si>
  <si>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</si>
  <si>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</si>
  <si>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t>Figure ES-2: Gross GHG Emissions Comparison by Sector, 2006, 2011 &amp; 2020</t>
  </si>
  <si>
    <t xml:space="preserve">      MSW/LFG</t>
  </si>
  <si>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</si>
  <si>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</si>
  <si>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</si>
  <si>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</si>
  <si>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</si>
  <si>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</si>
  <si>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</si>
  <si>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</si>
  <si>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</si>
  <si>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</si>
  <si>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</si>
  <si>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</si>
  <si>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</si>
  <si>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</si>
  <si>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t>Figure ES-3:  Maryland Gross GHG Emissions by Sector, 2006-2020:  Base Year and Projected</t>
  </si>
  <si>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</si>
  <si>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</si>
  <si>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</si>
  <si>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</si>
  <si>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</si>
  <si>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</si>
  <si>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</si>
  <si>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</si>
  <si>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</si>
  <si>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</si>
  <si>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</si>
  <si>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</si>
  <si>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</si>
  <si>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</si>
  <si>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</si>
  <si>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</si>
  <si>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</si>
  <si>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</si>
  <si>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</si>
  <si>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</si>
  <si>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</si>
  <si>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</si>
  <si>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</si>
  <si>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</si>
  <si>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</si>
  <si>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</si>
  <si>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</si>
  <si>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</si>
  <si>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</si>
  <si>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</si>
  <si>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</si>
  <si>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t>Industrial Processes</t>
  </si>
  <si>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</si>
  <si>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</si>
  <si>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</si>
  <si>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</si>
  <si>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</si>
  <si>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</si>
  <si>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</si>
  <si>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</si>
  <si>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</si>
  <si>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</si>
  <si>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</si>
  <si>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</si>
  <si>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</si>
  <si>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</si>
  <si>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HFC, PFC, SF</t>
    </r>
    <r>
      <rPr>
        <vertAlign val="subscript"/>
        <sz val="11"/>
        <color theme="1"/>
        <rFont val="Calibri"/>
      </rPr>
      <t>6</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</si>
  <si>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</si>
  <si>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</si>
  <si>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HFC, PFC, SF</t>
    </r>
    <r>
      <rPr>
        <vertAlign val="subscript"/>
        <sz val="11"/>
        <color theme="1"/>
        <rFont val="Calibri"/>
      </rPr>
      <t>6</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</si>
  <si>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</si>
  <si>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</si>
  <si>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HFC, PFC, SF</t>
    </r>
    <r>
      <rPr>
        <vertAlign val="subscript"/>
        <sz val="11"/>
        <color theme="1"/>
        <rFont val="Calibri"/>
      </rPr>
      <t>6</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</si>
  <si>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</si>
  <si>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</si>
  <si>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HFC, PFC, SF</t>
    </r>
    <r>
      <rPr>
        <vertAlign val="subscript"/>
        <sz val="11"/>
        <color theme="1"/>
        <rFont val="Calibri"/>
      </rPr>
      <t>6</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</si>
  <si>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</si>
  <si>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</si>
  <si>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HFC, PFC, SF</t>
    </r>
    <r>
      <rPr>
        <vertAlign val="subscript"/>
        <sz val="11"/>
        <color theme="1"/>
        <rFont val="Calibri"/>
      </rPr>
      <t>6</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</si>
  <si>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</si>
  <si>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</si>
  <si>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</si>
  <si>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</si>
  <si>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</si>
  <si>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</si>
  <si>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</si>
  <si>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</si>
  <si>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</si>
  <si>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</si>
  <si>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</si>
  <si>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</si>
  <si>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t>Urea Fertilizer Usage</t>
  </si>
  <si>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</si>
  <si>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</si>
  <si>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</si>
  <si>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</si>
  <si>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</si>
  <si>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</si>
  <si>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</si>
  <si>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</si>
  <si>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</si>
  <si>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</si>
  <si>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</si>
  <si>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</si>
  <si>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r>
      <rPr>
        <sz val="11"/>
        <color theme="1"/>
        <rFont val="Calibri"/>
      </rPr>
      <t>CO</t>
    </r>
    <r>
      <rPr>
        <vertAlign val="subscript"/>
        <sz val="11"/>
        <color theme="1"/>
        <rFont val="Calibri"/>
      </rPr>
      <t>2</t>
    </r>
  </si>
  <si>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</si>
  <si>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</si>
  <si>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t>Gross Emissions (Consumption Basis, Excludes Sinks)</t>
  </si>
  <si>
    <t>increase relative to 2006</t>
  </si>
  <si>
    <t>Emissions Sinks</t>
  </si>
  <si>
    <t>Forested Landscape</t>
  </si>
  <si>
    <t>Urban Forestry and Land Use</t>
  </si>
  <si>
    <t>Agricultural Soils (Cultivation Practices)</t>
  </si>
  <si>
    <r>
      <rPr>
        <sz val="11"/>
        <color theme="1"/>
        <rFont val="Calibri"/>
      </rPr>
      <t>CH</t>
    </r>
    <r>
      <rPr>
        <vertAlign val="subscript"/>
        <sz val="11"/>
        <color theme="1"/>
        <rFont val="Calibri"/>
      </rPr>
      <t>4</t>
    </r>
  </si>
  <si>
    <r>
      <rPr>
        <sz val="11"/>
        <color theme="1"/>
        <rFont val="Calibri"/>
      </rPr>
      <t>N</t>
    </r>
    <r>
      <rPr>
        <vertAlign val="subscript"/>
        <sz val="11"/>
        <color theme="1"/>
        <rFont val="Calibri"/>
      </rPr>
      <t>2</t>
    </r>
    <r>
      <rPr>
        <sz val="11"/>
        <color theme="1"/>
        <rFont val="Calibri"/>
      </rPr>
      <t>O</t>
    </r>
  </si>
  <si>
    <t>Net Emissions (Consumptions Basis) (Including forestry, land use, and ag sinks)</t>
  </si>
  <si>
    <t>Figure 2-2: Emissions By Electric Generation Source Sectors</t>
  </si>
  <si>
    <t>Figure 2-4: Gross Generation At Maryland Power Station</t>
  </si>
  <si>
    <t>Figure 2-3: Primary Energy Use At Maryland Power Stations,Plus Imports.</t>
  </si>
  <si>
    <t>MSN</t>
  </si>
  <si>
    <t>2000</t>
  </si>
  <si>
    <t>2001</t>
  </si>
  <si>
    <t>2002</t>
  </si>
  <si>
    <t>2003</t>
  </si>
  <si>
    <t>2004</t>
  </si>
  <si>
    <t>2005</t>
  </si>
  <si>
    <t>2006</t>
  </si>
  <si>
    <t>2007</t>
  </si>
  <si>
    <t>2008</t>
  </si>
  <si>
    <t>2009</t>
  </si>
  <si>
    <t>2010</t>
  </si>
  <si>
    <t>2011</t>
  </si>
  <si>
    <t>CLEIB</t>
  </si>
  <si>
    <t xml:space="preserve">Coal </t>
  </si>
  <si>
    <t>DKEIB</t>
  </si>
  <si>
    <t>DistillateFuel Oil</t>
  </si>
  <si>
    <t>NNEIB</t>
  </si>
  <si>
    <t xml:space="preserve">Natural Gas </t>
  </si>
  <si>
    <t>NUETB</t>
  </si>
  <si>
    <t>Nuclear Power.</t>
  </si>
  <si>
    <t>RFEIB</t>
  </si>
  <si>
    <t xml:space="preserve">Residual Fuel </t>
  </si>
  <si>
    <t>SFEIB</t>
  </si>
  <si>
    <t xml:space="preserve">Supplemental Gaseous Fuels </t>
  </si>
  <si>
    <t>SOTCB</t>
  </si>
  <si>
    <t xml:space="preserve">Photovoltaic and Solar thermal Energy </t>
  </si>
  <si>
    <t>WWEIB</t>
  </si>
  <si>
    <t xml:space="preserve">Wood and Waste </t>
  </si>
  <si>
    <r>
      <t>MMTCO</t>
    </r>
    <r>
      <rPr>
        <b/>
        <vertAlign val="subscript"/>
        <sz val="11"/>
        <color rgb="FFFFFFFF"/>
        <rFont val="Calibri"/>
        <family val="2"/>
      </rPr>
      <t>2</t>
    </r>
    <r>
      <rPr>
        <b/>
        <sz val="11"/>
        <color rgb="FFFFFFFF"/>
        <rFont val="Calibri"/>
        <family val="2"/>
      </rPr>
      <t>e</t>
    </r>
  </si>
  <si>
    <r>
      <t>Energy Use (CO</t>
    </r>
    <r>
      <rPr>
        <vertAlign val="subscript"/>
        <sz val="11"/>
        <color theme="1"/>
        <rFont val="Calibri"/>
        <family val="2"/>
      </rPr>
      <t>2</t>
    </r>
    <r>
      <rPr>
        <sz val="11"/>
        <color theme="1"/>
        <rFont val="Calibri"/>
        <family val="2"/>
      </rPr>
      <t>, CH</t>
    </r>
    <r>
      <rPr>
        <vertAlign val="subscript"/>
        <sz val="11"/>
        <color theme="1"/>
        <rFont val="Calibri"/>
        <family val="2"/>
      </rPr>
      <t>4</t>
    </r>
    <r>
      <rPr>
        <sz val="11"/>
        <color theme="1"/>
        <rFont val="Calibri"/>
        <family val="2"/>
      </rPr>
      <t>, N</t>
    </r>
    <r>
      <rPr>
        <vertAlign val="subscript"/>
        <sz val="11"/>
        <color theme="1"/>
        <rFont val="Calibri"/>
        <family val="2"/>
      </rPr>
      <t>2</t>
    </r>
    <r>
      <rPr>
        <sz val="11"/>
        <color theme="1"/>
        <rFont val="Calibri"/>
        <family val="2"/>
      </rPr>
      <t>O)</t>
    </r>
  </si>
  <si>
    <t>2011 (20-yr)</t>
  </si>
  <si>
    <t>2011 (100-yr)</t>
  </si>
  <si>
    <r>
      <t>CO</t>
    </r>
    <r>
      <rPr>
        <vertAlign val="subscript"/>
        <sz val="11"/>
        <color theme="1"/>
        <rFont val="Calibri"/>
        <family val="2"/>
      </rPr>
      <t>2</t>
    </r>
  </si>
  <si>
    <r>
      <t>CH</t>
    </r>
    <r>
      <rPr>
        <vertAlign val="subscript"/>
        <sz val="11"/>
        <color theme="1"/>
        <rFont val="Calibri"/>
        <family val="2"/>
      </rPr>
      <t>4</t>
    </r>
  </si>
  <si>
    <r>
      <t>N</t>
    </r>
    <r>
      <rPr>
        <vertAlign val="subscript"/>
        <sz val="11"/>
        <color theme="1"/>
        <rFont val="Calibri"/>
        <family val="2"/>
      </rPr>
      <t>2</t>
    </r>
    <r>
      <rPr>
        <sz val="11"/>
        <color theme="1"/>
        <rFont val="Calibri"/>
        <family val="2"/>
      </rPr>
      <t>O</t>
    </r>
  </si>
  <si>
    <t>Natural Gas &amp; LPG</t>
  </si>
  <si>
    <t xml:space="preserve">Wood </t>
  </si>
  <si>
    <t>Natural Gas Industry</t>
  </si>
  <si>
    <t>Oil Industry</t>
  </si>
  <si>
    <t xml:space="preserve">Limestone and Dolomite </t>
  </si>
  <si>
    <t xml:space="preserve">Soda Ash </t>
  </si>
  <si>
    <t>Iron and Steel</t>
  </si>
  <si>
    <r>
      <t>HFC, PFC, SF</t>
    </r>
    <r>
      <rPr>
        <vertAlign val="subscript"/>
        <sz val="11"/>
        <color theme="1"/>
        <rFont val="Calibri"/>
        <family val="2"/>
      </rPr>
      <t>6</t>
    </r>
  </si>
  <si>
    <t>Electricity Transmission and Dist.</t>
  </si>
  <si>
    <t>Ammonia and Urea Production (Nonfertilizer Usage)</t>
  </si>
  <si>
    <t xml:space="preserve">Urea Fertilizer Usage and Liming </t>
  </si>
  <si>
    <r>
      <t>Electric Power Production  and CO</t>
    </r>
    <r>
      <rPr>
        <b/>
        <vertAlign val="subscript"/>
        <sz val="14"/>
        <color theme="1"/>
        <rFont val="Calibri"/>
        <family val="2"/>
      </rPr>
      <t>2</t>
    </r>
    <r>
      <rPr>
        <b/>
        <sz val="14"/>
        <color theme="1"/>
        <rFont val="Calibri"/>
        <family val="2"/>
      </rPr>
      <t xml:space="preserve"> Emissions in Maryland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</si>
</sst>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43" formatCode="_(* #,##0.00_);_(* \(#,##0.00\);_(* &quot;-&quot;??_);_(@_)"/>
    <numFmt numFmtId="164" formatCode="0.000000"/>
    <numFmt numFmtId="165" formatCode="#,##0.00000_);\(#,##0.00000\)"/>
    <numFmt numFmtId="166" formatCode="#,##0.000000_);\(#,##0.000000\)"/>
    <numFmt numFmtId="167" formatCode="_(* #,##0_);_(* \(#,##0\);_(* \-??_);_(@_)"/>
    <numFmt numFmtId="168" formatCode="0.0000"/>
    <numFmt numFmtId="169" formatCode="0.000"/>
    <numFmt numFmtId="170" formatCode="0.0"/>
    <numFmt numFmtId="171" formatCode="_(* #,##0.00_);_(* \(#,##0.00\);_(* \-??_);_(@_)"/>
    <numFmt numFmtId="172" formatCode="_(* #,##0_);_(* \(#,##0\);_(* &quot;-&quot;??_);_(@_)"/>
    <numFmt numFmtId="173" formatCode="_(* #,##0.00000_);_(* \(#,##0.00000\);_(* &quot;-&quot;??_);_(@_)"/>
    <numFmt numFmtId="174" formatCode="#,##0.000"/>
    <numFmt numFmtId="175" formatCode="#,##0.0000"/>
    <numFmt numFmtId="176" formatCode="#,##0.0"/>
    <numFmt numFmtId="177" formatCode="0_);\(0\)"/>
    <numFmt numFmtId="178" formatCode="0.00000"/>
    <numFmt numFmtId="179" formatCode="_(* #,##0.0_);_(* \(#,##0.0\);_(* \-??_);_(@_)"/>
    <numFmt numFmtId="180" formatCode="_(* #,##0.000_);_(* \(#,##0.000\);_(* \-??_);_(@_)"/>
    <numFmt numFmtId="181" formatCode="_(* #,##0.00_);_(* \(#,##0.00\);_(* \-????_);_(@_)"/>
    <numFmt numFmtId="182" formatCode="_(* #,##0.0000_);_(* \(#,##0.0000\);_(* \-??_);_(@_)"/>
    <numFmt numFmtId="183" formatCode="0.0000000"/>
    <numFmt numFmtId="184" formatCode="_(* #,##0.00000_);_(* \(#,##0.00000\);_(* \-??_);_(@_)"/>
    <numFmt numFmtId="185" formatCode="_(* #,##0.000000_);_(* \(#,##0.000000\);_(* \-??_);_(@_)"/>
    <numFmt numFmtId="186" formatCode="_(* #,##0.00000000_);_(* \(#,##0.00000000\);_(* \-??_);_(@_)"/>
    <numFmt numFmtId="187" formatCode="0.00000000"/>
    <numFmt numFmtId="188" formatCode="_(* #,##0.000000_);_(* \(#,##0.000000\);_(* \-??????_);_(@_)"/>
    <numFmt numFmtId="189" formatCode="_(* #,##0.0000_);_(* \(#,##0.0000\);_(* \-????_);_(@_)"/>
    <numFmt numFmtId="190" formatCode="0.00_)"/>
    <numFmt numFmtId="191" formatCode="0_)"/>
    <numFmt numFmtId="192" formatCode="0.0000%"/>
    <numFmt numFmtId="193" formatCode="0.0%"/>
    <numFmt numFmtId="194" formatCode="0.0000000000"/>
    <numFmt numFmtId="195" formatCode="_(* #,##0_);_(* \(#,##0\);_(* \-_);_(@_)"/>
    <numFmt numFmtId="196" formatCode="0.000_)"/>
    <numFmt numFmtId="197" formatCode="0.000000000"/>
    <numFmt numFmtId="198" formatCode="_-* #,##0_-;\-* #,##0_-;_-* \-??_-;_-@"/>
    <numFmt numFmtId="199" formatCode="_-* #,##0.0_-;\-* #,##0.0_-;_-* \-??_-;_-@"/>
    <numFmt numFmtId="200" formatCode="_-* #,##0.00_-;\-* #,##0.00_-;_-* \-??_-;_-@"/>
    <numFmt numFmtId="201" formatCode="_-* #,##0.000_-;\-* #,##0.000_-;_-* \-??_-;_-@"/>
    <numFmt numFmtId="202" formatCode="_-* #,##0.00000_-;\-* #,##0.00000_-;_-* \-??_-;_-@"/>
    <numFmt numFmtId="203" formatCode="_(* #,##0.0000000_);_(* \(#,##0.0000000\);_(* \-??_);_(@_)"/>
    <numFmt numFmtId="204" formatCode="0E+00"/>
    <numFmt numFmtId="205" formatCode="_(* #,##0.00000000_);_(* \(#,##0.00000000\);_(* \-????????_);_(@_)"/>
    <numFmt numFmtId="206" formatCode="0.00000000000000000%"/>
  </numFmts>
  <fonts count="131">
    <font>
      <sz val="8"/>
      <color rgb="FF000000"/>
      <name val="Calibri"/>
      <scheme val="minor"/>
    </font>
    <font>
      <sz val="14"/>
      <color theme="1"/>
      <name val="Calibri"/>
    </font>
    <font>
      <sz val="11"/>
      <color theme="1"/>
      <name val="Calibri"/>
    </font>
    <font>
      <sz val="8"/>
      <color theme="1"/>
      <name val="Calibri"/>
    </font>
    <font>
      <sz val="9"/>
      <color theme="1"/>
      <name val="Calibri"/>
    </font>
    <font>
      <sz val="8"/>
      <name val="Calibri"/>
    </font>
    <font>
      <sz val="7"/>
      <color theme="1"/>
      <name val="Arial"/>
    </font>
    <font>
      <b/>
      <sz val="11"/>
      <color rgb="FFFFFFFF"/>
      <name val="Calibri"/>
    </font>
    <font>
      <b/>
      <sz val="11"/>
      <color theme="1"/>
      <name val="Calibri"/>
    </font>
    <font>
      <i/>
      <sz val="11"/>
      <color theme="1"/>
      <name val="Calibri"/>
    </font>
    <font>
      <b/>
      <sz val="11"/>
      <color rgb="FF000000"/>
      <name val="Calibri"/>
    </font>
    <font>
      <b/>
      <sz val="8"/>
      <color theme="1"/>
      <name val="Calibri"/>
    </font>
    <font>
      <b/>
      <sz val="9"/>
      <color theme="1"/>
      <name val="Calibri"/>
    </font>
    <font>
      <sz val="8"/>
      <color theme="1"/>
      <name val="Arial"/>
    </font>
    <font>
      <b/>
      <sz val="9"/>
      <color rgb="FF000000"/>
      <name val="Calibri"/>
    </font>
    <font>
      <b/>
      <sz val="11"/>
      <color rgb="FF1155CC"/>
      <name val="Calibri"/>
    </font>
    <font>
      <u/>
      <sz val="11"/>
      <color rgb="FF0563C1"/>
      <name val="Calibri"/>
    </font>
    <font>
      <b/>
      <sz val="9"/>
      <color theme="1"/>
      <name val="Arial"/>
    </font>
    <font>
      <i/>
      <sz val="9"/>
      <color theme="1"/>
      <name val="Calibri"/>
    </font>
    <font>
      <sz val="9"/>
      <color theme="1"/>
      <name val="Arial"/>
    </font>
    <font>
      <b/>
      <sz val="8"/>
      <color theme="1"/>
      <name val="&quot;Comic Sans MS&quot;"/>
    </font>
    <font>
      <sz val="8"/>
      <color theme="1"/>
      <name val="&quot;Comic Sans MS&quot;"/>
    </font>
    <font>
      <sz val="8"/>
      <color theme="1"/>
      <name val="Calibri"/>
      <scheme val="minor"/>
    </font>
    <font>
      <sz val="11"/>
      <color rgb="FF993300"/>
      <name val="Calibri"/>
    </font>
    <font>
      <sz val="11"/>
      <color rgb="FF993366"/>
      <name val="Calibri"/>
    </font>
    <font>
      <b/>
      <sz val="11"/>
      <color rgb="FF993366"/>
      <name val="Calibri"/>
    </font>
    <font>
      <b/>
      <sz val="11"/>
      <color rgb="FF993300"/>
      <name val="Calibri"/>
    </font>
    <font>
      <sz val="11"/>
      <color rgb="FF000000"/>
      <name val="Calibri"/>
    </font>
    <font>
      <b/>
      <sz val="11"/>
      <color rgb="FF0000FF"/>
      <name val="Calibri"/>
    </font>
    <font>
      <sz val="11"/>
      <color rgb="FFFF0000"/>
      <name val="Calibri"/>
    </font>
    <font>
      <b/>
      <sz val="11"/>
      <color rgb="FFFF0000"/>
      <name val="Calibri"/>
    </font>
    <font>
      <sz val="11"/>
      <color rgb="FF0000FF"/>
      <name val="Calibri"/>
    </font>
    <font>
      <b/>
      <sz val="11"/>
      <color rgb="FF008000"/>
      <name val="Calibri"/>
    </font>
    <font>
      <sz val="11"/>
      <color rgb="FFFFFFFF"/>
      <name val="Calibri"/>
    </font>
    <font>
      <b/>
      <sz val="11"/>
      <color rgb="FF000000"/>
      <name val="Roboto"/>
    </font>
    <font>
      <sz val="8"/>
      <color rgb="FFFF0000"/>
      <name val="Arial"/>
    </font>
    <font>
      <b/>
      <sz val="11"/>
      <color rgb="FFFF6600"/>
      <name val="Calibri"/>
    </font>
    <font>
      <sz val="11"/>
      <color rgb="FFFF6600"/>
      <name val="Calibri"/>
    </font>
    <font>
      <u/>
      <sz val="8"/>
      <color rgb="FF0000FF"/>
      <name val="Arial"/>
    </font>
    <font>
      <b/>
      <i/>
      <sz val="11"/>
      <color theme="1"/>
      <name val="Calibri"/>
    </font>
    <font>
      <b/>
      <sz val="11"/>
      <color rgb="FF000080"/>
      <name val="Calibri"/>
    </font>
    <font>
      <sz val="18"/>
      <color theme="1"/>
      <name val="Arial"/>
    </font>
    <font>
      <sz val="9"/>
      <color theme="1"/>
      <name val="&quot;Comic Sans MS&quot;"/>
    </font>
    <font>
      <sz val="9"/>
      <color rgb="FFFF0000"/>
      <name val="&quot;Comic Sans MS&quot;"/>
    </font>
    <font>
      <b/>
      <sz val="8"/>
      <color theme="1"/>
      <name val="Arial"/>
    </font>
    <font>
      <sz val="11"/>
      <color rgb="FFFF0000"/>
      <name val="Arial"/>
    </font>
    <font>
      <sz val="18"/>
      <color theme="1"/>
      <name val="Roboto"/>
    </font>
    <font>
      <b/>
      <sz val="12"/>
      <color theme="1"/>
      <name val="Arial"/>
    </font>
    <font>
      <b/>
      <sz val="14"/>
      <color theme="1"/>
      <name val="Garamond"/>
    </font>
    <font>
      <b/>
      <sz val="14"/>
      <color theme="1"/>
      <name val="Arial"/>
    </font>
    <font>
      <b/>
      <sz val="11"/>
      <color theme="1"/>
      <name val="Arial"/>
    </font>
    <font>
      <b/>
      <sz val="10"/>
      <color theme="1"/>
      <name val="Arial"/>
    </font>
    <font>
      <b/>
      <vertAlign val="subscript"/>
      <sz val="11"/>
      <color rgb="FFFFFFFF"/>
      <name val="Calibri"/>
    </font>
    <font>
      <b/>
      <vertAlign val="subscript"/>
      <sz val="11"/>
      <color theme="1"/>
      <name val="Calibri"/>
    </font>
    <font>
      <b/>
      <vertAlign val="superscript"/>
      <sz val="11"/>
      <color theme="1"/>
      <name val="Calibri"/>
    </font>
    <font>
      <vertAlign val="subscript"/>
      <sz val="11"/>
      <color theme="1"/>
      <name val="Calibri"/>
    </font>
    <font>
      <b/>
      <vertAlign val="subscript"/>
      <sz val="14"/>
      <color theme="1"/>
      <name val="Comic Sans MS"/>
    </font>
    <font>
      <b/>
      <sz val="14"/>
      <color theme="1"/>
      <name val="Comic Sans MS"/>
    </font>
    <font>
      <b/>
      <vertAlign val="subscript"/>
      <sz val="9"/>
      <color theme="1"/>
      <name val="Calibri"/>
    </font>
    <font>
      <sz val="11"/>
      <color rgb="FF1155CC"/>
      <name val="Calibri"/>
    </font>
    <font>
      <b/>
      <vertAlign val="subscript"/>
      <sz val="10"/>
      <color theme="1"/>
      <name val="Arial"/>
    </font>
    <font>
      <vertAlign val="subscript"/>
      <sz val="14"/>
      <color theme="1"/>
      <name val="Comic Sans MS"/>
    </font>
    <font>
      <sz val="14"/>
      <color theme="1"/>
      <name val="Comic Sans MS"/>
    </font>
    <font>
      <b/>
      <vertAlign val="subscript"/>
      <sz val="8"/>
      <color theme="1"/>
      <name val="Arial"/>
    </font>
    <font>
      <b/>
      <vertAlign val="subscript"/>
      <sz val="16"/>
      <color rgb="FF0000FF"/>
      <name val="Calibri"/>
    </font>
    <font>
      <b/>
      <sz val="16"/>
      <color rgb="FF0000FF"/>
      <name val="Calibri"/>
    </font>
    <font>
      <vertAlign val="subscript"/>
      <sz val="14"/>
      <color rgb="FF000000"/>
      <name val="Comic Sans MS"/>
    </font>
    <font>
      <b/>
      <vertAlign val="subscript"/>
      <sz val="10"/>
      <color theme="1"/>
      <name val="Comic Sans MS"/>
    </font>
    <font>
      <b/>
      <sz val="10"/>
      <color theme="1"/>
      <name val="Comic Sans MS"/>
    </font>
    <font>
      <vertAlign val="subscript"/>
      <sz val="10"/>
      <color theme="1"/>
      <name val="MS Sans Serif"/>
    </font>
    <font>
      <b/>
      <vertAlign val="subscript"/>
      <sz val="8"/>
      <color theme="1"/>
      <name val="MS Sans Serif"/>
    </font>
    <font>
      <b/>
      <vertAlign val="subscript"/>
      <sz val="10"/>
      <color theme="1"/>
      <name val="MS Sans Serif"/>
    </font>
    <font>
      <b/>
      <sz val="10"/>
      <color theme="1"/>
      <name val="MS Sans Serif"/>
    </font>
    <font>
      <b/>
      <vertAlign val="subscript"/>
      <sz val="8"/>
      <color rgb="FF000000"/>
      <name val="Arial"/>
    </font>
    <font>
      <b/>
      <sz val="8"/>
      <color rgb="FF000000"/>
      <name val="Arial"/>
    </font>
    <font>
      <b/>
      <vertAlign val="subscript"/>
      <sz val="10"/>
      <color theme="1"/>
      <name val="Calibri"/>
    </font>
    <font>
      <b/>
      <sz val="10"/>
      <color theme="1"/>
      <name val="Calibri"/>
    </font>
    <font>
      <b/>
      <vertAlign val="subscript"/>
      <sz val="7"/>
      <color theme="1"/>
      <name val="Comic Sans MS"/>
    </font>
    <font>
      <b/>
      <sz val="7"/>
      <color theme="1"/>
      <name val="Comic Sans MS"/>
    </font>
    <font>
      <sz val="14"/>
      <color rgb="FF000000"/>
      <name val="Comic Sans MS"/>
    </font>
    <font>
      <b/>
      <vertAlign val="subscript"/>
      <sz val="10"/>
      <color theme="1"/>
      <name val="Times New Roman"/>
    </font>
    <font>
      <b/>
      <sz val="10"/>
      <color theme="1"/>
      <name val="Times New Roman"/>
    </font>
    <font>
      <vertAlign val="subscript"/>
      <sz val="10"/>
      <color theme="1"/>
      <name val="Arial"/>
    </font>
    <font>
      <sz val="10"/>
      <color theme="1"/>
      <name val="Arial"/>
    </font>
    <font>
      <b/>
      <vertAlign val="subscript"/>
      <sz val="10"/>
      <color rgb="FFFF6600"/>
      <name val="Arial"/>
    </font>
    <font>
      <b/>
      <sz val="10"/>
      <color rgb="FFFF6600"/>
      <name val="Arial"/>
    </font>
    <font>
      <b/>
      <vertAlign val="subscript"/>
      <sz val="11"/>
      <color rgb="FFFF6600"/>
      <name val="Calibri"/>
    </font>
    <font>
      <vertAlign val="subscript"/>
      <sz val="8"/>
      <color theme="1"/>
      <name val="Arial"/>
    </font>
    <font>
      <b/>
      <vertAlign val="subscript"/>
      <sz val="8"/>
      <color theme="1"/>
      <name val="Comic Sans MS"/>
    </font>
    <font>
      <b/>
      <sz val="8"/>
      <color theme="1"/>
      <name val="Comic Sans MS"/>
    </font>
    <font>
      <vertAlign val="subscript"/>
      <sz val="8"/>
      <color theme="1"/>
      <name val="Comic Sans MS"/>
    </font>
    <font>
      <sz val="8"/>
      <color theme="1"/>
      <name val="Comic Sans MS"/>
    </font>
    <font>
      <i/>
      <sz val="10"/>
      <color theme="1"/>
      <name val="Arial"/>
    </font>
    <font>
      <vertAlign val="subscript"/>
      <sz val="7"/>
      <color theme="1"/>
      <name val="Comic Sans MS"/>
    </font>
    <font>
      <sz val="7"/>
      <color theme="1"/>
      <name val="Comic Sans MS"/>
    </font>
    <font>
      <vertAlign val="subscript"/>
      <sz val="14"/>
      <color theme="1"/>
      <name val="Calibri"/>
    </font>
    <font>
      <b/>
      <vertAlign val="subscript"/>
      <sz val="7"/>
      <color theme="1"/>
      <name val="Calibri"/>
    </font>
    <font>
      <b/>
      <sz val="7"/>
      <color theme="1"/>
      <name val="Calibri"/>
    </font>
    <font>
      <vertAlign val="superscript"/>
      <sz val="11"/>
      <color rgb="FFFF0000"/>
      <name val="Calibri"/>
    </font>
    <font>
      <vertAlign val="subscript"/>
      <sz val="11"/>
      <color rgb="FFFF0000"/>
      <name val="Calibri"/>
    </font>
    <font>
      <b/>
      <vertAlign val="superscript"/>
      <sz val="7"/>
      <color theme="1"/>
      <name val="Calibri"/>
    </font>
    <font>
      <b/>
      <vertAlign val="subscript"/>
      <sz val="8"/>
      <color theme="1"/>
      <name val="Calibri"/>
    </font>
    <font>
      <b/>
      <vertAlign val="subscript"/>
      <sz val="12"/>
      <color rgb="FF000000"/>
      <name val="Comic Sans MS"/>
    </font>
    <font>
      <vertAlign val="superscript"/>
      <sz val="7"/>
      <color theme="1"/>
      <name val="Comic Sans MS"/>
    </font>
    <font>
      <b/>
      <vertAlign val="subscript"/>
      <sz val="7"/>
      <color theme="1"/>
      <name val="Arial"/>
    </font>
    <font>
      <b/>
      <sz val="7"/>
      <color theme="1"/>
      <name val="Arial"/>
    </font>
    <font>
      <b/>
      <vertAlign val="superscript"/>
      <sz val="7"/>
      <color theme="1"/>
      <name val="Comic Sans MS"/>
    </font>
    <font>
      <vertAlign val="subscript"/>
      <sz val="12"/>
      <color theme="1"/>
      <name val="Comic Sans MS"/>
    </font>
    <font>
      <sz val="12"/>
      <color theme="1"/>
      <name val="Comic Sans MS"/>
    </font>
    <font>
      <vertAlign val="subscript"/>
      <sz val="8"/>
      <color theme="1"/>
      <name val="Calibri"/>
    </font>
    <font>
      <b/>
      <vertAlign val="subscript"/>
      <sz val="8"/>
      <color rgb="FFFF0000"/>
      <name val="Calibri"/>
    </font>
    <font>
      <b/>
      <sz val="8"/>
      <color rgb="FFFF0000"/>
      <name val="Calibri"/>
    </font>
    <font>
      <vertAlign val="subscript"/>
      <sz val="11"/>
      <color theme="1"/>
      <name val="Comic Sans MS"/>
    </font>
    <font>
      <sz val="11"/>
      <color theme="1"/>
      <name val="Comic Sans MS"/>
    </font>
    <font>
      <b/>
      <sz val="14"/>
      <color rgb="FF000000"/>
      <name val="Calibri"/>
      <family val="2"/>
      <scheme val="minor"/>
    </font>
    <font>
      <sz val="8"/>
      <color theme="1"/>
      <name val="Calibri"/>
      <family val="2"/>
    </font>
    <font>
      <b/>
      <sz val="11"/>
      <color rgb="FFFFFFFF"/>
      <name val="Calibri"/>
      <family val="2"/>
    </font>
    <font>
      <b/>
      <vertAlign val="subscript"/>
      <sz val="11"/>
      <color rgb="FFFFFFFF"/>
      <name val="Calibri"/>
      <family val="2"/>
    </font>
    <font>
      <sz val="11"/>
      <name val="Calibri"/>
      <family val="2"/>
    </font>
    <font>
      <b/>
      <sz val="14"/>
      <color theme="1"/>
      <name val="Calibri"/>
      <family val="2"/>
      <scheme val="major"/>
    </font>
    <font>
      <sz val="14"/>
      <name val="Calibri"/>
      <family val="2"/>
      <scheme val="major"/>
    </font>
    <font>
      <sz val="11"/>
      <color theme="1"/>
      <name val="Calibri"/>
      <family val="2"/>
    </font>
    <font>
      <b/>
      <sz val="11"/>
      <color theme="1"/>
      <name val="Calibri"/>
      <family val="2"/>
    </font>
    <font>
      <sz val="14"/>
      <color theme="1"/>
      <name val="Comic Sans MS"/>
      <family val="4"/>
    </font>
    <font>
      <vertAlign val="subscript"/>
      <sz val="11"/>
      <color theme="1"/>
      <name val="Calibri"/>
      <family val="2"/>
    </font>
    <font>
      <i/>
      <sz val="11"/>
      <color theme="1"/>
      <name val="Calibri"/>
      <family val="2"/>
    </font>
    <font>
      <sz val="11"/>
      <color rgb="FFFF0000"/>
      <name val="Calibri"/>
      <family val="2"/>
    </font>
    <font>
      <b/>
      <sz val="8"/>
      <color theme="1"/>
      <name val="Calibri"/>
      <family val="2"/>
    </font>
    <font>
      <sz val="7"/>
      <color theme="1"/>
      <name val="Arial"/>
      <family val="2"/>
    </font>
    <font>
      <b/>
      <sz val="14"/>
      <color theme="1"/>
      <name val="Calibri"/>
      <family val="2"/>
    </font>
    <font>
      <b/>
      <vertAlign val="subscript"/>
      <sz val="14"/>
      <color theme="1"/>
      <name val="Calibri"/>
      <family val="2"/>
    </font>
  </fonts>
  <fills count="44">
    <fill>
      <patternFill patternType="none"/>
    </fill>
    <fill>
      <patternFill patternType="gray125"/>
    </fill>
    <fill>
      <patternFill patternType="solid">
        <fgColor rgb="FFFFFFFF"/>
        <bgColor rgb="FFFFFFFF"/>
      </patternFill>
    </fill>
    <fill>
      <patternFill patternType="solid">
        <fgColor rgb="FF333333"/>
        <bgColor rgb="FF333333"/>
      </patternFill>
    </fill>
    <fill>
      <patternFill patternType="solid">
        <fgColor rgb="FFFFFF99"/>
        <bgColor rgb="FFFFFF99"/>
      </patternFill>
    </fill>
    <fill>
      <patternFill patternType="solid">
        <fgColor rgb="FFBFBFBF"/>
        <bgColor rgb="FFBFBFBF"/>
      </patternFill>
    </fill>
    <fill>
      <patternFill patternType="solid">
        <fgColor rgb="FFD9D9D9"/>
        <bgColor rgb="FFD9D9D9"/>
      </patternFill>
    </fill>
    <fill>
      <patternFill patternType="solid">
        <fgColor rgb="FFCCFFFF"/>
        <bgColor rgb="FFCCFFFF"/>
      </patternFill>
    </fill>
    <fill>
      <patternFill patternType="solid">
        <fgColor rgb="FFCCFFCC"/>
        <bgColor rgb="FFCCFFCC"/>
      </patternFill>
    </fill>
    <fill>
      <patternFill patternType="solid">
        <fgColor rgb="FFCC99FF"/>
        <bgColor rgb="FFCC99FF"/>
      </patternFill>
    </fill>
    <fill>
      <patternFill patternType="solid">
        <fgColor rgb="FFA4C2F4"/>
        <bgColor rgb="FFA4C2F4"/>
      </patternFill>
    </fill>
    <fill>
      <patternFill patternType="solid">
        <fgColor rgb="FFFCE4D6"/>
        <bgColor rgb="FFFCE4D6"/>
      </patternFill>
    </fill>
    <fill>
      <patternFill patternType="solid">
        <fgColor rgb="FFB7B7B7"/>
        <bgColor rgb="FFB7B7B7"/>
      </patternFill>
    </fill>
    <fill>
      <patternFill patternType="solid">
        <fgColor rgb="FF999999"/>
        <bgColor rgb="FF999999"/>
      </patternFill>
    </fill>
    <fill>
      <patternFill patternType="solid">
        <fgColor rgb="FFC0C0C0"/>
        <bgColor rgb="FFC0C0C0"/>
      </patternFill>
    </fill>
    <fill>
      <patternFill patternType="solid">
        <fgColor rgb="FFCCCCCC"/>
        <bgColor rgb="FFCCCCCC"/>
      </patternFill>
    </fill>
    <fill>
      <patternFill patternType="solid">
        <fgColor rgb="FF99CC00"/>
        <bgColor rgb="FF99CC00"/>
      </patternFill>
    </fill>
    <fill>
      <patternFill patternType="solid">
        <fgColor rgb="FFFFF2CC"/>
        <bgColor rgb="FFFFF2CC"/>
      </patternFill>
    </fill>
    <fill>
      <patternFill patternType="solid">
        <fgColor rgb="FFFF99CC"/>
        <bgColor rgb="FFFF99CC"/>
      </patternFill>
    </fill>
    <fill>
      <patternFill patternType="solid">
        <fgColor rgb="FFFCE5CD"/>
        <bgColor rgb="FFFCE5CD"/>
      </patternFill>
    </fill>
    <fill>
      <patternFill patternType="solid">
        <fgColor rgb="FFCFE2F3"/>
        <bgColor rgb="FFCFE2F3"/>
      </patternFill>
    </fill>
    <fill>
      <patternFill patternType="solid">
        <fgColor rgb="FFEAD1DC"/>
        <bgColor rgb="FFEAD1DC"/>
      </patternFill>
    </fill>
    <fill>
      <patternFill patternType="solid">
        <fgColor rgb="FFD9EAD3"/>
        <bgColor rgb="FFD9EAD3"/>
      </patternFill>
    </fill>
    <fill>
      <patternFill patternType="solid">
        <fgColor rgb="FFEFEFEF"/>
        <bgColor rgb="FFEFEFEF"/>
      </patternFill>
    </fill>
    <fill>
      <patternFill patternType="solid">
        <fgColor rgb="FFFFCC99"/>
        <bgColor rgb="FFFFCC99"/>
      </patternFill>
    </fill>
    <fill>
      <patternFill patternType="solid">
        <fgColor rgb="FF00FF00"/>
        <bgColor rgb="FF00FF00"/>
      </patternFill>
    </fill>
    <fill>
      <patternFill patternType="solid">
        <fgColor rgb="FFFF00FF"/>
        <bgColor rgb="FFFF00FF"/>
      </patternFill>
    </fill>
    <fill>
      <patternFill patternType="solid">
        <fgColor rgb="FF808080"/>
        <bgColor rgb="FF808080"/>
      </patternFill>
    </fill>
    <fill>
      <patternFill patternType="solid">
        <fgColor rgb="FF800000"/>
        <bgColor rgb="FF800000"/>
      </patternFill>
    </fill>
    <fill>
      <patternFill patternType="solid">
        <fgColor rgb="FF969696"/>
        <bgColor rgb="FF969696"/>
      </patternFill>
    </fill>
    <fill>
      <patternFill patternType="solid">
        <fgColor rgb="FF808000"/>
        <bgColor rgb="FF808000"/>
      </patternFill>
    </fill>
    <fill>
      <patternFill patternType="solid">
        <fgColor rgb="FFFFFF00"/>
        <bgColor rgb="FFFFFF00"/>
      </patternFill>
    </fill>
    <fill>
      <patternFill patternType="solid">
        <fgColor rgb="FF00CCFF"/>
        <bgColor rgb="FF00CCFF"/>
      </patternFill>
    </fill>
    <fill>
      <patternFill patternType="solid">
        <fgColor rgb="FFFF6600"/>
        <bgColor rgb="FFFF6600"/>
      </patternFill>
    </fill>
    <fill>
      <patternFill patternType="solid">
        <fgColor rgb="FF339966"/>
        <bgColor rgb="FF339966"/>
      </patternFill>
    </fill>
    <fill>
      <patternFill patternType="solid">
        <fgColor rgb="FFFF0000"/>
        <bgColor rgb="FFFF0000"/>
      </patternFill>
    </fill>
    <fill>
      <patternFill patternType="solid">
        <fgColor rgb="FF008000"/>
        <bgColor rgb="FF008000"/>
      </patternFill>
    </fill>
    <fill>
      <patternFill patternType="solid">
        <fgColor rgb="FF99CCFF"/>
        <bgColor rgb="FF99CCFF"/>
      </patternFill>
    </fill>
    <fill>
      <patternFill patternType="solid">
        <fgColor rgb="FF33CCCC"/>
        <bgColor rgb="FF33CCCC"/>
      </patternFill>
    </fill>
    <fill>
      <patternFill patternType="solid">
        <fgColor rgb="FFCCC0D9"/>
        <bgColor rgb="FFCCC0D9"/>
      </patternFill>
    </fill>
    <fill>
      <patternFill patternType="solid">
        <fgColor rgb="FFFFCC00"/>
        <bgColor rgb="FFFFCC00"/>
      </patternFill>
    </fill>
    <fill>
      <patternFill patternType="solid">
        <fgColor rgb="FF666699"/>
        <bgColor rgb="FF666699"/>
      </patternFill>
    </fill>
    <fill>
      <patternFill patternType="solid">
        <fgColor rgb="FFC4BD97"/>
        <bgColor rgb="FFC4BD97"/>
      </patternFill>
    </fill>
    <fill>
      <patternFill patternType="solid">
        <fgColor rgb="FFFFFF99"/>
        <bgColor indexed="64"/>
      </patternFill>
    </fill>
  </fills>
  <borders count="361">
    <border>
      <left/>
      <right/>
      <top/>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style="medium">
        <color rgb="FF000000"/>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C0C0C0"/>
      </right>
      <top/>
      <bottom style="thin">
        <color rgb="FF000000"/>
      </bottom>
      <diagonal/>
    </border>
    <border>
      <left style="medium">
        <color rgb="FFC0C0C0"/>
      </left>
      <right/>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C0C0C0"/>
      </right>
      <top style="thin">
        <color rgb="FF000000"/>
      </top>
      <bottom style="thin">
        <color rgb="FFC0C0C0"/>
      </bottom>
      <diagonal/>
    </border>
    <border>
      <left style="thin">
        <color rgb="FFC0C0C0"/>
      </left>
      <right/>
      <top style="thin">
        <color rgb="FF000000"/>
      </top>
      <bottom style="thin">
        <color rgb="FFC0C0C0"/>
      </bottom>
      <diagonal/>
    </border>
    <border>
      <left style="medium">
        <color rgb="FF00000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rgb="FF000000"/>
      </left>
      <right style="medium">
        <color rgb="FF000000"/>
      </right>
      <top/>
      <bottom/>
      <diagonal/>
    </border>
    <border>
      <left style="medium">
        <color rgb="FF000000"/>
      </left>
      <right style="thin">
        <color rgb="FFC0C0C0"/>
      </right>
      <top style="thin">
        <color rgb="FFC0C0C0"/>
      </top>
      <bottom style="thin">
        <color rgb="FF000000"/>
      </bottom>
      <diagonal/>
    </border>
    <border>
      <left style="thin">
        <color rgb="FFC0C0C0"/>
      </left>
      <right/>
      <top style="thin">
        <color rgb="FFC0C0C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diagonal/>
    </border>
    <border>
      <left/>
      <right style="medium">
        <color rgb="FF000000"/>
      </right>
      <top/>
      <bottom style="thin">
        <color rgb="FF000000"/>
      </bottom>
      <diagonal/>
    </border>
    <border>
      <left style="medium">
        <color rgb="FF000000"/>
      </left>
      <right style="thin">
        <color rgb="FF000000"/>
      </right>
      <top/>
      <bottom style="thin">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style="medium">
        <color rgb="FF000000"/>
      </top>
      <bottom/>
      <diagonal/>
    </border>
    <border>
      <left/>
      <right style="medium">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right/>
      <top/>
      <bottom/>
      <diagonal/>
    </border>
    <border>
      <left/>
      <right style="medium">
        <color rgb="FF000000"/>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ouble">
        <color rgb="FF000000"/>
      </left>
      <right style="medium">
        <color rgb="FF000000"/>
      </right>
      <top style="double">
        <color rgb="FF000000"/>
      </top>
      <bottom/>
      <diagonal/>
    </border>
    <border>
      <left style="medium">
        <color rgb="FF000000"/>
      </left>
      <right style="medium">
        <color rgb="FF000000"/>
      </right>
      <top style="double">
        <color rgb="FF000000"/>
      </top>
      <bottom/>
      <diagonal/>
    </border>
    <border>
      <left style="medium">
        <color rgb="FF000000"/>
      </left>
      <right style="double">
        <color rgb="FF000000"/>
      </right>
      <top style="double">
        <color rgb="FF000000"/>
      </top>
      <bottom/>
      <diagonal/>
    </border>
    <border>
      <left style="double">
        <color rgb="FF000000"/>
      </left>
      <right/>
      <top/>
      <bottom/>
      <diagonal/>
    </border>
    <border>
      <left style="double">
        <color rgb="FF000000"/>
      </left>
      <right/>
      <top/>
      <bottom style="medium">
        <color rgb="FF000000"/>
      </bottom>
      <diagonal/>
    </border>
    <border>
      <left style="medium">
        <color rgb="FF000000"/>
      </left>
      <right style="double">
        <color rgb="FF000000"/>
      </right>
      <top/>
      <bottom style="medium">
        <color rgb="FF000000"/>
      </bottom>
      <diagonal/>
    </border>
    <border>
      <left style="double">
        <color rgb="FF000000"/>
      </left>
      <right/>
      <top style="medium">
        <color rgb="FF000000"/>
      </top>
      <bottom/>
      <diagonal/>
    </border>
    <border>
      <left style="medium">
        <color rgb="FF000000"/>
      </left>
      <right style="medium">
        <color rgb="FF000000"/>
      </right>
      <top style="medium">
        <color rgb="FF000000"/>
      </top>
      <bottom/>
      <diagonal/>
    </border>
    <border>
      <left style="medium">
        <color rgb="FF000000"/>
      </left>
      <right style="double">
        <color rgb="FF000000"/>
      </right>
      <top style="medium">
        <color rgb="FF000000"/>
      </top>
      <bottom/>
      <diagonal/>
    </border>
    <border>
      <left style="double">
        <color rgb="FF000000"/>
      </left>
      <right/>
      <top style="thin">
        <color rgb="FF000000"/>
      </top>
      <bottom style="thin">
        <color rgb="FF000000"/>
      </bottom>
      <diagonal/>
    </border>
    <border>
      <left style="medium">
        <color rgb="FF000000"/>
      </left>
      <right style="double">
        <color rgb="FF000000"/>
      </right>
      <top style="thin">
        <color rgb="FF000000"/>
      </top>
      <bottom style="thin">
        <color rgb="FF000000"/>
      </bottom>
      <diagonal/>
    </border>
    <border>
      <left style="double">
        <color rgb="FF000000"/>
      </left>
      <right/>
      <top style="thin">
        <color rgb="FF000000"/>
      </top>
      <bottom/>
      <diagonal/>
    </border>
    <border>
      <left style="medium">
        <color rgb="FF000000"/>
      </left>
      <right style="medium">
        <color rgb="FF000000"/>
      </right>
      <top style="thin">
        <color rgb="FF000000"/>
      </top>
      <bottom/>
      <diagonal/>
    </border>
    <border>
      <left style="medium">
        <color rgb="FF000000"/>
      </left>
      <right style="double">
        <color rgb="FF000000"/>
      </right>
      <top style="thin">
        <color rgb="FF000000"/>
      </top>
      <bottom/>
      <diagonal/>
    </border>
    <border>
      <left style="double">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double">
        <color rgb="FF000000"/>
      </right>
      <top style="medium">
        <color rgb="FF000000"/>
      </top>
      <bottom style="medium">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medium">
        <color rgb="FF000000"/>
      </left>
      <right/>
      <top style="double">
        <color rgb="FF000000"/>
      </top>
      <bottom/>
      <diagonal/>
    </border>
    <border>
      <left style="double">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double">
        <color rgb="FF000000"/>
      </right>
      <top style="medium">
        <color rgb="FF000000"/>
      </top>
      <bottom style="medium">
        <color rgb="FF000000"/>
      </bottom>
      <diagonal/>
    </border>
    <border>
      <left style="double">
        <color rgb="FF000000"/>
      </left>
      <right/>
      <top/>
      <bottom style="double">
        <color rgb="FF000000"/>
      </bottom>
      <diagonal/>
    </border>
    <border>
      <left style="medium">
        <color rgb="FF000000"/>
      </left>
      <right style="medium">
        <color rgb="FF000000"/>
      </right>
      <top/>
      <bottom style="double">
        <color rgb="FF000000"/>
      </bottom>
      <diagonal/>
    </border>
    <border>
      <left style="medium">
        <color rgb="FF000000"/>
      </left>
      <right style="double">
        <color rgb="FF000000"/>
      </right>
      <top/>
      <bottom style="double">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style="thin">
        <color rgb="FF000000"/>
      </bottom>
      <diagonal/>
    </border>
    <border>
      <left style="medium">
        <color rgb="FF000000"/>
      </left>
      <right/>
      <top/>
      <bottom/>
      <diagonal/>
    </border>
    <border>
      <left/>
      <right/>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top style="thin">
        <color rgb="FF000000"/>
      </top>
      <bottom/>
      <diagonal/>
    </border>
    <border>
      <left style="medium">
        <color rgb="FF000000"/>
      </left>
      <right/>
      <top style="thin">
        <color rgb="FF000000"/>
      </top>
      <bottom style="thin">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double">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bottom style="double">
        <color rgb="FF000000"/>
      </bottom>
      <diagonal/>
    </border>
    <border>
      <left/>
      <right/>
      <top style="double">
        <color rgb="FF000000"/>
      </top>
      <bottom/>
      <diagonal/>
    </border>
    <border>
      <left/>
      <right/>
      <top/>
      <bottom style="double">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double">
        <color rgb="FF000000"/>
      </right>
      <top style="medium">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ck">
        <color rgb="FF000000"/>
      </top>
      <bottom style="thick">
        <color rgb="FF000000"/>
      </bottom>
      <diagonal/>
    </border>
    <border>
      <left style="thin">
        <color rgb="FF000000"/>
      </left>
      <right/>
      <top style="thick">
        <color rgb="FF000000"/>
      </top>
      <bottom style="thick">
        <color rgb="FF000000"/>
      </bottom>
      <diagonal/>
    </border>
    <border>
      <left/>
      <right style="thin">
        <color rgb="FF000000"/>
      </right>
      <top style="thick">
        <color rgb="FF000000"/>
      </top>
      <bottom style="thick">
        <color rgb="FF000000"/>
      </bottom>
      <diagonal/>
    </border>
    <border>
      <left style="double">
        <color rgb="FF000000"/>
      </left>
      <right style="thin">
        <color rgb="FF000000"/>
      </right>
      <top/>
      <bottom/>
      <diagonal/>
    </border>
    <border>
      <left/>
      <right style="thin">
        <color rgb="FF000000"/>
      </right>
      <top style="medium">
        <color rgb="FF000000"/>
      </top>
      <bottom style="medium">
        <color rgb="FF000000"/>
      </bottom>
      <diagonal/>
    </border>
    <border>
      <left style="thin">
        <color rgb="FF000000"/>
      </left>
      <right style="double">
        <color rgb="FF000000"/>
      </right>
      <top style="thick">
        <color rgb="FF000000"/>
      </top>
      <bottom style="thick">
        <color rgb="FF000000"/>
      </bottom>
      <diagonal/>
    </border>
    <border>
      <left style="double">
        <color rgb="FF000000"/>
      </left>
      <right style="medium">
        <color rgb="FF000000"/>
      </right>
      <top style="double">
        <color rgb="FF000000"/>
      </top>
      <bottom/>
      <diagonal/>
    </border>
    <border>
      <left style="medium">
        <color rgb="FF000000"/>
      </left>
      <right style="medium">
        <color rgb="FF000000"/>
      </right>
      <top style="double">
        <color rgb="FF000000"/>
      </top>
      <bottom/>
      <diagonal/>
    </border>
    <border>
      <left/>
      <right style="medium">
        <color rgb="FF000000"/>
      </right>
      <top style="double">
        <color rgb="FF000000"/>
      </top>
      <bottom/>
      <diagonal/>
    </border>
    <border>
      <left style="medium">
        <color rgb="FF000000"/>
      </left>
      <right style="double">
        <color rgb="FF000000"/>
      </right>
      <top style="double">
        <color rgb="FF000000"/>
      </top>
      <bottom/>
      <diagonal/>
    </border>
    <border>
      <left style="double">
        <color rgb="FF000000"/>
      </left>
      <right style="medium">
        <color rgb="FF000000"/>
      </right>
      <top/>
      <bottom/>
      <diagonal/>
    </border>
    <border>
      <left style="medium">
        <color rgb="FF000000"/>
      </left>
      <right style="double">
        <color rgb="FF000000"/>
      </right>
      <top/>
      <bottom/>
      <diagonal/>
    </border>
    <border>
      <left style="double">
        <color rgb="FF000000"/>
      </left>
      <right style="medium">
        <color rgb="FF000000"/>
      </right>
      <top/>
      <bottom style="medium">
        <color rgb="FF000000"/>
      </bottom>
      <diagonal/>
    </border>
    <border>
      <left style="double">
        <color rgb="FF000000"/>
      </left>
      <right/>
      <top style="medium">
        <color rgb="FF000000"/>
      </top>
      <bottom style="thin">
        <color rgb="FF000000"/>
      </bottom>
      <diagonal/>
    </border>
    <border>
      <left style="medium">
        <color rgb="FF000000"/>
      </left>
      <right style="double">
        <color rgb="FF000000"/>
      </right>
      <top style="medium">
        <color rgb="FF000000"/>
      </top>
      <bottom style="thin">
        <color rgb="FF000000"/>
      </bottom>
      <diagonal/>
    </border>
    <border>
      <left style="double">
        <color rgb="FF000000"/>
      </left>
      <right/>
      <top style="thin">
        <color rgb="FF000000"/>
      </top>
      <bottom style="medium">
        <color rgb="FF000000"/>
      </bottom>
      <diagonal/>
    </border>
    <border>
      <left style="medium">
        <color rgb="FF000000"/>
      </left>
      <right style="double">
        <color rgb="FF000000"/>
      </right>
      <top style="thin">
        <color rgb="FF000000"/>
      </top>
      <bottom style="medium">
        <color rgb="FF000000"/>
      </bottom>
      <diagonal/>
    </border>
    <border>
      <left style="double">
        <color rgb="FF000000"/>
      </left>
      <right/>
      <top/>
      <bottom style="medium">
        <color rgb="FF000000"/>
      </bottom>
      <diagonal/>
    </border>
    <border>
      <left style="medium">
        <color rgb="FF000000"/>
      </left>
      <right style="double">
        <color rgb="FF000000"/>
      </right>
      <top/>
      <bottom style="medium">
        <color rgb="FF000000"/>
      </bottom>
      <diagonal/>
    </border>
    <border>
      <left/>
      <right style="thin">
        <color rgb="FF000000"/>
      </right>
      <top style="medium">
        <color rgb="FF000000"/>
      </top>
      <bottom/>
      <diagonal/>
    </border>
    <border>
      <left/>
      <right style="thin">
        <color rgb="FF000000"/>
      </right>
      <top style="thin">
        <color rgb="FF000000"/>
      </top>
      <bottom style="thin">
        <color rgb="FF000000"/>
      </bottom>
      <diagonal/>
    </border>
    <border>
      <left style="double">
        <color rgb="FF000000"/>
      </left>
      <right style="medium">
        <color rgb="FF000000"/>
      </right>
      <top style="thin">
        <color rgb="FF000000"/>
      </top>
      <bottom style="thin">
        <color rgb="FF000000"/>
      </bottom>
      <diagonal/>
    </border>
    <border>
      <left style="medium">
        <color rgb="FF000000"/>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medium">
        <color rgb="FF000000"/>
      </left>
      <right style="double">
        <color rgb="FF000000"/>
      </right>
      <top/>
      <bottom style="thick">
        <color rgb="FF000000"/>
      </bottom>
      <diagonal/>
    </border>
    <border>
      <left style="double">
        <color rgb="FF000000"/>
      </left>
      <right style="thin">
        <color rgb="FF000000"/>
      </right>
      <top style="thick">
        <color rgb="FF000000"/>
      </top>
      <bottom style="thick">
        <color rgb="FF000000"/>
      </bottom>
      <diagonal/>
    </border>
    <border>
      <left style="medium">
        <color rgb="FF000000"/>
      </left>
      <right style="medium">
        <color rgb="FF000000"/>
      </right>
      <top style="thick">
        <color rgb="FF000000"/>
      </top>
      <bottom style="thick">
        <color rgb="FF000000"/>
      </bottom>
      <diagonal/>
    </border>
    <border>
      <left style="medium">
        <color rgb="FF000000"/>
      </left>
      <right style="double">
        <color rgb="FF000000"/>
      </right>
      <top style="thick">
        <color rgb="FF000000"/>
      </top>
      <bottom style="thick">
        <color rgb="FF000000"/>
      </bottom>
      <diagonal/>
    </border>
    <border>
      <left style="double">
        <color rgb="FF000000"/>
      </left>
      <right/>
      <top/>
      <bottom style="thick">
        <color rgb="FF000000"/>
      </bottom>
      <diagonal/>
    </border>
    <border>
      <left/>
      <right/>
      <top/>
      <bottom style="thick">
        <color rgb="FF000000"/>
      </bottom>
      <diagonal/>
    </border>
    <border>
      <left style="double">
        <color rgb="FF000000"/>
      </left>
      <right/>
      <top style="thick">
        <color rgb="FF000000"/>
      </top>
      <bottom style="thick">
        <color rgb="FF000000"/>
      </bottom>
      <diagonal/>
    </border>
    <border>
      <left/>
      <right/>
      <top style="thick">
        <color rgb="FF000000"/>
      </top>
      <bottom style="thick">
        <color rgb="FF000000"/>
      </bottom>
      <diagonal/>
    </border>
    <border>
      <left/>
      <right style="double">
        <color rgb="FF000000"/>
      </right>
      <top/>
      <bottom style="double">
        <color rgb="FF000000"/>
      </bottom>
      <diagonal/>
    </border>
    <border>
      <left style="double">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double">
        <color rgb="FF000000"/>
      </right>
      <top/>
      <bottom style="thin">
        <color rgb="FF000000"/>
      </bottom>
      <diagonal/>
    </border>
    <border>
      <left style="double">
        <color rgb="FF000000"/>
      </left>
      <right style="medium">
        <color rgb="FF000000"/>
      </right>
      <top style="medium">
        <color rgb="FF000000"/>
      </top>
      <bottom style="thin">
        <color rgb="FF000000"/>
      </bottom>
      <diagonal/>
    </border>
    <border>
      <left style="double">
        <color rgb="FF000000"/>
      </left>
      <right style="medium">
        <color rgb="FF000000"/>
      </right>
      <top style="medium">
        <color rgb="FF000000"/>
      </top>
      <bottom/>
      <diagonal/>
    </border>
    <border>
      <left/>
      <right style="double">
        <color rgb="FF000000"/>
      </right>
      <top/>
      <bottom/>
      <diagonal/>
    </border>
    <border>
      <left/>
      <right/>
      <top style="medium">
        <color rgb="FF000000"/>
      </top>
      <bottom style="medium">
        <color rgb="FF000000"/>
      </bottom>
      <diagonal/>
    </border>
    <border>
      <left style="double">
        <color rgb="FF000000"/>
      </left>
      <right style="medium">
        <color rgb="FF000000"/>
      </right>
      <top style="double">
        <color rgb="FF000000"/>
      </top>
      <bottom style="double">
        <color rgb="FF000000"/>
      </bottom>
      <diagonal/>
    </border>
    <border>
      <left style="medium">
        <color rgb="FF000000"/>
      </left>
      <right style="medium">
        <color rgb="FF000000"/>
      </right>
      <top style="double">
        <color rgb="FF000000"/>
      </top>
      <bottom style="double">
        <color rgb="FF000000"/>
      </bottom>
      <diagonal/>
    </border>
    <border>
      <left style="medium">
        <color rgb="FF000000"/>
      </left>
      <right/>
      <top style="double">
        <color rgb="FF000000"/>
      </top>
      <bottom style="double">
        <color rgb="FF000000"/>
      </bottom>
      <diagonal/>
    </border>
    <border>
      <left/>
      <right style="medium">
        <color rgb="FF000000"/>
      </right>
      <top style="double">
        <color rgb="FF000000"/>
      </top>
      <bottom style="double">
        <color rgb="FF000000"/>
      </bottom>
      <diagonal/>
    </border>
    <border>
      <left style="medium">
        <color rgb="FF000000"/>
      </left>
      <right style="double">
        <color rgb="FF000000"/>
      </right>
      <top style="double">
        <color rgb="FF000000"/>
      </top>
      <bottom style="double">
        <color rgb="FF000000"/>
      </bottom>
      <diagonal/>
    </border>
    <border>
      <left style="double">
        <color rgb="FF000000"/>
      </left>
      <right style="medium">
        <color rgb="FF000000"/>
      </right>
      <top style="medium">
        <color rgb="FF000000"/>
      </top>
      <bottom style="medium">
        <color rgb="FF000000"/>
      </bottom>
      <diagonal/>
    </border>
    <border>
      <left style="double">
        <color rgb="FF000000"/>
      </left>
      <right/>
      <top style="medium">
        <color rgb="FF000000"/>
      </top>
      <bottom/>
      <diagonal/>
    </border>
    <border>
      <left style="double">
        <color rgb="FF000000"/>
      </left>
      <right/>
      <top style="medium">
        <color rgb="FF000000"/>
      </top>
      <bottom style="double">
        <color rgb="FF000000"/>
      </bottom>
      <diagonal/>
    </border>
    <border>
      <left/>
      <right/>
      <top style="medium">
        <color rgb="FF000000"/>
      </top>
      <bottom style="double">
        <color rgb="FF000000"/>
      </bottom>
      <diagonal/>
    </border>
    <border>
      <left/>
      <right style="double">
        <color rgb="FF000000"/>
      </right>
      <top style="medium">
        <color rgb="FF000000"/>
      </top>
      <bottom style="double">
        <color rgb="FF000000"/>
      </bottom>
      <diagonal/>
    </border>
    <border>
      <left/>
      <right style="double">
        <color rgb="FF000000"/>
      </right>
      <top style="medium">
        <color rgb="FF000000"/>
      </top>
      <bottom/>
      <diagonal/>
    </border>
    <border>
      <left style="double">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thin">
        <color rgb="FF000000"/>
      </left>
      <right style="double">
        <color rgb="FF000000"/>
      </right>
      <top style="thin">
        <color rgb="FF000000"/>
      </top>
      <bottom/>
      <diagonal/>
    </border>
    <border>
      <left style="thin">
        <color rgb="FF000000"/>
      </left>
      <right style="thin">
        <color rgb="FF000000"/>
      </right>
      <top style="thin">
        <color rgb="FF000000"/>
      </top>
      <bottom style="double">
        <color rgb="FF000000"/>
      </bottom>
      <diagonal/>
    </border>
    <border>
      <left style="double">
        <color rgb="FF000000"/>
      </left>
      <right/>
      <top style="double">
        <color rgb="FF000000"/>
      </top>
      <bottom/>
      <diagonal/>
    </border>
    <border>
      <left/>
      <right style="double">
        <color rgb="FF000000"/>
      </right>
      <top style="double">
        <color rgb="FF000000"/>
      </top>
      <bottom/>
      <diagonal/>
    </border>
    <border>
      <left style="double">
        <color rgb="FF000000"/>
      </left>
      <right/>
      <top/>
      <bottom style="thin">
        <color rgb="FF000000"/>
      </bottom>
      <diagonal/>
    </border>
    <border>
      <left/>
      <right style="double">
        <color rgb="FF000000"/>
      </right>
      <top/>
      <bottom style="thin">
        <color rgb="FF000000"/>
      </bottom>
      <diagonal/>
    </border>
    <border>
      <left/>
      <right style="medium">
        <color rgb="FF000000"/>
      </right>
      <top style="double">
        <color rgb="FF000000"/>
      </top>
      <bottom/>
      <diagonal/>
    </border>
    <border>
      <left style="thin">
        <color rgb="FF000000"/>
      </left>
      <right style="double">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thick">
        <color rgb="FF000000"/>
      </top>
      <bottom style="thin">
        <color rgb="FF000000"/>
      </bottom>
      <diagonal/>
    </border>
    <border>
      <left style="medium">
        <color rgb="FF000000"/>
      </left>
      <right style="medium">
        <color rgb="FF000000"/>
      </right>
      <top style="thin">
        <color rgb="FF000000"/>
      </top>
      <bottom style="thick">
        <color rgb="FF000000"/>
      </bottom>
      <diagonal/>
    </border>
    <border>
      <left style="medium">
        <color rgb="FF000000"/>
      </left>
      <right/>
      <top style="medium">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thin">
        <color rgb="FF000000"/>
      </top>
      <bottom style="thick">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ck">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style="medium">
        <color rgb="FF000000"/>
      </bottom>
      <diagonal/>
    </border>
    <border>
      <left/>
      <right style="thin">
        <color rgb="FF000000"/>
      </right>
      <top style="thin">
        <color rgb="FF000000"/>
      </top>
      <bottom/>
      <diagonal/>
    </border>
    <border>
      <left style="double">
        <color rgb="FF000000"/>
      </left>
      <right/>
      <top/>
      <bottom/>
      <diagonal/>
    </border>
    <border>
      <left style="double">
        <color rgb="FF000000"/>
      </left>
      <right/>
      <top style="medium">
        <color rgb="FF000000"/>
      </top>
      <bottom style="medium">
        <color rgb="FF000000"/>
      </bottom>
      <diagonal/>
    </border>
    <border>
      <left style="medium">
        <color rgb="FF000000"/>
      </left>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double">
        <color rgb="FF000000"/>
      </left>
      <right/>
      <top/>
      <bottom/>
      <diagonal/>
    </border>
    <border>
      <left/>
      <right/>
      <top/>
      <bottom/>
      <diagonal/>
    </border>
    <border>
      <left/>
      <right/>
      <top/>
      <bottom/>
      <diagonal/>
    </border>
    <border>
      <left style="medium">
        <color rgb="FF000000"/>
      </left>
      <right/>
      <top/>
      <bottom/>
      <diagonal/>
    </border>
    <border>
      <left/>
      <right style="medium">
        <color rgb="FF000000"/>
      </right>
      <top/>
      <bottom/>
      <diagonal/>
    </border>
    <border>
      <left/>
      <right/>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style="thick">
        <color rgb="FFFF0000"/>
      </right>
      <top/>
      <bottom/>
      <diagonal/>
    </border>
    <border>
      <left/>
      <right style="thick">
        <color rgb="FFFF0000"/>
      </right>
      <top/>
      <bottom style="medium">
        <color rgb="FF000000"/>
      </bottom>
      <diagonal/>
    </border>
    <border>
      <left style="thick">
        <color rgb="FFFF0000"/>
      </left>
      <right style="thick">
        <color rgb="FFFF0000"/>
      </right>
      <top/>
      <bottom style="medium">
        <color rgb="FF000000"/>
      </bottom>
      <diagonal/>
    </border>
    <border>
      <left style="thick">
        <color rgb="FFFF0000"/>
      </left>
      <right style="thin">
        <color rgb="FF000000"/>
      </right>
      <top style="thin">
        <color rgb="FF000000"/>
      </top>
      <bottom style="thin">
        <color rgb="FF000000"/>
      </bottom>
      <diagonal/>
    </border>
    <border>
      <left style="thin">
        <color rgb="FF000000"/>
      </left>
      <right style="thick">
        <color rgb="FFFF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FF0000"/>
      </left>
      <right style="thin">
        <color rgb="FF000000"/>
      </right>
      <top/>
      <bottom style="thin">
        <color rgb="FF000000"/>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style="thick">
        <color rgb="FFFF0000"/>
      </right>
      <top/>
      <bottom style="thick">
        <color rgb="FFFF0000"/>
      </bottom>
      <diagonal/>
    </border>
    <border>
      <left style="thick">
        <color rgb="FF000000"/>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diagonal/>
    </border>
    <border>
      <left/>
      <right/>
      <top style="thick">
        <color rgb="FF000000"/>
      </top>
      <bottom/>
      <diagonal/>
    </border>
    <border>
      <left/>
      <right/>
      <top/>
      <bottom style="thick">
        <color rgb="FF000000"/>
      </bottom>
      <diagonal/>
    </border>
    <border>
      <left style="thin">
        <color rgb="FF000000"/>
      </left>
      <right style="thick">
        <color rgb="FFFF0000"/>
      </right>
      <top style="thin">
        <color rgb="FF000000"/>
      </top>
      <bottom/>
      <diagonal/>
    </border>
    <border>
      <left style="thick">
        <color rgb="FF000000"/>
      </left>
      <right style="thick">
        <color rgb="FF000000"/>
      </right>
      <top style="thick">
        <color rgb="FF000000"/>
      </top>
      <bottom style="thick">
        <color rgb="FF000000"/>
      </bottom>
      <diagonal/>
    </border>
    <border>
      <left style="thick">
        <color rgb="FFFF0000"/>
      </left>
      <right/>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style="medium">
        <color rgb="FF000000"/>
      </left>
      <right style="double">
        <color rgb="FF000000"/>
      </right>
      <top style="thin">
        <color rgb="FF000000"/>
      </top>
      <bottom style="double">
        <color rgb="FF000000"/>
      </bottom>
      <diagonal/>
    </border>
    <border>
      <left style="double">
        <color rgb="FF000000"/>
      </left>
      <right style="double">
        <color rgb="FF000000"/>
      </right>
      <top style="thin">
        <color rgb="FF000000"/>
      </top>
      <bottom style="thin">
        <color rgb="FF000000"/>
      </bottom>
      <diagonal/>
    </border>
    <border>
      <left style="double">
        <color rgb="FF000000"/>
      </left>
      <right style="double">
        <color rgb="FF000000"/>
      </right>
      <top style="thin">
        <color rgb="FF000000"/>
      </top>
      <bottom style="double">
        <color rgb="FF000000"/>
      </bottom>
      <diagonal/>
    </border>
    <border>
      <left style="double">
        <color rgb="FF000000"/>
      </left>
      <right/>
      <top style="double">
        <color rgb="FF000000"/>
      </top>
      <bottom/>
      <diagonal/>
    </border>
    <border>
      <left/>
      <right/>
      <top style="double">
        <color rgb="FF000000"/>
      </top>
      <bottom/>
      <diagonal/>
    </border>
    <border>
      <left style="thin">
        <color rgb="FF000000"/>
      </left>
      <right style="double">
        <color rgb="FF000000"/>
      </right>
      <top style="thin">
        <color rgb="FF000000"/>
      </top>
      <bottom style="medium">
        <color rgb="FF000000"/>
      </bottom>
      <diagonal/>
    </border>
    <border>
      <left style="double">
        <color rgb="FF000000"/>
      </left>
      <right style="thin">
        <color rgb="FF000000"/>
      </right>
      <top style="medium">
        <color rgb="FF000000"/>
      </top>
      <bottom style="thin">
        <color rgb="FF000000"/>
      </bottom>
      <diagonal/>
    </border>
    <border>
      <left style="medium">
        <color rgb="FF000000"/>
      </left>
      <right style="medium">
        <color rgb="FF000000"/>
      </right>
      <top style="thin">
        <color rgb="FF000000"/>
      </top>
      <bottom style="double">
        <color rgb="FF000000"/>
      </bottom>
      <diagonal/>
    </border>
    <border>
      <left style="medium">
        <color rgb="FF000000"/>
      </left>
      <right style="medium">
        <color rgb="FF000000"/>
      </right>
      <top style="medium">
        <color rgb="FF000000"/>
      </top>
      <bottom style="double">
        <color rgb="FF000000"/>
      </bottom>
      <diagonal/>
    </border>
    <border>
      <left style="medium">
        <color rgb="FF000000"/>
      </left>
      <right style="double">
        <color rgb="FF000000"/>
      </right>
      <top style="medium">
        <color rgb="FF000000"/>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style="double">
        <color rgb="FF000000"/>
      </top>
      <bottom style="thin">
        <color rgb="FF000000"/>
      </bottom>
      <diagonal/>
    </border>
    <border>
      <left/>
      <right/>
      <top style="double">
        <color rgb="FF000000"/>
      </top>
      <bottom style="thin">
        <color rgb="FF000000"/>
      </bottom>
      <diagonal/>
    </border>
    <border>
      <left/>
      <right style="double">
        <color rgb="FF000000"/>
      </right>
      <top style="thin">
        <color rgb="FF000000"/>
      </top>
      <bottom style="thin">
        <color rgb="FF000000"/>
      </bottom>
      <diagonal/>
    </border>
    <border>
      <left/>
      <right style="double">
        <color rgb="FF000000"/>
      </right>
      <top style="thin">
        <color rgb="FF000000"/>
      </top>
      <bottom/>
      <diagonal/>
    </border>
    <border>
      <left/>
      <right style="double">
        <color rgb="FF000000"/>
      </right>
      <top/>
      <bottom style="medium">
        <color rgb="FF000000"/>
      </bottom>
      <diagonal/>
    </border>
    <border>
      <left/>
      <right style="double">
        <color rgb="FF000000"/>
      </right>
      <top style="medium">
        <color rgb="FF000000"/>
      </top>
      <bottom style="thin">
        <color rgb="FF000000"/>
      </bottom>
      <diagonal/>
    </border>
    <border>
      <left style="thin">
        <color rgb="FF000000"/>
      </left>
      <right style="thin">
        <color rgb="FF000000"/>
      </right>
      <top style="double">
        <color rgb="FF000000"/>
      </top>
      <bottom style="thin">
        <color rgb="FF000000"/>
      </bottom>
      <diagonal/>
    </border>
    <border>
      <left style="double">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double">
        <color rgb="FF000000"/>
      </right>
      <top style="thick">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thin">
        <color rgb="FF000000"/>
      </left>
      <right style="double">
        <color rgb="FF000000"/>
      </right>
      <top/>
      <bottom/>
      <diagonal/>
    </border>
    <border>
      <left/>
      <right style="double">
        <color rgb="FF000000"/>
      </right>
      <top/>
      <bottom style="thick">
        <color rgb="FF000000"/>
      </bottom>
      <diagonal/>
    </border>
    <border>
      <left style="thin">
        <color rgb="FF000000"/>
      </left>
      <right style="thin">
        <color rgb="FF000000"/>
      </right>
      <top style="thick">
        <color rgb="FF000000"/>
      </top>
      <bottom/>
      <diagonal/>
    </border>
    <border>
      <left style="double">
        <color rgb="FF000000"/>
      </left>
      <right style="thin">
        <color rgb="FF000000"/>
      </right>
      <top style="thin">
        <color rgb="FF000000"/>
      </top>
      <bottom style="thick">
        <color rgb="FF000000"/>
      </bottom>
      <diagonal/>
    </border>
    <border>
      <left style="thin">
        <color rgb="FF000000"/>
      </left>
      <right style="thin">
        <color rgb="FF000000"/>
      </right>
      <top/>
      <bottom style="thick">
        <color rgb="FF000000"/>
      </bottom>
      <diagonal/>
    </border>
    <border>
      <left style="thin">
        <color rgb="FF000000"/>
      </left>
      <right style="double">
        <color rgb="FF000000"/>
      </right>
      <top style="thin">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medium">
        <color rgb="FF000000"/>
      </left>
      <right style="thin">
        <color rgb="FF000000"/>
      </right>
      <top style="thick">
        <color rgb="FF000000"/>
      </top>
      <bottom style="thin">
        <color rgb="FF000000"/>
      </bottom>
      <diagonal/>
    </border>
    <border>
      <left style="thin">
        <color rgb="FF000000"/>
      </left>
      <right style="medium">
        <color rgb="FF000000"/>
      </right>
      <top style="thick">
        <color rgb="FF000000"/>
      </top>
      <bottom style="thin">
        <color rgb="FF000000"/>
      </bottom>
      <diagonal/>
    </border>
    <border>
      <left style="medium">
        <color rgb="FF000000"/>
      </left>
      <right style="thin">
        <color rgb="FF000000"/>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style="medium">
        <color rgb="FF000000"/>
      </bottom>
      <diagonal/>
    </border>
    <border>
      <left style="double">
        <color rgb="FF000000"/>
      </left>
      <right/>
      <top style="double">
        <color rgb="FF000000"/>
      </top>
      <bottom style="medium">
        <color rgb="FF000000"/>
      </bottom>
      <diagonal/>
    </border>
    <border>
      <left/>
      <right style="double">
        <color rgb="FF000000"/>
      </right>
      <top style="double">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top style="thick">
        <color rgb="FF000000"/>
      </top>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right/>
      <top/>
      <bottom style="double">
        <color rgb="FF000000"/>
      </bottom>
      <diagonal/>
    </border>
    <border>
      <left/>
      <right/>
      <top/>
      <bottom style="double">
        <color rgb="FF000000"/>
      </bottom>
      <diagonal/>
    </border>
    <border>
      <left/>
      <right style="double">
        <color rgb="FF000000"/>
      </right>
      <top style="double">
        <color rgb="FF000000"/>
      </top>
      <bottom style="thin">
        <color rgb="FF000000"/>
      </bottom>
      <diagonal/>
    </border>
    <border>
      <left/>
      <right style="double">
        <color rgb="FF000000"/>
      </right>
      <top style="thin">
        <color rgb="FF000000"/>
      </top>
      <bottom style="double">
        <color rgb="FF000000"/>
      </bottom>
      <diagonal/>
    </border>
    <border>
      <left/>
      <right style="thin">
        <color rgb="FF000000"/>
      </right>
      <top style="medium">
        <color rgb="FF000000"/>
      </top>
      <bottom style="medium">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ck">
        <color rgb="FF000000"/>
      </left>
      <right style="thin">
        <color rgb="FF000000"/>
      </right>
      <top style="thin">
        <color rgb="FF000000"/>
      </top>
      <bottom style="medium">
        <color rgb="FF000000"/>
      </bottom>
      <diagonal/>
    </border>
    <border>
      <left/>
      <right/>
      <top style="thin">
        <color rgb="FF000000"/>
      </top>
      <bottom/>
      <diagonal/>
    </border>
    <border>
      <left/>
      <right style="medium">
        <color rgb="FFC0C0C0"/>
      </right>
      <top/>
      <bottom style="thin">
        <color rgb="FF000000"/>
      </bottom>
      <diagonal/>
    </border>
    <border>
      <left style="medium">
        <color rgb="FF000000"/>
      </left>
      <right style="medium">
        <color rgb="FFC0C0C0"/>
      </right>
      <top style="thin">
        <color rgb="FF000000"/>
      </top>
      <bottom style="thin">
        <color rgb="FF000000"/>
      </bottom>
      <diagonal/>
    </border>
    <border>
      <left style="medium">
        <color rgb="FFC0C0C0"/>
      </left>
      <right/>
      <top style="thin">
        <color rgb="FF000000"/>
      </top>
      <bottom style="thin">
        <color rgb="FF000000"/>
      </bottom>
      <diagonal/>
    </border>
    <border>
      <left style="medium">
        <color rgb="FF000000"/>
      </left>
      <right style="thin">
        <color rgb="FFC0C0C0"/>
      </right>
      <top style="thin">
        <color rgb="FF000000"/>
      </top>
      <bottom style="medium">
        <color rgb="FF000000"/>
      </bottom>
      <diagonal/>
    </border>
    <border>
      <left style="thin">
        <color rgb="FFC0C0C0"/>
      </left>
      <right/>
      <top style="thin">
        <color rgb="FF000000"/>
      </top>
      <bottom style="medium">
        <color rgb="FF000000"/>
      </bottom>
      <diagonal/>
    </border>
    <border>
      <left style="thin">
        <color rgb="FF000000"/>
      </left>
      <right/>
      <top style="thick">
        <color rgb="FF000000"/>
      </top>
      <bottom style="thin">
        <color rgb="FF000000"/>
      </bottom>
      <diagonal/>
    </border>
    <border>
      <left style="thin">
        <color rgb="FF000000"/>
      </left>
      <right/>
      <top style="thin">
        <color rgb="FF000000"/>
      </top>
      <bottom style="thick">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indexed="64"/>
      </right>
      <top style="medium">
        <color indexed="64"/>
      </top>
      <bottom style="thin">
        <color rgb="FF000000"/>
      </bottom>
      <diagonal/>
    </border>
    <border>
      <left style="medium">
        <color indexed="64"/>
      </left>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medium">
        <color indexed="64"/>
      </left>
      <right style="medium">
        <color rgb="FFC0C0C0"/>
      </right>
      <top/>
      <bottom style="thin">
        <color rgb="FF000000"/>
      </bottom>
      <diagonal/>
    </border>
    <border>
      <left style="medium">
        <color rgb="FFC0C0C0"/>
      </left>
      <right style="medium">
        <color rgb="FF000000"/>
      </right>
      <top/>
      <bottom style="thin">
        <color rgb="FF000000"/>
      </bottom>
      <diagonal/>
    </border>
    <border>
      <left style="medium">
        <color indexed="64"/>
      </left>
      <right/>
      <top style="thin">
        <color rgb="FF000000"/>
      </top>
      <bottom style="thin">
        <color rgb="FFC0C0C0"/>
      </bottom>
      <diagonal/>
    </border>
    <border>
      <left style="medium">
        <color indexed="64"/>
      </left>
      <right/>
      <top style="thin">
        <color rgb="FFC0C0C0"/>
      </top>
      <bottom style="thin">
        <color rgb="FFC0C0C0"/>
      </bottom>
      <diagonal/>
    </border>
    <border>
      <left style="medium">
        <color indexed="64"/>
      </left>
      <right/>
      <top style="thin">
        <color rgb="FFC0C0C0"/>
      </top>
      <bottom style="thin">
        <color rgb="FF000000"/>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rgb="FF000000"/>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right style="medium">
        <color rgb="FF000000"/>
      </right>
      <top style="thin">
        <color rgb="FF00000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1">
    <xf numFmtId="0" fontId="0" fillId="0" borderId="0"/>
  </cellStyleXfs>
  <cellXfs count="2332">
    <xf numFmtId="0" fontId="0" fillId="0" borderId="0" xfId="0"/>
    <xf numFmtId="0" fontId="2" fillId="0" borderId="0" xfId="0" applyFont="1"/>
    <xf numFmtId="0" fontId="3" fillId="0" borderId="1" xfId="0" applyFont="1" applyBorder="1"/>
    <xf numFmtId="0" fontId="4" fillId="0" borderId="4" xfId="0" applyFont="1" applyBorder="1" applyAlignment="1">
      <alignment horizontal="center"/>
    </xf>
    <xf numFmtId="0" fontId="3" fillId="2" borderId="0" xfId="0" applyFont="1" applyFill="1"/>
    <xf numFmtId="0" fontId="4" fillId="0" borderId="5" xfId="0" applyFont="1" applyBorder="1" applyAlignment="1">
      <alignment horizontal="right"/>
    </xf>
    <xf numFmtId="1" fontId="8" fillId="4" borderId="9" xfId="0" applyNumberFormat="1" applyFont="1" applyFill="1" applyBorder="1" applyAlignment="1">
      <alignment horizontal="center"/>
    </xf>
    <xf numFmtId="164" fontId="8" fillId="4" borderId="12" xfId="0" applyNumberFormat="1" applyFont="1" applyFill="1" applyBorder="1" applyAlignment="1">
      <alignment horizontal="center"/>
    </xf>
    <xf numFmtId="0" fontId="8" fillId="0" borderId="14" xfId="0" applyFont="1" applyBorder="1"/>
    <xf numFmtId="0" fontId="2" fillId="0" borderId="15" xfId="0" applyFont="1" applyBorder="1"/>
    <xf numFmtId="164" fontId="8" fillId="0" borderId="13" xfId="0" applyNumberFormat="1" applyFont="1" applyBorder="1" applyAlignment="1">
      <alignment horizontal="center"/>
    </xf>
    <xf numFmtId="0" fontId="2" fillId="0" borderId="17" xfId="0" applyFont="1" applyBorder="1"/>
    <xf numFmtId="0" fontId="2" fillId="0" borderId="18" xfId="0" applyFont="1" applyBorder="1"/>
    <xf numFmtId="0" fontId="2" fillId="0" borderId="19" xfId="0" applyFont="1" applyBorder="1"/>
    <xf numFmtId="0" fontId="9" fillId="0" borderId="20" xfId="0" applyFont="1" applyBorder="1"/>
    <xf numFmtId="164" fontId="2" fillId="4" borderId="12" xfId="0" applyNumberFormat="1" applyFont="1" applyFill="1" applyBorder="1" applyAlignment="1">
      <alignment horizontal="center"/>
    </xf>
    <xf numFmtId="0" fontId="2" fillId="0" borderId="20" xfId="0" applyFont="1" applyBorder="1" applyAlignment="1">
      <alignment horizontal="left"/>
    </xf>
    <xf numFmtId="164" fontId="2" fillId="0" borderId="21" xfId="0" applyNumberFormat="1" applyFont="1" applyBorder="1" applyAlignment="1">
      <alignment horizontal="center"/>
    </xf>
    <xf numFmtId="0" fontId="2" fillId="0" borderId="22" xfId="0" applyFont="1" applyBorder="1"/>
    <xf numFmtId="0" fontId="2" fillId="0" borderId="23" xfId="0" applyFont="1" applyBorder="1"/>
    <xf numFmtId="164" fontId="8" fillId="4" borderId="13" xfId="0" applyNumberFormat="1" applyFont="1" applyFill="1" applyBorder="1" applyAlignment="1">
      <alignment horizontal="center"/>
    </xf>
    <xf numFmtId="0" fontId="2" fillId="0" borderId="18" xfId="0" applyFont="1" applyBorder="1" applyAlignment="1">
      <alignment horizontal="left"/>
    </xf>
    <xf numFmtId="0" fontId="2" fillId="0" borderId="23" xfId="0" applyFont="1" applyBorder="1" applyAlignment="1">
      <alignment horizontal="left"/>
    </xf>
    <xf numFmtId="0" fontId="8" fillId="0" borderId="15" xfId="0" applyFont="1" applyBorder="1"/>
    <xf numFmtId="164" fontId="8" fillId="4" borderId="13" xfId="0" applyNumberFormat="1" applyFont="1" applyFill="1" applyBorder="1" applyAlignment="1">
      <alignment horizontal="center" wrapText="1"/>
    </xf>
    <xf numFmtId="0" fontId="2" fillId="0" borderId="20" xfId="0" applyFont="1" applyBorder="1"/>
    <xf numFmtId="0" fontId="10" fillId="0" borderId="14" xfId="0" applyFont="1" applyBorder="1"/>
    <xf numFmtId="0" fontId="8" fillId="0" borderId="16" xfId="0" applyFont="1" applyBorder="1"/>
    <xf numFmtId="0" fontId="8" fillId="0" borderId="24" xfId="0" applyFont="1" applyBorder="1"/>
    <xf numFmtId="49" fontId="2" fillId="0" borderId="4" xfId="0" applyNumberFormat="1" applyFont="1" applyBorder="1"/>
    <xf numFmtId="0" fontId="8" fillId="0" borderId="13" xfId="0" applyFont="1" applyBorder="1"/>
    <xf numFmtId="164" fontId="2" fillId="0" borderId="0" xfId="0" applyNumberFormat="1" applyFont="1"/>
    <xf numFmtId="165" fontId="2" fillId="0" borderId="0" xfId="0" applyNumberFormat="1" applyFont="1" applyAlignment="1">
      <alignment horizontal="center"/>
    </xf>
    <xf numFmtId="165" fontId="2" fillId="0" borderId="6" xfId="0" applyNumberFormat="1" applyFont="1" applyBorder="1" applyAlignment="1">
      <alignment horizontal="center"/>
    </xf>
    <xf numFmtId="0" fontId="2" fillId="0" borderId="30" xfId="0" applyFont="1" applyBorder="1"/>
    <xf numFmtId="0" fontId="2" fillId="0" borderId="31" xfId="0" applyFont="1" applyBorder="1"/>
    <xf numFmtId="0" fontId="2" fillId="0" borderId="33" xfId="0" applyFont="1" applyBorder="1"/>
    <xf numFmtId="164" fontId="2" fillId="0" borderId="21" xfId="0" applyNumberFormat="1" applyFont="1" applyBorder="1"/>
    <xf numFmtId="0" fontId="2" fillId="0" borderId="34" xfId="0" applyFont="1" applyBorder="1"/>
    <xf numFmtId="0" fontId="2" fillId="0" borderId="35" xfId="0" applyFont="1" applyBorder="1"/>
    <xf numFmtId="164" fontId="2" fillId="0" borderId="32" xfId="0" applyNumberFormat="1" applyFont="1" applyBorder="1"/>
    <xf numFmtId="0" fontId="8" fillId="0" borderId="0" xfId="0" applyFont="1"/>
    <xf numFmtId="0" fontId="9" fillId="0" borderId="0" xfId="0" applyFont="1"/>
    <xf numFmtId="0" fontId="8" fillId="0" borderId="30" xfId="0" applyFont="1" applyBorder="1"/>
    <xf numFmtId="0" fontId="2" fillId="0" borderId="36" xfId="0" applyFont="1" applyBorder="1"/>
    <xf numFmtId="0" fontId="8" fillId="0" borderId="0" xfId="0" applyFont="1" applyAlignment="1">
      <alignment horizontal="center" vertical="center" wrapText="1"/>
    </xf>
    <xf numFmtId="0" fontId="8" fillId="0" borderId="0" xfId="0" applyFont="1" applyAlignment="1">
      <alignment horizontal="center"/>
    </xf>
    <xf numFmtId="0" fontId="8" fillId="0" borderId="0" xfId="0" applyFont="1" applyAlignment="1">
      <alignment horizontal="center" wrapText="1"/>
    </xf>
    <xf numFmtId="0" fontId="2" fillId="0" borderId="37" xfId="0" applyFont="1" applyBorder="1"/>
    <xf numFmtId="167" fontId="2" fillId="0" borderId="40" xfId="0" applyNumberFormat="1" applyFont="1" applyBorder="1"/>
    <xf numFmtId="0" fontId="2" fillId="0" borderId="0" xfId="0" applyFont="1" applyAlignment="1">
      <alignment horizontal="center"/>
    </xf>
    <xf numFmtId="168" fontId="2" fillId="0" borderId="40" xfId="0" applyNumberFormat="1" applyFont="1" applyBorder="1"/>
    <xf numFmtId="0" fontId="3" fillId="2" borderId="40" xfId="0" applyFont="1" applyFill="1" applyBorder="1"/>
    <xf numFmtId="0" fontId="6" fillId="2" borderId="40" xfId="0" applyFont="1" applyFill="1" applyBorder="1"/>
    <xf numFmtId="3" fontId="6" fillId="2" borderId="40" xfId="0" applyNumberFormat="1" applyFont="1" applyFill="1" applyBorder="1" applyAlignment="1">
      <alignment horizontal="right"/>
    </xf>
    <xf numFmtId="167" fontId="2" fillId="0" borderId="40" xfId="0" applyNumberFormat="1" applyFont="1" applyBorder="1" applyAlignment="1">
      <alignment horizontal="right"/>
    </xf>
    <xf numFmtId="0" fontId="2" fillId="0" borderId="29" xfId="0" applyFont="1" applyBorder="1"/>
    <xf numFmtId="0" fontId="8" fillId="0" borderId="33" xfId="0" applyFont="1" applyBorder="1"/>
    <xf numFmtId="0" fontId="4" fillId="0" borderId="6" xfId="0" applyFont="1" applyBorder="1"/>
    <xf numFmtId="0" fontId="3" fillId="0" borderId="6" xfId="0" applyFont="1" applyBorder="1"/>
    <xf numFmtId="0" fontId="12" fillId="0" borderId="41" xfId="0" applyFont="1" applyBorder="1" applyAlignment="1">
      <alignment horizontal="right"/>
    </xf>
    <xf numFmtId="0" fontId="12" fillId="6" borderId="4" xfId="0" applyFont="1" applyFill="1" applyBorder="1" applyAlignment="1">
      <alignment horizontal="right"/>
    </xf>
    <xf numFmtId="0" fontId="4" fillId="0" borderId="41" xfId="0" applyFont="1" applyBorder="1" applyAlignment="1">
      <alignment horizontal="right"/>
    </xf>
    <xf numFmtId="169" fontId="4" fillId="0" borderId="4" xfId="0" applyNumberFormat="1" applyFont="1" applyBorder="1" applyAlignment="1">
      <alignment horizontal="right"/>
    </xf>
    <xf numFmtId="0" fontId="8" fillId="0" borderId="37" xfId="0" applyFont="1" applyBorder="1" applyAlignment="1">
      <alignment horizontal="center" wrapText="1"/>
    </xf>
    <xf numFmtId="0" fontId="2" fillId="0" borderId="33" xfId="0" applyFont="1" applyBorder="1" applyAlignment="1">
      <alignment horizontal="left"/>
    </xf>
    <xf numFmtId="170" fontId="2" fillId="0" borderId="40" xfId="0" applyNumberFormat="1" applyFont="1" applyBorder="1"/>
    <xf numFmtId="167" fontId="2" fillId="0" borderId="42" xfId="0" applyNumberFormat="1" applyFont="1" applyBorder="1"/>
    <xf numFmtId="0" fontId="13" fillId="0" borderId="41" xfId="0" applyFont="1" applyBorder="1" applyAlignment="1">
      <alignment horizontal="right"/>
    </xf>
    <xf numFmtId="2" fontId="13" fillId="0" borderId="4" xfId="0" applyNumberFormat="1" applyFont="1" applyBorder="1" applyAlignment="1">
      <alignment horizontal="right"/>
    </xf>
    <xf numFmtId="0" fontId="3" fillId="0" borderId="4" xfId="0" applyFont="1" applyBorder="1"/>
    <xf numFmtId="171" fontId="2" fillId="0" borderId="40" xfId="0" applyNumberFormat="1" applyFont="1" applyBorder="1"/>
    <xf numFmtId="0" fontId="13" fillId="0" borderId="0" xfId="0" applyFont="1"/>
    <xf numFmtId="0" fontId="3" fillId="0" borderId="0" xfId="0" applyFont="1"/>
    <xf numFmtId="0" fontId="14" fillId="0" borderId="40" xfId="0" applyFont="1" applyBorder="1" applyAlignment="1">
      <alignment horizontal="center" wrapText="1"/>
    </xf>
    <xf numFmtId="0" fontId="2" fillId="0" borderId="40" xfId="0" applyFont="1" applyBorder="1"/>
    <xf numFmtId="0" fontId="12" fillId="0" borderId="40" xfId="0" applyFont="1" applyBorder="1" applyAlignment="1">
      <alignment horizontal="center" wrapText="1"/>
    </xf>
    <xf numFmtId="0" fontId="14" fillId="0" borderId="42" xfId="0" applyFont="1" applyBorder="1" applyAlignment="1">
      <alignment horizontal="center" wrapText="1"/>
    </xf>
    <xf numFmtId="0" fontId="4" fillId="0" borderId="43" xfId="0" applyFont="1" applyBorder="1" applyAlignment="1">
      <alignment horizontal="center"/>
    </xf>
    <xf numFmtId="172" fontId="4" fillId="0" borderId="40" xfId="0" applyNumberFormat="1" applyFont="1" applyBorder="1" applyAlignment="1">
      <alignment horizontal="right"/>
    </xf>
    <xf numFmtId="0" fontId="4" fillId="0" borderId="40" xfId="0" applyFont="1" applyBorder="1" applyAlignment="1">
      <alignment horizontal="center"/>
    </xf>
    <xf numFmtId="0" fontId="4" fillId="0" borderId="40" xfId="0" quotePrefix="1" applyFont="1" applyBorder="1" applyAlignment="1">
      <alignment horizontal="center"/>
    </xf>
    <xf numFmtId="9" fontId="4" fillId="0" borderId="40" xfId="0" applyNumberFormat="1" applyFont="1" applyBorder="1" applyAlignment="1">
      <alignment horizontal="right"/>
    </xf>
    <xf numFmtId="172" fontId="12" fillId="0" borderId="42" xfId="0" applyNumberFormat="1" applyFont="1" applyBorder="1" applyAlignment="1">
      <alignment horizontal="right"/>
    </xf>
    <xf numFmtId="0" fontId="2" fillId="0" borderId="43" xfId="0" applyFont="1" applyBorder="1"/>
    <xf numFmtId="0" fontId="2" fillId="0" borderId="42" xfId="0" applyFont="1" applyBorder="1"/>
    <xf numFmtId="0" fontId="8" fillId="0" borderId="0" xfId="0" applyFont="1" applyAlignment="1">
      <alignment horizontal="center" vertical="center"/>
    </xf>
    <xf numFmtId="0" fontId="2" fillId="0" borderId="0" xfId="0" applyFont="1" applyAlignment="1">
      <alignment vertical="center"/>
    </xf>
    <xf numFmtId="0" fontId="8" fillId="0" borderId="37" xfId="0" applyFont="1" applyBorder="1" applyAlignment="1">
      <alignment horizontal="center" vertical="center" wrapText="1"/>
    </xf>
    <xf numFmtId="0" fontId="2" fillId="0" borderId="33" xfId="0" applyFont="1" applyBorder="1" applyAlignment="1">
      <alignment horizontal="center"/>
    </xf>
    <xf numFmtId="0" fontId="2" fillId="0" borderId="44" xfId="0" applyFont="1" applyBorder="1"/>
    <xf numFmtId="0" fontId="8" fillId="0" borderId="45" xfId="0" applyFont="1" applyBorder="1"/>
    <xf numFmtId="0" fontId="2" fillId="7" borderId="46" xfId="0" applyFont="1" applyFill="1" applyBorder="1"/>
    <xf numFmtId="167" fontId="2" fillId="7" borderId="47" xfId="0" applyNumberFormat="1" applyFont="1" applyFill="1" applyBorder="1"/>
    <xf numFmtId="0" fontId="2" fillId="0" borderId="46" xfId="0" applyFont="1" applyBorder="1" applyAlignment="1">
      <alignment horizontal="left"/>
    </xf>
    <xf numFmtId="167" fontId="2" fillId="0" borderId="47" xfId="0" applyNumberFormat="1" applyFont="1" applyBorder="1"/>
    <xf numFmtId="0" fontId="2" fillId="8" borderId="46" xfId="0" applyFont="1" applyFill="1" applyBorder="1"/>
    <xf numFmtId="167" fontId="2" fillId="8" borderId="47" xfId="0" applyNumberFormat="1" applyFont="1" applyFill="1" applyBorder="1"/>
    <xf numFmtId="0" fontId="2" fillId="9" borderId="46" xfId="0" applyFont="1" applyFill="1" applyBorder="1"/>
    <xf numFmtId="167" fontId="2" fillId="9" borderId="47" xfId="0" applyNumberFormat="1" applyFont="1" applyFill="1" applyBorder="1"/>
    <xf numFmtId="0" fontId="2" fillId="0" borderId="46" xfId="0" applyFont="1" applyBorder="1" applyAlignment="1">
      <alignment horizontal="left" wrapText="1"/>
    </xf>
    <xf numFmtId="0" fontId="8" fillId="4" borderId="48" xfId="0" applyFont="1" applyFill="1" applyBorder="1"/>
    <xf numFmtId="167" fontId="2" fillId="4" borderId="49" xfId="0" applyNumberFormat="1" applyFont="1" applyFill="1" applyBorder="1"/>
    <xf numFmtId="0" fontId="3" fillId="2" borderId="4" xfId="0" applyFont="1" applyFill="1" applyBorder="1"/>
    <xf numFmtId="164" fontId="3" fillId="2" borderId="4" xfId="0" applyNumberFormat="1" applyFont="1" applyFill="1" applyBorder="1"/>
    <xf numFmtId="3" fontId="3" fillId="2" borderId="4" xfId="0" applyNumberFormat="1" applyFont="1" applyFill="1" applyBorder="1" applyAlignment="1">
      <alignment horizontal="right"/>
    </xf>
    <xf numFmtId="0" fontId="8" fillId="10" borderId="0" xfId="0" applyFont="1" applyFill="1"/>
    <xf numFmtId="0" fontId="3" fillId="10" borderId="0" xfId="0" applyFont="1" applyFill="1"/>
    <xf numFmtId="0" fontId="15" fillId="0" borderId="0" xfId="0" applyFont="1"/>
    <xf numFmtId="0" fontId="12" fillId="11" borderId="4" xfId="0" applyFont="1" applyFill="1" applyBorder="1" applyAlignment="1">
      <alignment horizontal="center" wrapText="1"/>
    </xf>
    <xf numFmtId="0" fontId="4" fillId="0" borderId="4" xfId="0" applyFont="1" applyBorder="1" applyAlignment="1">
      <alignment horizontal="center" wrapText="1"/>
    </xf>
    <xf numFmtId="0" fontId="12" fillId="0" borderId="4" xfId="0" applyFont="1" applyBorder="1"/>
    <xf numFmtId="0" fontId="12" fillId="0" borderId="6" xfId="0" applyFont="1" applyBorder="1"/>
    <xf numFmtId="0" fontId="12" fillId="12" borderId="4" xfId="0" applyFont="1" applyFill="1" applyBorder="1" applyAlignment="1">
      <alignment horizontal="center"/>
    </xf>
    <xf numFmtId="0" fontId="12" fillId="12" borderId="40" xfId="0" applyFont="1" applyFill="1" applyBorder="1" applyAlignment="1">
      <alignment horizontal="center"/>
    </xf>
    <xf numFmtId="0" fontId="4" fillId="0" borderId="4" xfId="0" applyFont="1" applyBorder="1"/>
    <xf numFmtId="0" fontId="12" fillId="13" borderId="4" xfId="0" applyFont="1" applyFill="1" applyBorder="1" applyAlignment="1">
      <alignment horizontal="center"/>
    </xf>
    <xf numFmtId="169" fontId="4" fillId="0" borderId="4" xfId="0" applyNumberFormat="1" applyFont="1" applyBorder="1" applyAlignment="1">
      <alignment horizontal="center"/>
    </xf>
    <xf numFmtId="0" fontId="15" fillId="0" borderId="6" xfId="0" applyFont="1" applyBorder="1"/>
    <xf numFmtId="0" fontId="14" fillId="14" borderId="4" xfId="0" applyFont="1" applyFill="1" applyBorder="1"/>
    <xf numFmtId="0" fontId="12" fillId="15" borderId="4" xfId="0" applyFont="1" applyFill="1" applyBorder="1" applyAlignment="1">
      <alignment horizontal="center"/>
    </xf>
    <xf numFmtId="0" fontId="12" fillId="15" borderId="40" xfId="0" applyFont="1" applyFill="1" applyBorder="1" applyAlignment="1">
      <alignment horizontal="center"/>
    </xf>
    <xf numFmtId="0" fontId="12" fillId="2" borderId="4" xfId="0" applyFont="1" applyFill="1" applyBorder="1"/>
    <xf numFmtId="173" fontId="17" fillId="2" borderId="4" xfId="0" applyNumberFormat="1" applyFont="1" applyFill="1" applyBorder="1" applyAlignment="1">
      <alignment horizontal="right"/>
    </xf>
    <xf numFmtId="173" fontId="17" fillId="2" borderId="40" xfId="0" applyNumberFormat="1" applyFont="1" applyFill="1" applyBorder="1" applyAlignment="1">
      <alignment horizontal="right"/>
    </xf>
    <xf numFmtId="0" fontId="18" fillId="0" borderId="4" xfId="0" applyFont="1" applyBorder="1"/>
    <xf numFmtId="173" fontId="19" fillId="0" borderId="4" xfId="0" applyNumberFormat="1" applyFont="1" applyBorder="1" applyAlignment="1">
      <alignment horizontal="right"/>
    </xf>
    <xf numFmtId="173" fontId="19" fillId="0" borderId="40" xfId="0" applyNumberFormat="1" applyFont="1" applyBorder="1" applyAlignment="1">
      <alignment horizontal="right"/>
    </xf>
    <xf numFmtId="0" fontId="20" fillId="12" borderId="4" xfId="0" applyFont="1" applyFill="1" applyBorder="1" applyAlignment="1">
      <alignment horizontal="right"/>
    </xf>
    <xf numFmtId="0" fontId="20" fillId="12" borderId="40" xfId="0" applyFont="1" applyFill="1" applyBorder="1" applyAlignment="1">
      <alignment horizontal="right"/>
    </xf>
    <xf numFmtId="0" fontId="20" fillId="0" borderId="4" xfId="0" applyFont="1" applyBorder="1"/>
    <xf numFmtId="0" fontId="21" fillId="2" borderId="4" xfId="0" applyFont="1" applyFill="1" applyBorder="1" applyAlignment="1">
      <alignment horizontal="right"/>
    </xf>
    <xf numFmtId="0" fontId="21" fillId="2" borderId="40" xfId="0" applyFont="1" applyFill="1" applyBorder="1" applyAlignment="1">
      <alignment horizontal="right"/>
    </xf>
    <xf numFmtId="3" fontId="4" fillId="0" borderId="4" xfId="0" applyNumberFormat="1" applyFont="1" applyBorder="1" applyAlignment="1">
      <alignment horizontal="center" wrapText="1"/>
    </xf>
    <xf numFmtId="9" fontId="4" fillId="0" borderId="4" xfId="0" applyNumberFormat="1" applyFont="1" applyBorder="1" applyAlignment="1">
      <alignment horizontal="center" wrapText="1"/>
    </xf>
    <xf numFmtId="174" fontId="4" fillId="0" borderId="4" xfId="0" applyNumberFormat="1" applyFont="1" applyBorder="1" applyAlignment="1">
      <alignment horizontal="center" wrapText="1"/>
    </xf>
    <xf numFmtId="0" fontId="11" fillId="13" borderId="4" xfId="0" applyFont="1" applyFill="1" applyBorder="1" applyAlignment="1">
      <alignment horizontal="center"/>
    </xf>
    <xf numFmtId="0" fontId="11" fillId="13" borderId="40" xfId="0" applyFont="1" applyFill="1" applyBorder="1" applyAlignment="1">
      <alignment horizontal="center"/>
    </xf>
    <xf numFmtId="0" fontId="11" fillId="0" borderId="4" xfId="0" applyFont="1" applyBorder="1" applyAlignment="1">
      <alignment horizontal="center"/>
    </xf>
    <xf numFmtId="0" fontId="3" fillId="0" borderId="4" xfId="0" applyFont="1" applyBorder="1" applyAlignment="1">
      <alignment horizontal="center"/>
    </xf>
    <xf numFmtId="0" fontId="3" fillId="0" borderId="40" xfId="0" applyFont="1" applyBorder="1" applyAlignment="1">
      <alignment horizontal="center"/>
    </xf>
    <xf numFmtId="0" fontId="11" fillId="0" borderId="4" xfId="0" applyFont="1" applyBorder="1" applyAlignment="1">
      <alignment horizontal="center" wrapText="1"/>
    </xf>
    <xf numFmtId="3" fontId="3" fillId="0" borderId="4" xfId="0" applyNumberFormat="1" applyFont="1" applyBorder="1" applyAlignment="1">
      <alignment horizontal="center"/>
    </xf>
    <xf numFmtId="3" fontId="3" fillId="0" borderId="40" xfId="0" applyNumberFormat="1" applyFont="1" applyBorder="1" applyAlignment="1">
      <alignment horizontal="center"/>
    </xf>
    <xf numFmtId="9" fontId="3" fillId="0" borderId="4" xfId="0" applyNumberFormat="1" applyFont="1" applyBorder="1" applyAlignment="1">
      <alignment horizontal="center"/>
    </xf>
    <xf numFmtId="9" fontId="3" fillId="0" borderId="40" xfId="0" applyNumberFormat="1" applyFont="1" applyBorder="1" applyAlignment="1">
      <alignment horizontal="center"/>
    </xf>
    <xf numFmtId="175" fontId="11" fillId="0" borderId="4" xfId="0" applyNumberFormat="1" applyFont="1" applyBorder="1" applyAlignment="1">
      <alignment horizontal="center"/>
    </xf>
    <xf numFmtId="175" fontId="11" fillId="0" borderId="40" xfId="0" applyNumberFormat="1" applyFont="1" applyBorder="1" applyAlignment="1">
      <alignment horizontal="center"/>
    </xf>
    <xf numFmtId="3" fontId="3" fillId="2" borderId="4" xfId="0" applyNumberFormat="1" applyFont="1" applyFill="1" applyBorder="1"/>
    <xf numFmtId="3" fontId="3" fillId="2" borderId="40" xfId="0" applyNumberFormat="1" applyFont="1" applyFill="1" applyBorder="1"/>
    <xf numFmtId="176" fontId="11" fillId="0" borderId="4" xfId="0" applyNumberFormat="1" applyFont="1" applyBorder="1" applyAlignment="1">
      <alignment horizontal="center"/>
    </xf>
    <xf numFmtId="176" fontId="11" fillId="0" borderId="40" xfId="0" applyNumberFormat="1" applyFont="1" applyBorder="1" applyAlignment="1">
      <alignment horizontal="center"/>
    </xf>
    <xf numFmtId="176" fontId="3" fillId="0" borderId="4" xfId="0" applyNumberFormat="1" applyFont="1" applyBorder="1" applyAlignment="1">
      <alignment horizontal="center"/>
    </xf>
    <xf numFmtId="176" fontId="3" fillId="0" borderId="40" xfId="0" applyNumberFormat="1" applyFont="1" applyBorder="1" applyAlignment="1">
      <alignment horizontal="center"/>
    </xf>
    <xf numFmtId="175" fontId="11" fillId="2" borderId="4" xfId="0" applyNumberFormat="1" applyFont="1" applyFill="1" applyBorder="1" applyAlignment="1">
      <alignment horizontal="center"/>
    </xf>
    <xf numFmtId="175" fontId="11" fillId="2" borderId="40" xfId="0" applyNumberFormat="1" applyFont="1" applyFill="1" applyBorder="1" applyAlignment="1">
      <alignment horizontal="center"/>
    </xf>
    <xf numFmtId="175" fontId="3" fillId="0" borderId="4" xfId="0" applyNumberFormat="1" applyFont="1" applyBorder="1" applyAlignment="1">
      <alignment horizontal="center"/>
    </xf>
    <xf numFmtId="175" fontId="3" fillId="0" borderId="40" xfId="0" applyNumberFormat="1" applyFont="1" applyBorder="1" applyAlignment="1">
      <alignment horizontal="center"/>
    </xf>
    <xf numFmtId="0" fontId="20" fillId="15" borderId="4" xfId="0" applyFont="1" applyFill="1" applyBorder="1" applyAlignment="1">
      <alignment horizontal="center"/>
    </xf>
    <xf numFmtId="0" fontId="20" fillId="15" borderId="40" xfId="0" applyFont="1" applyFill="1" applyBorder="1" applyAlignment="1">
      <alignment horizontal="center"/>
    </xf>
    <xf numFmtId="0" fontId="20" fillId="0" borderId="4" xfId="0" applyFont="1" applyBorder="1" applyAlignment="1">
      <alignment horizontal="center"/>
    </xf>
    <xf numFmtId="0" fontId="20" fillId="2" borderId="4" xfId="0" applyFont="1" applyFill="1" applyBorder="1" applyAlignment="1">
      <alignment horizontal="center"/>
    </xf>
    <xf numFmtId="0" fontId="20" fillId="2" borderId="40" xfId="0" applyFont="1" applyFill="1" applyBorder="1" applyAlignment="1">
      <alignment horizontal="center"/>
    </xf>
    <xf numFmtId="0" fontId="12" fillId="17" borderId="4" xfId="0" applyFont="1" applyFill="1" applyBorder="1"/>
    <xf numFmtId="3" fontId="4" fillId="0" borderId="0" xfId="0" applyNumberFormat="1" applyFont="1" applyAlignment="1">
      <alignment horizontal="right"/>
    </xf>
    <xf numFmtId="3" fontId="4" fillId="0" borderId="4" xfId="0" applyNumberFormat="1" applyFont="1" applyBorder="1" applyAlignment="1">
      <alignment horizontal="right"/>
    </xf>
    <xf numFmtId="3" fontId="4" fillId="0" borderId="5" xfId="0" applyNumberFormat="1" applyFont="1" applyBorder="1" applyAlignment="1">
      <alignment horizontal="right"/>
    </xf>
    <xf numFmtId="0" fontId="12" fillId="0" borderId="4" xfId="0" applyFont="1" applyBorder="1" applyAlignment="1">
      <alignment horizontal="center"/>
    </xf>
    <xf numFmtId="4" fontId="4" fillId="0" borderId="4" xfId="0" applyNumberFormat="1" applyFont="1" applyBorder="1" applyAlignment="1">
      <alignment horizontal="right"/>
    </xf>
    <xf numFmtId="0" fontId="4" fillId="0" borderId="5" xfId="0" applyFont="1" applyBorder="1"/>
    <xf numFmtId="4" fontId="4" fillId="0" borderId="5" xfId="0" applyNumberFormat="1" applyFont="1" applyBorder="1" applyAlignment="1">
      <alignment horizontal="right"/>
    </xf>
    <xf numFmtId="174" fontId="4" fillId="0" borderId="4" xfId="0" applyNumberFormat="1" applyFont="1" applyBorder="1" applyAlignment="1">
      <alignment horizontal="right"/>
    </xf>
    <xf numFmtId="174" fontId="4" fillId="0" borderId="5" xfId="0" applyNumberFormat="1" applyFont="1" applyBorder="1" applyAlignment="1">
      <alignment horizontal="right"/>
    </xf>
    <xf numFmtId="0" fontId="4" fillId="17" borderId="4" xfId="0" applyFont="1" applyFill="1" applyBorder="1"/>
    <xf numFmtId="0" fontId="12" fillId="0" borderId="4" xfId="0" applyFont="1" applyBorder="1" applyAlignment="1">
      <alignment wrapText="1"/>
    </xf>
    <xf numFmtId="3" fontId="12" fillId="0" borderId="0" xfId="0" applyNumberFormat="1" applyFont="1" applyAlignment="1">
      <alignment horizontal="right" wrapText="1"/>
    </xf>
    <xf numFmtId="3" fontId="12" fillId="0" borderId="4" xfId="0" applyNumberFormat="1" applyFont="1" applyBorder="1" applyAlignment="1">
      <alignment horizontal="right" wrapText="1"/>
    </xf>
    <xf numFmtId="3" fontId="4" fillId="0" borderId="4" xfId="0" applyNumberFormat="1" applyFont="1" applyBorder="1" applyAlignment="1">
      <alignment horizontal="right" wrapText="1"/>
    </xf>
    <xf numFmtId="177" fontId="12" fillId="0" borderId="4" xfId="0" applyNumberFormat="1" applyFont="1" applyBorder="1" applyAlignment="1">
      <alignment horizontal="right" wrapText="1"/>
    </xf>
    <xf numFmtId="177" fontId="4" fillId="0" borderId="4" xfId="0" applyNumberFormat="1" applyFont="1" applyBorder="1" applyAlignment="1">
      <alignment horizontal="right" wrapText="1"/>
    </xf>
    <xf numFmtId="0" fontId="3" fillId="0" borderId="5" xfId="0" applyFont="1" applyBorder="1"/>
    <xf numFmtId="177" fontId="4" fillId="0" borderId="5" xfId="0" applyNumberFormat="1" applyFont="1" applyBorder="1" applyAlignment="1">
      <alignment horizontal="right" wrapText="1"/>
    </xf>
    <xf numFmtId="0" fontId="3" fillId="0" borderId="35" xfId="0" applyFont="1" applyBorder="1"/>
    <xf numFmtId="0" fontId="3" fillId="0" borderId="27" xfId="0" applyFont="1" applyBorder="1"/>
    <xf numFmtId="0" fontId="12" fillId="0" borderId="27" xfId="0" applyFont="1" applyBorder="1"/>
    <xf numFmtId="0" fontId="12" fillId="0" borderId="27" xfId="0" applyFont="1" applyBorder="1" applyAlignment="1">
      <alignment horizontal="center"/>
    </xf>
    <xf numFmtId="0" fontId="4" fillId="0" borderId="27" xfId="0" applyFont="1" applyBorder="1" applyAlignment="1">
      <alignment horizontal="right"/>
    </xf>
    <xf numFmtId="0" fontId="4" fillId="0" borderId="4" xfId="0" applyFont="1" applyBorder="1" applyAlignment="1">
      <alignment horizontal="right"/>
    </xf>
    <xf numFmtId="2" fontId="3" fillId="0" borderId="27" xfId="0" applyNumberFormat="1" applyFont="1" applyBorder="1"/>
    <xf numFmtId="3" fontId="3" fillId="0" borderId="0" xfId="0" applyNumberFormat="1" applyFont="1"/>
    <xf numFmtId="2" fontId="3" fillId="0" borderId="27" xfId="0" applyNumberFormat="1" applyFont="1" applyBorder="1" applyAlignment="1">
      <alignment horizontal="right"/>
    </xf>
    <xf numFmtId="9" fontId="4" fillId="0" borderId="4" xfId="0" applyNumberFormat="1" applyFont="1" applyBorder="1" applyAlignment="1">
      <alignment horizontal="right"/>
    </xf>
    <xf numFmtId="2" fontId="3" fillId="0" borderId="29" xfId="0" applyNumberFormat="1" applyFont="1" applyBorder="1"/>
    <xf numFmtId="178" fontId="12" fillId="0" borderId="4" xfId="0" applyNumberFormat="1" applyFont="1" applyBorder="1" applyAlignment="1">
      <alignment horizontal="center"/>
    </xf>
    <xf numFmtId="49" fontId="4" fillId="0" borderId="4" xfId="0" applyNumberFormat="1" applyFont="1" applyBorder="1"/>
    <xf numFmtId="178" fontId="4" fillId="0" borderId="4" xfId="0" applyNumberFormat="1" applyFont="1" applyBorder="1" applyAlignment="1">
      <alignment horizontal="center"/>
    </xf>
    <xf numFmtId="0" fontId="8" fillId="23" borderId="4" xfId="0" applyFont="1" applyFill="1" applyBorder="1" applyAlignment="1">
      <alignment horizontal="center"/>
    </xf>
    <xf numFmtId="0" fontId="8" fillId="15" borderId="4" xfId="0" applyFont="1" applyFill="1" applyBorder="1"/>
    <xf numFmtId="175" fontId="8" fillId="15" borderId="4" xfId="0" applyNumberFormat="1" applyFont="1" applyFill="1" applyBorder="1" applyAlignment="1">
      <alignment horizontal="center"/>
    </xf>
    <xf numFmtId="0" fontId="8" fillId="0" borderId="4" xfId="0" applyFont="1" applyBorder="1"/>
    <xf numFmtId="175" fontId="8" fillId="0" borderId="4" xfId="0" applyNumberFormat="1" applyFont="1" applyBorder="1" applyAlignment="1">
      <alignment horizontal="center"/>
    </xf>
    <xf numFmtId="175" fontId="2" fillId="0" borderId="4" xfId="0" applyNumberFormat="1" applyFont="1" applyBorder="1" applyAlignment="1">
      <alignment horizontal="center"/>
    </xf>
    <xf numFmtId="49" fontId="3" fillId="0" borderId="0" xfId="0" applyNumberFormat="1" applyFont="1"/>
    <xf numFmtId="0" fontId="8" fillId="24" borderId="52" xfId="0" applyFont="1" applyFill="1" applyBorder="1" applyAlignment="1">
      <alignment horizontal="center"/>
    </xf>
    <xf numFmtId="0" fontId="2" fillId="0" borderId="9" xfId="0" applyFont="1" applyBorder="1"/>
    <xf numFmtId="0" fontId="8" fillId="0" borderId="9" xfId="0" applyFont="1" applyBorder="1"/>
    <xf numFmtId="0" fontId="8" fillId="9" borderId="54" xfId="0" applyFont="1" applyFill="1" applyBorder="1" applyAlignment="1">
      <alignment horizontal="center"/>
    </xf>
    <xf numFmtId="0" fontId="2" fillId="0" borderId="9" xfId="0" applyFont="1" applyBorder="1" applyAlignment="1">
      <alignment horizontal="center"/>
    </xf>
    <xf numFmtId="0" fontId="2" fillId="0" borderId="13" xfId="0" applyFont="1" applyBorder="1" applyAlignment="1">
      <alignment horizontal="right"/>
    </xf>
    <xf numFmtId="167" fontId="2" fillId="0" borderId="13" xfId="0" applyNumberFormat="1" applyFont="1" applyBorder="1"/>
    <xf numFmtId="0" fontId="2" fillId="0" borderId="13" xfId="0" applyFont="1" applyBorder="1"/>
    <xf numFmtId="0" fontId="8" fillId="14" borderId="9" xfId="0" applyFont="1" applyFill="1" applyBorder="1"/>
    <xf numFmtId="0" fontId="8" fillId="24" borderId="13" xfId="0" applyFont="1" applyFill="1" applyBorder="1" applyAlignment="1">
      <alignment horizontal="right"/>
    </xf>
    <xf numFmtId="167" fontId="23" fillId="24" borderId="13" xfId="0" applyNumberFormat="1" applyFont="1" applyFill="1" applyBorder="1"/>
    <xf numFmtId="167" fontId="24" fillId="24" borderId="13" xfId="0" applyNumberFormat="1" applyFont="1" applyFill="1" applyBorder="1"/>
    <xf numFmtId="167" fontId="25" fillId="24" borderId="13" xfId="0" applyNumberFormat="1" applyFont="1" applyFill="1" applyBorder="1" applyAlignment="1">
      <alignment horizontal="center"/>
    </xf>
    <xf numFmtId="0" fontId="2" fillId="24" borderId="13" xfId="0" applyFont="1" applyFill="1" applyBorder="1"/>
    <xf numFmtId="0" fontId="8" fillId="8" borderId="13" xfId="0" applyFont="1" applyFill="1" applyBorder="1"/>
    <xf numFmtId="179" fontId="2" fillId="8" borderId="13" xfId="0" applyNumberFormat="1" applyFont="1" applyFill="1" applyBorder="1"/>
    <xf numFmtId="167" fontId="2" fillId="8" borderId="13" xfId="0" applyNumberFormat="1" applyFont="1" applyFill="1" applyBorder="1"/>
    <xf numFmtId="171" fontId="2" fillId="8" borderId="13" xfId="0" applyNumberFormat="1" applyFont="1" applyFill="1" applyBorder="1"/>
    <xf numFmtId="171" fontId="2" fillId="0" borderId="0" xfId="0" applyNumberFormat="1" applyFont="1"/>
    <xf numFmtId="179" fontId="2" fillId="0" borderId="13" xfId="0" applyNumberFormat="1" applyFont="1" applyBorder="1"/>
    <xf numFmtId="171" fontId="2" fillId="0" borderId="13" xfId="0" applyNumberFormat="1" applyFont="1" applyBorder="1"/>
    <xf numFmtId="0" fontId="2" fillId="0" borderId="55" xfId="0" applyFont="1" applyBorder="1"/>
    <xf numFmtId="0" fontId="8" fillId="0" borderId="55" xfId="0" applyFont="1" applyBorder="1"/>
    <xf numFmtId="179" fontId="2" fillId="0" borderId="55" xfId="0" applyNumberFormat="1" applyFont="1" applyBorder="1"/>
    <xf numFmtId="171" fontId="2" fillId="0" borderId="55" xfId="0" applyNumberFormat="1" applyFont="1" applyBorder="1"/>
    <xf numFmtId="180" fontId="2" fillId="0" borderId="55" xfId="0" applyNumberFormat="1" applyFont="1" applyBorder="1"/>
    <xf numFmtId="0" fontId="2" fillId="14" borderId="9" xfId="0" applyFont="1" applyFill="1" applyBorder="1"/>
    <xf numFmtId="167" fontId="2" fillId="14" borderId="9" xfId="0" applyNumberFormat="1" applyFont="1" applyFill="1" applyBorder="1"/>
    <xf numFmtId="0" fontId="8" fillId="9" borderId="13" xfId="0" applyFont="1" applyFill="1" applyBorder="1" applyAlignment="1">
      <alignment horizontal="center"/>
    </xf>
    <xf numFmtId="0" fontId="2" fillId="9" borderId="13" xfId="0" applyFont="1" applyFill="1" applyBorder="1"/>
    <xf numFmtId="0" fontId="2" fillId="0" borderId="13" xfId="0" applyFont="1" applyBorder="1" applyAlignment="1">
      <alignment horizontal="center"/>
    </xf>
    <xf numFmtId="0" fontId="8" fillId="14" borderId="13" xfId="0" applyFont="1" applyFill="1" applyBorder="1"/>
    <xf numFmtId="167" fontId="25" fillId="24" borderId="13" xfId="0" applyNumberFormat="1" applyFont="1" applyFill="1" applyBorder="1"/>
    <xf numFmtId="0" fontId="8" fillId="0" borderId="13" xfId="0" applyFont="1" applyBorder="1" applyAlignment="1">
      <alignment horizontal="right"/>
    </xf>
    <xf numFmtId="167" fontId="26" fillId="0" borderId="13" xfId="0" applyNumberFormat="1" applyFont="1" applyBorder="1"/>
    <xf numFmtId="167" fontId="25" fillId="0" borderId="13" xfId="0" applyNumberFormat="1" applyFont="1" applyBorder="1"/>
    <xf numFmtId="0" fontId="2" fillId="14" borderId="12" xfId="0" applyFont="1" applyFill="1" applyBorder="1"/>
    <xf numFmtId="167" fontId="2" fillId="14" borderId="56" xfId="0" applyNumberFormat="1" applyFont="1" applyFill="1" applyBorder="1"/>
    <xf numFmtId="0" fontId="2" fillId="14" borderId="56" xfId="0" applyFont="1" applyFill="1" applyBorder="1"/>
    <xf numFmtId="0" fontId="2" fillId="0" borderId="21" xfId="0" applyFont="1" applyBorder="1"/>
    <xf numFmtId="0" fontId="8" fillId="0" borderId="21" xfId="0" applyFont="1" applyBorder="1"/>
    <xf numFmtId="0" fontId="2" fillId="0" borderId="21" xfId="0" applyFont="1" applyBorder="1" applyAlignment="1">
      <alignment horizontal="right"/>
    </xf>
    <xf numFmtId="0" fontId="8" fillId="14" borderId="12" xfId="0" applyFont="1" applyFill="1" applyBorder="1"/>
    <xf numFmtId="0" fontId="8" fillId="24" borderId="12" xfId="0" applyFont="1" applyFill="1" applyBorder="1" applyAlignment="1">
      <alignment horizontal="right"/>
    </xf>
    <xf numFmtId="0" fontId="8" fillId="0" borderId="21" xfId="0" applyFont="1" applyBorder="1" applyAlignment="1">
      <alignment horizontal="right"/>
    </xf>
    <xf numFmtId="0" fontId="8" fillId="8" borderId="12" xfId="0" applyFont="1" applyFill="1" applyBorder="1"/>
    <xf numFmtId="181" fontId="2" fillId="8" borderId="13" xfId="0" applyNumberFormat="1" applyFont="1" applyFill="1" applyBorder="1"/>
    <xf numFmtId="180" fontId="2" fillId="0" borderId="13" xfId="0" applyNumberFormat="1" applyFont="1" applyBorder="1"/>
    <xf numFmtId="0" fontId="2" fillId="14" borderId="57" xfId="0" applyFont="1" applyFill="1" applyBorder="1"/>
    <xf numFmtId="167" fontId="2" fillId="14" borderId="55" xfId="0" applyNumberFormat="1" applyFont="1" applyFill="1" applyBorder="1"/>
    <xf numFmtId="0" fontId="2" fillId="14" borderId="55" xfId="0" applyFont="1" applyFill="1" applyBorder="1"/>
    <xf numFmtId="167" fontId="2" fillId="0" borderId="0" xfId="0" applyNumberFormat="1" applyFont="1"/>
    <xf numFmtId="0" fontId="2" fillId="0" borderId="58" xfId="0" applyFont="1" applyBorder="1"/>
    <xf numFmtId="0" fontId="2" fillId="0" borderId="59" xfId="0" applyFont="1" applyBorder="1"/>
    <xf numFmtId="0" fontId="8" fillId="9" borderId="59" xfId="0" applyFont="1" applyFill="1" applyBorder="1" applyAlignment="1">
      <alignment horizontal="center"/>
    </xf>
    <xf numFmtId="0" fontId="2" fillId="9" borderId="59" xfId="0" applyFont="1" applyFill="1" applyBorder="1"/>
    <xf numFmtId="0" fontId="2" fillId="9" borderId="60" xfId="0" applyFont="1" applyFill="1" applyBorder="1"/>
    <xf numFmtId="0" fontId="8" fillId="0" borderId="40" xfId="0" applyFont="1" applyBorder="1"/>
    <xf numFmtId="0" fontId="2" fillId="0" borderId="40" xfId="0" applyFont="1" applyBorder="1" applyAlignment="1">
      <alignment horizontal="center"/>
    </xf>
    <xf numFmtId="0" fontId="2" fillId="0" borderId="61" xfId="0" applyFont="1" applyBorder="1"/>
    <xf numFmtId="0" fontId="2" fillId="0" borderId="62" xfId="0" applyFont="1" applyBorder="1"/>
    <xf numFmtId="167" fontId="2" fillId="0" borderId="62" xfId="0" applyNumberFormat="1" applyFont="1" applyBorder="1"/>
    <xf numFmtId="0" fontId="2" fillId="0" borderId="63" xfId="0" applyFont="1" applyBorder="1"/>
    <xf numFmtId="0" fontId="8" fillId="14" borderId="64" xfId="0" applyFont="1" applyFill="1" applyBorder="1"/>
    <xf numFmtId="0" fontId="8" fillId="14" borderId="65" xfId="0" applyFont="1" applyFill="1" applyBorder="1"/>
    <xf numFmtId="0" fontId="8" fillId="14" borderId="66" xfId="0" applyFont="1" applyFill="1" applyBorder="1"/>
    <xf numFmtId="0" fontId="8" fillId="0" borderId="67" xfId="0" applyFont="1" applyBorder="1"/>
    <xf numFmtId="0" fontId="8" fillId="14" borderId="68" xfId="0" applyFont="1" applyFill="1" applyBorder="1"/>
    <xf numFmtId="0" fontId="8" fillId="14" borderId="57" xfId="0" applyFont="1" applyFill="1" applyBorder="1"/>
    <xf numFmtId="0" fontId="8" fillId="14" borderId="69" xfId="0" applyFont="1" applyFill="1" applyBorder="1"/>
    <xf numFmtId="0" fontId="8" fillId="0" borderId="70" xfId="0" applyFont="1" applyBorder="1"/>
    <xf numFmtId="0" fontId="8" fillId="0" borderId="71" xfId="0" applyFont="1" applyBorder="1"/>
    <xf numFmtId="0" fontId="8" fillId="0" borderId="72" xfId="0" applyFont="1" applyBorder="1"/>
    <xf numFmtId="0" fontId="2" fillId="0" borderId="73" xfId="0" applyFont="1" applyBorder="1"/>
    <xf numFmtId="168" fontId="2" fillId="0" borderId="74" xfId="0" applyNumberFormat="1" applyFont="1" applyBorder="1"/>
    <xf numFmtId="2" fontId="2" fillId="0" borderId="67" xfId="0" applyNumberFormat="1" applyFont="1" applyBorder="1"/>
    <xf numFmtId="0" fontId="2" fillId="0" borderId="75" xfId="0" applyFont="1" applyBorder="1"/>
    <xf numFmtId="0" fontId="8" fillId="0" borderId="76" xfId="0" applyFont="1" applyBorder="1"/>
    <xf numFmtId="167" fontId="8" fillId="0" borderId="76" xfId="0" applyNumberFormat="1" applyFont="1" applyBorder="1"/>
    <xf numFmtId="168" fontId="8" fillId="0" borderId="77" xfId="0" applyNumberFormat="1" applyFont="1" applyBorder="1"/>
    <xf numFmtId="2" fontId="8" fillId="0" borderId="67" xfId="0" applyNumberFormat="1" applyFont="1" applyBorder="1"/>
    <xf numFmtId="0" fontId="8" fillId="14" borderId="78" xfId="0" applyFont="1" applyFill="1" applyBorder="1"/>
    <xf numFmtId="167" fontId="8" fillId="14" borderId="79" xfId="0" applyNumberFormat="1" applyFont="1" applyFill="1" applyBorder="1"/>
    <xf numFmtId="167" fontId="8" fillId="14" borderId="80" xfId="0" applyNumberFormat="1" applyFont="1" applyFill="1" applyBorder="1"/>
    <xf numFmtId="168" fontId="8" fillId="14" borderId="81" xfId="0" applyNumberFormat="1" applyFont="1" applyFill="1" applyBorder="1"/>
    <xf numFmtId="178" fontId="8" fillId="0" borderId="67" xfId="0" applyNumberFormat="1" applyFont="1" applyBorder="1"/>
    <xf numFmtId="0" fontId="2" fillId="0" borderId="82" xfId="0" applyFont="1" applyBorder="1"/>
    <xf numFmtId="0" fontId="2" fillId="0" borderId="83" xfId="0" applyFont="1" applyBorder="1"/>
    <xf numFmtId="0" fontId="2" fillId="0" borderId="84" xfId="0" applyFont="1" applyBorder="1"/>
    <xf numFmtId="0" fontId="2" fillId="0" borderId="67" xfId="0" applyFont="1" applyBorder="1"/>
    <xf numFmtId="0" fontId="8" fillId="14" borderId="85" xfId="0" applyFont="1" applyFill="1" applyBorder="1"/>
    <xf numFmtId="0" fontId="8" fillId="14" borderId="86" xfId="0" applyFont="1" applyFill="1" applyBorder="1"/>
    <xf numFmtId="0" fontId="8" fillId="14" borderId="87" xfId="0" applyFont="1" applyFill="1" applyBorder="1"/>
    <xf numFmtId="0" fontId="8" fillId="25" borderId="78" xfId="0" applyFont="1" applyFill="1" applyBorder="1"/>
    <xf numFmtId="167" fontId="8" fillId="25" borderId="79" xfId="0" applyNumberFormat="1" applyFont="1" applyFill="1" applyBorder="1"/>
    <xf numFmtId="182" fontId="8" fillId="25" borderId="79" xfId="0" applyNumberFormat="1" applyFont="1" applyFill="1" applyBorder="1"/>
    <xf numFmtId="180" fontId="8" fillId="25" borderId="79" xfId="0" applyNumberFormat="1" applyFont="1" applyFill="1" applyBorder="1"/>
    <xf numFmtId="168" fontId="8" fillId="25" borderId="88" xfId="0" applyNumberFormat="1" applyFont="1" applyFill="1" applyBorder="1"/>
    <xf numFmtId="0" fontId="2" fillId="0" borderId="89" xfId="0" applyFont="1" applyBorder="1"/>
    <xf numFmtId="0" fontId="2" fillId="0" borderId="90" xfId="0" applyFont="1" applyBorder="1"/>
    <xf numFmtId="0" fontId="2" fillId="0" borderId="91" xfId="0" applyFont="1" applyBorder="1"/>
    <xf numFmtId="182" fontId="2" fillId="0" borderId="13" xfId="0" applyNumberFormat="1" applyFont="1" applyBorder="1"/>
    <xf numFmtId="0" fontId="8" fillId="26" borderId="78" xfId="0" applyFont="1" applyFill="1" applyBorder="1"/>
    <xf numFmtId="167" fontId="8" fillId="26" borderId="79" xfId="0" applyNumberFormat="1" applyFont="1" applyFill="1" applyBorder="1"/>
    <xf numFmtId="182" fontId="8" fillId="26" borderId="79" xfId="0" applyNumberFormat="1" applyFont="1" applyFill="1" applyBorder="1"/>
    <xf numFmtId="178" fontId="8" fillId="26" borderId="88" xfId="0" applyNumberFormat="1" applyFont="1" applyFill="1" applyBorder="1"/>
    <xf numFmtId="0" fontId="8" fillId="27" borderId="52" xfId="0" applyFont="1" applyFill="1" applyBorder="1" applyAlignment="1">
      <alignment horizontal="center"/>
    </xf>
    <xf numFmtId="0" fontId="8" fillId="0" borderId="58" xfId="0" applyFont="1" applyBorder="1"/>
    <xf numFmtId="0" fontId="2" fillId="0" borderId="59" xfId="0" applyFont="1" applyBorder="1" applyAlignment="1">
      <alignment horizontal="center"/>
    </xf>
    <xf numFmtId="178" fontId="2" fillId="0" borderId="60" xfId="0" applyNumberFormat="1" applyFont="1" applyBorder="1"/>
    <xf numFmtId="0" fontId="8" fillId="0" borderId="43" xfId="0" applyFont="1" applyBorder="1"/>
    <xf numFmtId="169" fontId="2" fillId="0" borderId="42" xfId="0" applyNumberFormat="1" applyFont="1" applyBorder="1"/>
    <xf numFmtId="183" fontId="2" fillId="0" borderId="42" xfId="0" applyNumberFormat="1" applyFont="1" applyBorder="1"/>
    <xf numFmtId="0" fontId="8" fillId="0" borderId="62" xfId="0" applyFont="1" applyBorder="1" applyAlignment="1">
      <alignment horizontal="center"/>
    </xf>
    <xf numFmtId="0" fontId="8" fillId="0" borderId="63" xfId="0" applyFont="1" applyBorder="1" applyAlignment="1">
      <alignment horizontal="center"/>
    </xf>
    <xf numFmtId="0" fontId="8" fillId="0" borderId="9" xfId="0" applyFont="1" applyBorder="1" applyAlignment="1">
      <alignment horizontal="center"/>
    </xf>
    <xf numFmtId="0" fontId="8" fillId="0" borderId="53" xfId="0" applyFont="1" applyBorder="1" applyAlignment="1">
      <alignment horizontal="center"/>
    </xf>
    <xf numFmtId="0" fontId="8" fillId="9" borderId="92" xfId="0" applyFont="1" applyFill="1" applyBorder="1" applyAlignment="1">
      <alignment horizontal="center"/>
    </xf>
    <xf numFmtId="0" fontId="2" fillId="0" borderId="25" xfId="0" applyFont="1" applyBorder="1"/>
    <xf numFmtId="0" fontId="2" fillId="0" borderId="76" xfId="0" applyFont="1" applyBorder="1" applyAlignment="1">
      <alignment horizontal="center"/>
    </xf>
    <xf numFmtId="0" fontId="2" fillId="0" borderId="93" xfId="0" applyFont="1" applyBorder="1" applyAlignment="1">
      <alignment horizontal="center"/>
    </xf>
    <xf numFmtId="0" fontId="2" fillId="14" borderId="94" xfId="0" applyFont="1" applyFill="1" applyBorder="1"/>
    <xf numFmtId="0" fontId="2" fillId="14" borderId="95" xfId="0" applyFont="1" applyFill="1" applyBorder="1"/>
    <xf numFmtId="0" fontId="2" fillId="14" borderId="96" xfId="0" applyFont="1" applyFill="1" applyBorder="1"/>
    <xf numFmtId="0" fontId="8" fillId="14" borderId="97" xfId="0" applyFont="1" applyFill="1" applyBorder="1"/>
    <xf numFmtId="0" fontId="2" fillId="14" borderId="52" xfId="0" applyFont="1" applyFill="1" applyBorder="1" applyAlignment="1">
      <alignment horizontal="right"/>
    </xf>
    <xf numFmtId="167" fontId="2" fillId="14" borderId="13" xfId="0" applyNumberFormat="1" applyFont="1" applyFill="1" applyBorder="1"/>
    <xf numFmtId="167" fontId="2" fillId="14" borderId="92" xfId="0" applyNumberFormat="1" applyFont="1" applyFill="1" applyBorder="1"/>
    <xf numFmtId="167" fontId="8" fillId="14" borderId="13" xfId="0" applyNumberFormat="1" applyFont="1" applyFill="1" applyBorder="1"/>
    <xf numFmtId="0" fontId="2" fillId="14" borderId="97" xfId="0" applyFont="1" applyFill="1" applyBorder="1"/>
    <xf numFmtId="0" fontId="2" fillId="24" borderId="87" xfId="0" applyFont="1" applyFill="1" applyBorder="1"/>
    <xf numFmtId="0" fontId="2" fillId="24" borderId="98" xfId="0" applyFont="1" applyFill="1" applyBorder="1" applyAlignment="1">
      <alignment horizontal="right"/>
    </xf>
    <xf numFmtId="167" fontId="25" fillId="24" borderId="55" xfId="0" applyNumberFormat="1" applyFont="1" applyFill="1" applyBorder="1"/>
    <xf numFmtId="167" fontId="26" fillId="24" borderId="55" xfId="0" applyNumberFormat="1" applyFont="1" applyFill="1" applyBorder="1"/>
    <xf numFmtId="167" fontId="2" fillId="24" borderId="55" xfId="0" applyNumberFormat="1" applyFont="1" applyFill="1" applyBorder="1"/>
    <xf numFmtId="167" fontId="25" fillId="24" borderId="99" xfId="0" applyNumberFormat="1" applyFont="1" applyFill="1" applyBorder="1"/>
    <xf numFmtId="167" fontId="2" fillId="0" borderId="16" xfId="0" applyNumberFormat="1" applyFont="1" applyBorder="1"/>
    <xf numFmtId="167" fontId="2" fillId="0" borderId="27" xfId="0" applyNumberFormat="1" applyFont="1" applyBorder="1"/>
    <xf numFmtId="167" fontId="8" fillId="8" borderId="13" xfId="0" applyNumberFormat="1" applyFont="1" applyFill="1" applyBorder="1"/>
    <xf numFmtId="10" fontId="2" fillId="8" borderId="13" xfId="0" applyNumberFormat="1" applyFont="1" applyFill="1" applyBorder="1"/>
    <xf numFmtId="167" fontId="8" fillId="28" borderId="92" xfId="0" applyNumberFormat="1" applyFont="1" applyFill="1" applyBorder="1"/>
    <xf numFmtId="0" fontId="8" fillId="29" borderId="97" xfId="0" applyFont="1" applyFill="1" applyBorder="1"/>
    <xf numFmtId="10" fontId="2" fillId="0" borderId="13" xfId="0" applyNumberFormat="1" applyFont="1" applyBorder="1"/>
    <xf numFmtId="171" fontId="8" fillId="28" borderId="92" xfId="0" applyNumberFormat="1" applyFont="1" applyFill="1" applyBorder="1"/>
    <xf numFmtId="0" fontId="8" fillId="0" borderId="100" xfId="0" applyFont="1" applyBorder="1"/>
    <xf numFmtId="167" fontId="2" fillId="0" borderId="55" xfId="0" applyNumberFormat="1" applyFont="1" applyBorder="1"/>
    <xf numFmtId="184" fontId="2" fillId="0" borderId="55" xfId="0" applyNumberFormat="1" applyFont="1" applyBorder="1"/>
    <xf numFmtId="10" fontId="2" fillId="0" borderId="55" xfId="0" applyNumberFormat="1" applyFont="1" applyBorder="1"/>
    <xf numFmtId="171" fontId="8" fillId="28" borderId="99" xfId="0" applyNumberFormat="1" applyFont="1" applyFill="1" applyBorder="1"/>
    <xf numFmtId="167" fontId="2" fillId="0" borderId="21" xfId="0" applyNumberFormat="1" applyFont="1" applyBorder="1"/>
    <xf numFmtId="167" fontId="2" fillId="0" borderId="37" xfId="0" applyNumberFormat="1" applyFont="1" applyBorder="1"/>
    <xf numFmtId="0" fontId="2" fillId="0" borderId="101" xfId="0" applyFont="1" applyBorder="1"/>
    <xf numFmtId="0" fontId="8" fillId="8" borderId="102" xfId="0" applyFont="1" applyFill="1" applyBorder="1"/>
    <xf numFmtId="0" fontId="8" fillId="8" borderId="94" xfId="0" applyFont="1" applyFill="1" applyBorder="1"/>
    <xf numFmtId="167" fontId="2" fillId="8" borderId="103" xfId="0" applyNumberFormat="1" applyFont="1" applyFill="1" applyBorder="1"/>
    <xf numFmtId="167" fontId="8" fillId="8" borderId="103" xfId="0" applyNumberFormat="1" applyFont="1" applyFill="1" applyBorder="1"/>
    <xf numFmtId="10" fontId="2" fillId="8" borderId="103" xfId="0" applyNumberFormat="1" applyFont="1" applyFill="1" applyBorder="1"/>
    <xf numFmtId="167" fontId="8" fillId="28" borderId="104" xfId="0" applyNumberFormat="1" applyFont="1" applyFill="1" applyBorder="1"/>
    <xf numFmtId="180" fontId="2" fillId="0" borderId="21" xfId="0" applyNumberFormat="1" applyFont="1" applyBorder="1"/>
    <xf numFmtId="171" fontId="2" fillId="0" borderId="21" xfId="0" applyNumberFormat="1" applyFont="1" applyBorder="1"/>
    <xf numFmtId="10" fontId="2" fillId="0" borderId="21" xfId="0" applyNumberFormat="1" applyFont="1" applyBorder="1"/>
    <xf numFmtId="171" fontId="8" fillId="28" borderId="105" xfId="0" applyNumberFormat="1" applyFont="1" applyFill="1" applyBorder="1"/>
    <xf numFmtId="0" fontId="8" fillId="0" borderId="34" xfId="0" applyFont="1" applyBorder="1"/>
    <xf numFmtId="167" fontId="2" fillId="0" borderId="32" xfId="0" applyNumberFormat="1" applyFont="1" applyBorder="1"/>
    <xf numFmtId="171" fontId="2" fillId="0" borderId="32" xfId="0" applyNumberFormat="1" applyFont="1" applyBorder="1"/>
    <xf numFmtId="184" fontId="2" fillId="0" borderId="32" xfId="0" applyNumberFormat="1" applyFont="1" applyBorder="1"/>
    <xf numFmtId="10" fontId="2" fillId="0" borderId="32" xfId="0" applyNumberFormat="1" applyFont="1" applyBorder="1"/>
    <xf numFmtId="171" fontId="8" fillId="28" borderId="106" xfId="0" applyNumberFormat="1" applyFont="1" applyFill="1" applyBorder="1"/>
    <xf numFmtId="0" fontId="2" fillId="0" borderId="7" xfId="0" applyFont="1" applyBorder="1"/>
    <xf numFmtId="0" fontId="2" fillId="0" borderId="107" xfId="0" applyFont="1" applyBorder="1"/>
    <xf numFmtId="167" fontId="2" fillId="0" borderId="107" xfId="0" applyNumberFormat="1" applyFont="1" applyBorder="1"/>
    <xf numFmtId="167" fontId="2" fillId="0" borderId="108" xfId="0" applyNumberFormat="1" applyFont="1" applyBorder="1"/>
    <xf numFmtId="0" fontId="8" fillId="0" borderId="31" xfId="0" applyFont="1" applyBorder="1"/>
    <xf numFmtId="0" fontId="2" fillId="0" borderId="46" xfId="0" applyFont="1" applyBorder="1"/>
    <xf numFmtId="168" fontId="2" fillId="0" borderId="50" xfId="0" applyNumberFormat="1" applyFont="1" applyBorder="1"/>
    <xf numFmtId="168" fontId="2" fillId="0" borderId="67" xfId="0" applyNumberFormat="1" applyFont="1" applyBorder="1"/>
    <xf numFmtId="0" fontId="2" fillId="0" borderId="109" xfId="0" applyFont="1" applyBorder="1"/>
    <xf numFmtId="0" fontId="8" fillId="0" borderId="110" xfId="0" applyFont="1" applyBorder="1"/>
    <xf numFmtId="167" fontId="8" fillId="0" borderId="110" xfId="0" applyNumberFormat="1" applyFont="1" applyBorder="1"/>
    <xf numFmtId="168" fontId="8" fillId="0" borderId="111" xfId="0" applyNumberFormat="1" applyFont="1" applyBorder="1"/>
    <xf numFmtId="0" fontId="8" fillId="14" borderId="112" xfId="0" applyFont="1" applyFill="1" applyBorder="1"/>
    <xf numFmtId="168" fontId="8" fillId="14" borderId="113" xfId="0" applyNumberFormat="1" applyFont="1" applyFill="1" applyBorder="1"/>
    <xf numFmtId="168" fontId="8" fillId="0" borderId="67" xfId="0" applyNumberFormat="1" applyFont="1" applyBorder="1"/>
    <xf numFmtId="0" fontId="2" fillId="0" borderId="114" xfId="0" applyFont="1" applyBorder="1"/>
    <xf numFmtId="0" fontId="2" fillId="0" borderId="115" xfId="0" applyFont="1" applyBorder="1"/>
    <xf numFmtId="0" fontId="2" fillId="0" borderId="116" xfId="0" applyFont="1" applyBorder="1"/>
    <xf numFmtId="180" fontId="2" fillId="0" borderId="40" xfId="0" applyNumberFormat="1" applyFont="1" applyBorder="1"/>
    <xf numFmtId="178" fontId="2" fillId="0" borderId="50" xfId="0" applyNumberFormat="1" applyFont="1" applyBorder="1"/>
    <xf numFmtId="182" fontId="2" fillId="0" borderId="40" xfId="0" applyNumberFormat="1" applyFont="1" applyBorder="1"/>
    <xf numFmtId="2" fontId="8" fillId="0" borderId="111" xfId="0" applyNumberFormat="1" applyFont="1" applyBorder="1"/>
    <xf numFmtId="0" fontId="8" fillId="25" borderId="112" xfId="0" applyFont="1" applyFill="1" applyBorder="1"/>
    <xf numFmtId="167" fontId="8" fillId="25" borderId="80" xfId="0" applyNumberFormat="1" applyFont="1" applyFill="1" applyBorder="1"/>
    <xf numFmtId="180" fontId="8" fillId="25" borderId="80" xfId="0" applyNumberFormat="1" applyFont="1" applyFill="1" applyBorder="1"/>
    <xf numFmtId="178" fontId="8" fillId="25" borderId="113" xfId="0" applyNumberFormat="1" applyFont="1" applyFill="1" applyBorder="1"/>
    <xf numFmtId="164" fontId="2" fillId="0" borderId="50" xfId="0" applyNumberFormat="1" applyFont="1" applyBorder="1"/>
    <xf numFmtId="171" fontId="8" fillId="0" borderId="110" xfId="0" applyNumberFormat="1" applyFont="1" applyBorder="1"/>
    <xf numFmtId="0" fontId="8" fillId="26" borderId="112" xfId="0" applyFont="1" applyFill="1" applyBorder="1"/>
    <xf numFmtId="167" fontId="8" fillId="26" borderId="80" xfId="0" applyNumberFormat="1" applyFont="1" applyFill="1" applyBorder="1"/>
    <xf numFmtId="171" fontId="8" fillId="26" borderId="80" xfId="0" applyNumberFormat="1" applyFont="1" applyFill="1" applyBorder="1"/>
    <xf numFmtId="168" fontId="8" fillId="26" borderId="113" xfId="0" applyNumberFormat="1" applyFont="1" applyFill="1" applyBorder="1"/>
    <xf numFmtId="0" fontId="2" fillId="0" borderId="0" xfId="0" applyFont="1" applyAlignment="1">
      <alignment vertical="top"/>
    </xf>
    <xf numFmtId="0" fontId="27" fillId="0" borderId="0" xfId="0" applyFont="1"/>
    <xf numFmtId="0" fontId="28" fillId="27" borderId="52" xfId="0" applyFont="1" applyFill="1" applyBorder="1"/>
    <xf numFmtId="0" fontId="2" fillId="27" borderId="52" xfId="0" applyFont="1" applyFill="1" applyBorder="1"/>
    <xf numFmtId="0" fontId="2" fillId="9" borderId="52" xfId="0" applyFont="1" applyFill="1" applyBorder="1"/>
    <xf numFmtId="0" fontId="29" fillId="0" borderId="0" xfId="0" applyFont="1"/>
    <xf numFmtId="0" fontId="8" fillId="9" borderId="52" xfId="0" applyFont="1" applyFill="1" applyBorder="1"/>
    <xf numFmtId="0" fontId="8" fillId="0" borderId="117" xfId="0" applyFont="1" applyBorder="1"/>
    <xf numFmtId="0" fontId="8" fillId="0" borderId="118" xfId="0" applyFont="1" applyBorder="1"/>
    <xf numFmtId="0" fontId="8" fillId="4" borderId="119" xfId="0" applyFont="1" applyFill="1" applyBorder="1"/>
    <xf numFmtId="0" fontId="8" fillId="8" borderId="119" xfId="0" applyFont="1" applyFill="1" applyBorder="1"/>
    <xf numFmtId="0" fontId="8" fillId="0" borderId="120" xfId="0" applyFont="1" applyBorder="1"/>
    <xf numFmtId="0" fontId="8" fillId="0" borderId="121" xfId="0" applyFont="1" applyBorder="1"/>
    <xf numFmtId="0" fontId="8" fillId="0" borderId="122" xfId="0" applyFont="1" applyBorder="1"/>
    <xf numFmtId="0" fontId="8" fillId="4" borderId="123" xfId="0" applyFont="1" applyFill="1" applyBorder="1"/>
    <xf numFmtId="0" fontId="8" fillId="8" borderId="123" xfId="0" applyFont="1" applyFill="1" applyBorder="1"/>
    <xf numFmtId="0" fontId="8" fillId="0" borderId="124" xfId="0" applyFont="1" applyBorder="1"/>
    <xf numFmtId="0" fontId="2" fillId="0" borderId="125" xfId="0" applyFont="1" applyBorder="1"/>
    <xf numFmtId="0" fontId="2" fillId="0" borderId="126" xfId="0" applyFont="1" applyBorder="1"/>
    <xf numFmtId="167" fontId="2" fillId="0" borderId="126" xfId="0" applyNumberFormat="1" applyFont="1" applyBorder="1"/>
    <xf numFmtId="0" fontId="2" fillId="4" borderId="127" xfId="0" applyFont="1" applyFill="1" applyBorder="1"/>
    <xf numFmtId="0" fontId="2" fillId="8" borderId="127" xfId="0" applyFont="1" applyFill="1" applyBorder="1"/>
    <xf numFmtId="0" fontId="2" fillId="0" borderId="128" xfId="0" applyFont="1" applyBorder="1"/>
    <xf numFmtId="0" fontId="8" fillId="0" borderId="129" xfId="0" applyFont="1" applyBorder="1"/>
    <xf numFmtId="0" fontId="8" fillId="0" borderId="130" xfId="0" applyFont="1" applyBorder="1"/>
    <xf numFmtId="0" fontId="2" fillId="0" borderId="130" xfId="0" applyFont="1" applyBorder="1"/>
    <xf numFmtId="167" fontId="2" fillId="0" borderId="130" xfId="0" applyNumberFormat="1" applyFont="1" applyBorder="1"/>
    <xf numFmtId="0" fontId="2" fillId="4" borderId="131" xfId="0" applyFont="1" applyFill="1" applyBorder="1"/>
    <xf numFmtId="0" fontId="2" fillId="8" borderId="131" xfId="0" applyFont="1" applyFill="1" applyBorder="1"/>
    <xf numFmtId="0" fontId="2" fillId="0" borderId="132" xfId="0" applyFont="1" applyBorder="1"/>
    <xf numFmtId="0" fontId="8" fillId="0" borderId="125" xfId="0" applyFont="1" applyBorder="1"/>
    <xf numFmtId="0" fontId="8" fillId="0" borderId="126" xfId="0" applyFont="1" applyBorder="1"/>
    <xf numFmtId="0" fontId="2" fillId="0" borderId="126" xfId="0" applyFont="1" applyBorder="1" applyAlignment="1">
      <alignment horizontal="center"/>
    </xf>
    <xf numFmtId="171" fontId="2" fillId="4" borderId="127" xfId="0" applyNumberFormat="1" applyFont="1" applyFill="1" applyBorder="1"/>
    <xf numFmtId="171" fontId="2" fillId="8" borderId="127" xfId="0" applyNumberFormat="1" applyFont="1" applyFill="1" applyBorder="1"/>
    <xf numFmtId="171" fontId="2" fillId="0" borderId="126" xfId="0" applyNumberFormat="1" applyFont="1" applyBorder="1"/>
    <xf numFmtId="171" fontId="2" fillId="0" borderId="128" xfId="0" applyNumberFormat="1" applyFont="1" applyBorder="1"/>
    <xf numFmtId="0" fontId="2" fillId="0" borderId="121" xfId="0" applyFont="1" applyBorder="1"/>
    <xf numFmtId="0" fontId="2" fillId="0" borderId="122" xfId="0" applyFont="1" applyBorder="1"/>
    <xf numFmtId="0" fontId="2" fillId="0" borderId="122" xfId="0" applyFont="1" applyBorder="1" applyAlignment="1">
      <alignment horizontal="center"/>
    </xf>
    <xf numFmtId="167" fontId="2" fillId="0" borderId="122" xfId="0" applyNumberFormat="1" applyFont="1" applyBorder="1"/>
    <xf numFmtId="171" fontId="2" fillId="4" borderId="123" xfId="0" applyNumberFormat="1" applyFont="1" applyFill="1" applyBorder="1"/>
    <xf numFmtId="171" fontId="2" fillId="8" borderId="123" xfId="0" applyNumberFormat="1" applyFont="1" applyFill="1" applyBorder="1"/>
    <xf numFmtId="171" fontId="2" fillId="0" borderId="122" xfId="0" applyNumberFormat="1" applyFont="1" applyBorder="1"/>
    <xf numFmtId="171" fontId="2" fillId="0" borderId="124" xfId="0" applyNumberFormat="1" applyFont="1" applyBorder="1"/>
    <xf numFmtId="0" fontId="2" fillId="0" borderId="130" xfId="0" applyFont="1" applyBorder="1" applyAlignment="1">
      <alignment horizontal="center"/>
    </xf>
    <xf numFmtId="171" fontId="2" fillId="4" borderId="131" xfId="0" applyNumberFormat="1" applyFont="1" applyFill="1" applyBorder="1"/>
    <xf numFmtId="171" fontId="2" fillId="8" borderId="131" xfId="0" applyNumberFormat="1" applyFont="1" applyFill="1" applyBorder="1"/>
    <xf numFmtId="171" fontId="2" fillId="0" borderId="130" xfId="0" applyNumberFormat="1" applyFont="1" applyBorder="1"/>
    <xf numFmtId="171" fontId="2" fillId="0" borderId="132" xfId="0" applyNumberFormat="1" applyFont="1" applyBorder="1"/>
    <xf numFmtId="167" fontId="2" fillId="8" borderId="127" xfId="0" applyNumberFormat="1" applyFont="1" applyFill="1" applyBorder="1"/>
    <xf numFmtId="0" fontId="2" fillId="0" borderId="133" xfId="0" applyFont="1" applyBorder="1"/>
    <xf numFmtId="167" fontId="2" fillId="4" borderId="127" xfId="0" applyNumberFormat="1" applyFont="1" applyFill="1" applyBorder="1"/>
    <xf numFmtId="171" fontId="2" fillId="8" borderId="134" xfId="0" applyNumberFormat="1" applyFont="1" applyFill="1" applyBorder="1"/>
    <xf numFmtId="0" fontId="2" fillId="30" borderId="112" xfId="0" applyFont="1" applyFill="1" applyBorder="1"/>
    <xf numFmtId="0" fontId="2" fillId="30" borderId="80" xfId="0" applyFont="1" applyFill="1" applyBorder="1"/>
    <xf numFmtId="0" fontId="8" fillId="30" borderId="80" xfId="0" applyFont="1" applyFill="1" applyBorder="1"/>
    <xf numFmtId="167" fontId="8" fillId="30" borderId="80" xfId="0" applyNumberFormat="1" applyFont="1" applyFill="1" applyBorder="1"/>
    <xf numFmtId="167" fontId="2" fillId="30" borderId="80" xfId="0" applyNumberFormat="1" applyFont="1" applyFill="1" applyBorder="1"/>
    <xf numFmtId="167" fontId="8" fillId="30" borderId="81" xfId="0" applyNumberFormat="1" applyFont="1" applyFill="1" applyBorder="1"/>
    <xf numFmtId="167" fontId="8" fillId="0" borderId="126" xfId="0" applyNumberFormat="1" applyFont="1" applyBorder="1"/>
    <xf numFmtId="167" fontId="8" fillId="0" borderId="1" xfId="0" applyNumberFormat="1" applyFont="1" applyBorder="1"/>
    <xf numFmtId="167" fontId="8" fillId="0" borderId="133" xfId="0" applyNumberFormat="1" applyFont="1" applyBorder="1"/>
    <xf numFmtId="0" fontId="8" fillId="14" borderId="135" xfId="0" applyFont="1" applyFill="1" applyBorder="1"/>
    <xf numFmtId="167" fontId="8" fillId="14" borderId="135" xfId="0" applyNumberFormat="1" applyFont="1" applyFill="1" applyBorder="1"/>
    <xf numFmtId="0" fontId="2" fillId="14" borderId="135" xfId="0" applyFont="1" applyFill="1" applyBorder="1"/>
    <xf numFmtId="167" fontId="2" fillId="14" borderId="135" xfId="0" applyNumberFormat="1" applyFont="1" applyFill="1" applyBorder="1"/>
    <xf numFmtId="0" fontId="2" fillId="14" borderId="136" xfId="0" applyFont="1" applyFill="1" applyBorder="1"/>
    <xf numFmtId="182" fontId="8" fillId="8" borderId="137" xfId="0" applyNumberFormat="1" applyFont="1" applyFill="1" applyBorder="1"/>
    <xf numFmtId="182" fontId="8" fillId="14" borderId="135" xfId="0" applyNumberFormat="1" applyFont="1" applyFill="1" applyBorder="1"/>
    <xf numFmtId="182" fontId="8" fillId="14" borderId="136" xfId="0" applyNumberFormat="1" applyFont="1" applyFill="1" applyBorder="1"/>
    <xf numFmtId="171" fontId="2" fillId="0" borderId="1" xfId="0" applyNumberFormat="1" applyFont="1" applyBorder="1"/>
    <xf numFmtId="0" fontId="2" fillId="30" borderId="138" xfId="0" applyFont="1" applyFill="1" applyBorder="1"/>
    <xf numFmtId="0" fontId="2" fillId="30" borderId="80" xfId="0" applyFont="1" applyFill="1" applyBorder="1" applyAlignment="1">
      <alignment horizontal="center"/>
    </xf>
    <xf numFmtId="0" fontId="8" fillId="30" borderId="139" xfId="0" applyFont="1" applyFill="1" applyBorder="1"/>
    <xf numFmtId="171" fontId="8" fillId="30" borderId="80" xfId="0" applyNumberFormat="1" applyFont="1" applyFill="1" applyBorder="1"/>
    <xf numFmtId="171" fontId="8" fillId="30" borderId="81" xfId="0" applyNumberFormat="1" applyFont="1" applyFill="1" applyBorder="1"/>
    <xf numFmtId="0" fontId="8" fillId="0" borderId="1" xfId="0" applyFont="1" applyBorder="1"/>
    <xf numFmtId="171" fontId="8" fillId="0" borderId="126" xfId="0" applyNumberFormat="1" applyFont="1" applyBorder="1"/>
    <xf numFmtId="171" fontId="8" fillId="0" borderId="128" xfId="0" applyNumberFormat="1" applyFont="1" applyBorder="1"/>
    <xf numFmtId="0" fontId="8" fillId="14" borderId="137" xfId="0" applyFont="1" applyFill="1" applyBorder="1"/>
    <xf numFmtId="182" fontId="8" fillId="8" borderId="135" xfId="0" applyNumberFormat="1" applyFont="1" applyFill="1" applyBorder="1"/>
    <xf numFmtId="185" fontId="8" fillId="14" borderId="135" xfId="0" applyNumberFormat="1" applyFont="1" applyFill="1" applyBorder="1"/>
    <xf numFmtId="185" fontId="8" fillId="14" borderId="140" xfId="0" applyNumberFormat="1" applyFont="1" applyFill="1" applyBorder="1"/>
    <xf numFmtId="0" fontId="2" fillId="0" borderId="83" xfId="0" applyFont="1" applyBorder="1" applyAlignment="1">
      <alignment horizontal="center"/>
    </xf>
    <xf numFmtId="167" fontId="2" fillId="0" borderId="83" xfId="0" applyNumberFormat="1" applyFont="1" applyBorder="1"/>
    <xf numFmtId="171" fontId="2" fillId="0" borderId="83" xfId="0" applyNumberFormat="1" applyFont="1" applyBorder="1"/>
    <xf numFmtId="171" fontId="2" fillId="0" borderId="84" xfId="0" applyNumberFormat="1" applyFont="1" applyBorder="1"/>
    <xf numFmtId="0" fontId="8" fillId="0" borderId="141" xfId="0" applyFont="1" applyBorder="1"/>
    <xf numFmtId="0" fontId="8" fillId="0" borderId="142" xfId="0" applyFont="1" applyBorder="1"/>
    <xf numFmtId="170" fontId="8" fillId="31" borderId="143" xfId="0" applyNumberFormat="1" applyFont="1" applyFill="1" applyBorder="1"/>
    <xf numFmtId="0" fontId="8" fillId="8" borderId="65" xfId="0" applyFont="1" applyFill="1" applyBorder="1"/>
    <xf numFmtId="0" fontId="8" fillId="0" borderId="144" xfId="0" applyFont="1" applyBorder="1"/>
    <xf numFmtId="0" fontId="8" fillId="0" borderId="145" xfId="0" applyFont="1" applyBorder="1"/>
    <xf numFmtId="0" fontId="8" fillId="29" borderId="12" xfId="0" applyFont="1" applyFill="1" applyBorder="1"/>
    <xf numFmtId="0" fontId="8" fillId="31" borderId="105" xfId="0" applyFont="1" applyFill="1" applyBorder="1"/>
    <xf numFmtId="0" fontId="8" fillId="0" borderId="146" xfId="0" applyFont="1" applyBorder="1"/>
    <xf numFmtId="0" fontId="2" fillId="0" borderId="147" xfId="0" applyFont="1" applyBorder="1"/>
    <xf numFmtId="0" fontId="2" fillId="0" borderId="32" xfId="0" applyFont="1" applyBorder="1"/>
    <xf numFmtId="0" fontId="2" fillId="31" borderId="105" xfId="0" applyFont="1" applyFill="1" applyBorder="1"/>
    <xf numFmtId="167" fontId="29" fillId="8" borderId="12" xfId="0" applyNumberFormat="1" applyFont="1" applyFill="1" applyBorder="1"/>
    <xf numFmtId="0" fontId="2" fillId="0" borderId="146" xfId="0" applyFont="1" applyBorder="1"/>
    <xf numFmtId="0" fontId="2" fillId="0" borderId="148" xfId="0" applyFont="1" applyBorder="1"/>
    <xf numFmtId="167" fontId="2" fillId="0" borderId="9" xfId="0" applyNumberFormat="1" applyFont="1" applyBorder="1"/>
    <xf numFmtId="0" fontId="2" fillId="31" borderId="96" xfId="0" applyFont="1" applyFill="1" applyBorder="1"/>
    <xf numFmtId="167" fontId="29" fillId="8" borderId="9" xfId="0" applyNumberFormat="1" applyFont="1" applyFill="1" applyBorder="1"/>
    <xf numFmtId="0" fontId="2" fillId="0" borderId="149" xfId="0" applyFont="1" applyBorder="1"/>
    <xf numFmtId="0" fontId="2" fillId="8" borderId="13" xfId="0" applyFont="1" applyFill="1" applyBorder="1"/>
    <xf numFmtId="167" fontId="29" fillId="8" borderId="13" xfId="0" applyNumberFormat="1" applyFont="1" applyFill="1" applyBorder="1"/>
    <xf numFmtId="3" fontId="8" fillId="8" borderId="92" xfId="0" applyNumberFormat="1" applyFont="1" applyFill="1" applyBorder="1"/>
    <xf numFmtId="171" fontId="8" fillId="8" borderId="13" xfId="0" applyNumberFormat="1" applyFont="1" applyFill="1" applyBorder="1"/>
    <xf numFmtId="171" fontId="8" fillId="8" borderId="74" xfId="0" applyNumberFormat="1" applyFont="1" applyFill="1" applyBorder="1"/>
    <xf numFmtId="167" fontId="29" fillId="0" borderId="13" xfId="0" applyNumberFormat="1" applyFont="1" applyBorder="1"/>
    <xf numFmtId="3" fontId="29" fillId="31" borderId="92" xfId="0" applyNumberFormat="1" applyFont="1" applyFill="1" applyBorder="1"/>
    <xf numFmtId="167" fontId="30" fillId="8" borderId="13" xfId="0" applyNumberFormat="1" applyFont="1" applyFill="1" applyBorder="1"/>
    <xf numFmtId="171" fontId="30" fillId="0" borderId="13" xfId="0" applyNumberFormat="1" applyFont="1" applyBorder="1"/>
    <xf numFmtId="171" fontId="30" fillId="0" borderId="74" xfId="0" applyNumberFormat="1" applyFont="1" applyBorder="1"/>
    <xf numFmtId="0" fontId="30" fillId="31" borderId="92" xfId="0" applyFont="1" applyFill="1" applyBorder="1"/>
    <xf numFmtId="171" fontId="29" fillId="8" borderId="13" xfId="0" applyNumberFormat="1" applyFont="1" applyFill="1" applyBorder="1"/>
    <xf numFmtId="39" fontId="29" fillId="0" borderId="13" xfId="0" applyNumberFormat="1" applyFont="1" applyBorder="1"/>
    <xf numFmtId="39" fontId="29" fillId="0" borderId="74" xfId="0" applyNumberFormat="1" applyFont="1" applyBorder="1"/>
    <xf numFmtId="167" fontId="2" fillId="31" borderId="105" xfId="0" applyNumberFormat="1" applyFont="1" applyFill="1" applyBorder="1"/>
    <xf numFmtId="171" fontId="29" fillId="0" borderId="21" xfId="0" applyNumberFormat="1" applyFont="1" applyBorder="1"/>
    <xf numFmtId="171" fontId="29" fillId="0" borderId="146" xfId="0" applyNumberFormat="1" applyFont="1" applyBorder="1"/>
    <xf numFmtId="171" fontId="29" fillId="0" borderId="9" xfId="0" applyNumberFormat="1" applyFont="1" applyBorder="1"/>
    <xf numFmtId="171" fontId="29" fillId="0" borderId="149" xfId="0" applyNumberFormat="1" applyFont="1" applyBorder="1"/>
    <xf numFmtId="0" fontId="2" fillId="8" borderId="13" xfId="0" applyFont="1" applyFill="1" applyBorder="1" applyAlignment="1">
      <alignment horizontal="center"/>
    </xf>
    <xf numFmtId="167" fontId="8" fillId="8" borderId="92" xfId="0" applyNumberFormat="1" applyFont="1" applyFill="1" applyBorder="1"/>
    <xf numFmtId="179" fontId="30" fillId="8" borderId="13" xfId="0" applyNumberFormat="1" applyFont="1" applyFill="1" applyBorder="1"/>
    <xf numFmtId="165" fontId="29" fillId="8" borderId="13" xfId="0" applyNumberFormat="1" applyFont="1" applyFill="1" applyBorder="1"/>
    <xf numFmtId="165" fontId="29" fillId="8" borderId="74" xfId="0" applyNumberFormat="1" applyFont="1" applyFill="1" applyBorder="1"/>
    <xf numFmtId="167" fontId="29" fillId="31" borderId="92" xfId="0" applyNumberFormat="1" applyFont="1" applyFill="1" applyBorder="1"/>
    <xf numFmtId="171" fontId="29" fillId="0" borderId="13" xfId="0" applyNumberFormat="1" applyFont="1" applyBorder="1"/>
    <xf numFmtId="171" fontId="29" fillId="0" borderId="74" xfId="0" applyNumberFormat="1" applyFont="1" applyBorder="1"/>
    <xf numFmtId="171" fontId="30" fillId="8" borderId="13" xfId="0" applyNumberFormat="1" applyFont="1" applyFill="1" applyBorder="1"/>
    <xf numFmtId="171" fontId="30" fillId="8" borderId="74" xfId="0" applyNumberFormat="1" applyFont="1" applyFill="1" applyBorder="1"/>
    <xf numFmtId="0" fontId="2" fillId="0" borderId="150" xfId="0" applyFont="1" applyBorder="1"/>
    <xf numFmtId="0" fontId="2" fillId="0" borderId="55" xfId="0" applyFont="1" applyBorder="1" applyAlignment="1">
      <alignment horizontal="center"/>
    </xf>
    <xf numFmtId="167" fontId="29" fillId="31" borderId="99" xfId="0" applyNumberFormat="1" applyFont="1" applyFill="1" applyBorder="1"/>
    <xf numFmtId="167" fontId="30" fillId="8" borderId="55" xfId="0" applyNumberFormat="1" applyFont="1" applyFill="1" applyBorder="1"/>
    <xf numFmtId="171" fontId="29" fillId="0" borderId="55" xfId="0" applyNumberFormat="1" applyFont="1" applyBorder="1"/>
    <xf numFmtId="171" fontId="29" fillId="0" borderId="151" xfId="0" applyNumberFormat="1" applyFont="1" applyBorder="1"/>
    <xf numFmtId="167" fontId="30" fillId="31" borderId="92" xfId="0" applyNumberFormat="1" applyFont="1" applyFill="1" applyBorder="1"/>
    <xf numFmtId="180" fontId="30" fillId="0" borderId="13" xfId="0" applyNumberFormat="1" applyFont="1" applyBorder="1"/>
    <xf numFmtId="167" fontId="2" fillId="31" borderId="92" xfId="0" applyNumberFormat="1" applyFont="1" applyFill="1" applyBorder="1"/>
    <xf numFmtId="180" fontId="29" fillId="0" borderId="13" xfId="0" applyNumberFormat="1" applyFont="1" applyBorder="1"/>
    <xf numFmtId="167" fontId="29" fillId="0" borderId="55" xfId="0" applyNumberFormat="1" applyFont="1" applyBorder="1"/>
    <xf numFmtId="167" fontId="30" fillId="31" borderId="99" xfId="0" applyNumberFormat="1" applyFont="1" applyFill="1" applyBorder="1"/>
    <xf numFmtId="180" fontId="30" fillId="0" borderId="55" xfId="0" applyNumberFormat="1" applyFont="1" applyBorder="1"/>
    <xf numFmtId="171" fontId="30" fillId="0" borderId="151" xfId="0" applyNumberFormat="1" applyFont="1" applyBorder="1"/>
    <xf numFmtId="167" fontId="2" fillId="31" borderId="96" xfId="0" applyNumberFormat="1" applyFont="1" applyFill="1" applyBorder="1"/>
    <xf numFmtId="182" fontId="30" fillId="0" borderId="13" xfId="0" applyNumberFormat="1" applyFont="1" applyBorder="1"/>
    <xf numFmtId="182" fontId="29" fillId="0" borderId="13" xfId="0" applyNumberFormat="1" applyFont="1" applyBorder="1"/>
    <xf numFmtId="184" fontId="29" fillId="0" borderId="13" xfId="0" applyNumberFormat="1" applyFont="1" applyBorder="1"/>
    <xf numFmtId="184" fontId="29" fillId="0" borderId="74" xfId="0" applyNumberFormat="1" applyFont="1" applyBorder="1"/>
    <xf numFmtId="167" fontId="2" fillId="31" borderId="99" xfId="0" applyNumberFormat="1" applyFont="1" applyFill="1" applyBorder="1"/>
    <xf numFmtId="167" fontId="29" fillId="8" borderId="55" xfId="0" applyNumberFormat="1" applyFont="1" applyFill="1" applyBorder="1"/>
    <xf numFmtId="167" fontId="8" fillId="31" borderId="92" xfId="0" applyNumberFormat="1" applyFont="1" applyFill="1" applyBorder="1"/>
    <xf numFmtId="167" fontId="8" fillId="31" borderId="99" xfId="0" applyNumberFormat="1" applyFont="1" applyFill="1" applyBorder="1"/>
    <xf numFmtId="39" fontId="30" fillId="0" borderId="55" xfId="0" applyNumberFormat="1" applyFont="1" applyBorder="1"/>
    <xf numFmtId="167" fontId="30" fillId="8" borderId="92" xfId="0" applyNumberFormat="1" applyFont="1" applyFill="1" applyBorder="1"/>
    <xf numFmtId="0" fontId="2" fillId="14" borderId="13" xfId="0" applyFont="1" applyFill="1" applyBorder="1"/>
    <xf numFmtId="167" fontId="29" fillId="8" borderId="92" xfId="0" applyNumberFormat="1" applyFont="1" applyFill="1" applyBorder="1"/>
    <xf numFmtId="38" fontId="2" fillId="0" borderId="13" xfId="0" applyNumberFormat="1" applyFont="1" applyBorder="1"/>
    <xf numFmtId="167" fontId="29" fillId="0" borderId="21" xfId="0" applyNumberFormat="1" applyFont="1" applyBorder="1"/>
    <xf numFmtId="167" fontId="29" fillId="0" borderId="37" xfId="0" applyNumberFormat="1" applyFont="1" applyBorder="1"/>
    <xf numFmtId="167" fontId="30" fillId="8" borderId="12" xfId="0" applyNumberFormat="1" applyFont="1" applyFill="1" applyBorder="1"/>
    <xf numFmtId="38" fontId="2" fillId="0" borderId="55" xfId="0" applyNumberFormat="1" applyFont="1" applyBorder="1"/>
    <xf numFmtId="38" fontId="2" fillId="0" borderId="21" xfId="0" applyNumberFormat="1" applyFont="1" applyBorder="1"/>
    <xf numFmtId="38" fontId="2" fillId="0" borderId="9" xfId="0" applyNumberFormat="1" applyFont="1" applyBorder="1"/>
    <xf numFmtId="39" fontId="30" fillId="0" borderId="13" xfId="0" applyNumberFormat="1" applyFont="1" applyBorder="1"/>
    <xf numFmtId="39" fontId="30" fillId="0" borderId="74" xfId="0" applyNumberFormat="1" applyFont="1" applyBorder="1"/>
    <xf numFmtId="171" fontId="30" fillId="8" borderId="55" xfId="0" applyNumberFormat="1" applyFont="1" applyFill="1" applyBorder="1"/>
    <xf numFmtId="39" fontId="30" fillId="0" borderId="151" xfId="0" applyNumberFormat="1" applyFont="1" applyBorder="1"/>
    <xf numFmtId="0" fontId="10" fillId="0" borderId="9" xfId="0" applyFont="1" applyBorder="1"/>
    <xf numFmtId="167" fontId="30" fillId="8" borderId="9" xfId="0" applyNumberFormat="1" applyFont="1" applyFill="1" applyBorder="1"/>
    <xf numFmtId="0" fontId="2" fillId="0" borderId="21" xfId="0" applyFont="1" applyBorder="1" applyAlignment="1">
      <alignment horizontal="center"/>
    </xf>
    <xf numFmtId="167" fontId="29" fillId="31" borderId="105" xfId="0" applyNumberFormat="1" applyFont="1" applyFill="1" applyBorder="1"/>
    <xf numFmtId="167" fontId="29" fillId="0" borderId="9" xfId="0" applyNumberFormat="1" applyFont="1" applyBorder="1"/>
    <xf numFmtId="167" fontId="29" fillId="31" borderId="96" xfId="0" applyNumberFormat="1" applyFont="1" applyFill="1" applyBorder="1"/>
    <xf numFmtId="0" fontId="2" fillId="0" borderId="152" xfId="0" applyFont="1" applyBorder="1"/>
    <xf numFmtId="167" fontId="29" fillId="0" borderId="32" xfId="0" applyNumberFormat="1" applyFont="1" applyBorder="1"/>
    <xf numFmtId="167" fontId="29" fillId="31" borderId="106" xfId="0" applyNumberFormat="1" applyFont="1" applyFill="1" applyBorder="1"/>
    <xf numFmtId="167" fontId="29" fillId="8" borderId="57" xfId="0" applyNumberFormat="1" applyFont="1" applyFill="1" applyBorder="1"/>
    <xf numFmtId="171" fontId="29" fillId="0" borderId="32" xfId="0" applyNumberFormat="1" applyFont="1" applyBorder="1"/>
    <xf numFmtId="171" fontId="29" fillId="0" borderId="153" xfId="0" applyNumberFormat="1" applyFont="1" applyBorder="1"/>
    <xf numFmtId="167" fontId="30" fillId="8" borderId="74" xfId="0" applyNumberFormat="1" applyFont="1" applyFill="1" applyBorder="1"/>
    <xf numFmtId="180" fontId="29" fillId="0" borderId="74" xfId="0" applyNumberFormat="1" applyFont="1" applyBorder="1"/>
    <xf numFmtId="0" fontId="2" fillId="31" borderId="99" xfId="0" applyFont="1" applyFill="1" applyBorder="1"/>
    <xf numFmtId="0" fontId="2" fillId="0" borderId="71" xfId="0" applyFont="1" applyBorder="1"/>
    <xf numFmtId="167" fontId="29" fillId="0" borderId="71" xfId="0" applyNumberFormat="1" applyFont="1" applyBorder="1"/>
    <xf numFmtId="167" fontId="2" fillId="0" borderId="71" xfId="0" applyNumberFormat="1" applyFont="1" applyBorder="1"/>
    <xf numFmtId="0" fontId="2" fillId="31" borderId="154" xfId="0" applyFont="1" applyFill="1" applyBorder="1"/>
    <xf numFmtId="167" fontId="29" fillId="8" borderId="131" xfId="0" applyNumberFormat="1" applyFont="1" applyFill="1" applyBorder="1"/>
    <xf numFmtId="171" fontId="29" fillId="0" borderId="130" xfId="0" applyNumberFormat="1" applyFont="1" applyBorder="1"/>
    <xf numFmtId="171" fontId="29" fillId="0" borderId="132" xfId="0" applyNumberFormat="1" applyFont="1" applyBorder="1"/>
    <xf numFmtId="167" fontId="2" fillId="0" borderId="21" xfId="0" applyNumberFormat="1" applyFont="1" applyBorder="1" applyAlignment="1">
      <alignment horizontal="center"/>
    </xf>
    <xf numFmtId="167" fontId="2" fillId="31" borderId="134" xfId="0" applyNumberFormat="1" applyFont="1" applyFill="1" applyBorder="1"/>
    <xf numFmtId="171" fontId="29" fillId="0" borderId="126" xfId="0" applyNumberFormat="1" applyFont="1" applyBorder="1"/>
    <xf numFmtId="171" fontId="29" fillId="0" borderId="128" xfId="0" applyNumberFormat="1" applyFont="1" applyBorder="1"/>
    <xf numFmtId="167" fontId="8" fillId="31" borderId="155" xfId="0" applyNumberFormat="1" applyFont="1" applyFill="1" applyBorder="1"/>
    <xf numFmtId="171" fontId="30" fillId="8" borderId="40" xfId="0" applyNumberFormat="1" applyFont="1" applyFill="1" applyBorder="1"/>
    <xf numFmtId="171" fontId="30" fillId="8" borderId="47" xfId="0" applyNumberFormat="1" applyFont="1" applyFill="1" applyBorder="1"/>
    <xf numFmtId="0" fontId="8" fillId="0" borderId="150" xfId="0" applyFont="1" applyBorder="1"/>
    <xf numFmtId="3" fontId="2" fillId="0" borderId="9" xfId="0" applyNumberFormat="1" applyFont="1" applyBorder="1"/>
    <xf numFmtId="171" fontId="2" fillId="31" borderId="96" xfId="0" applyNumberFormat="1" applyFont="1" applyFill="1" applyBorder="1"/>
    <xf numFmtId="171" fontId="2" fillId="0" borderId="9" xfId="0" applyNumberFormat="1" applyFont="1" applyBorder="1"/>
    <xf numFmtId="171" fontId="2" fillId="0" borderId="149" xfId="0" applyNumberFormat="1" applyFont="1" applyBorder="1"/>
    <xf numFmtId="0" fontId="2" fillId="0" borderId="156" xfId="0" applyFont="1" applyBorder="1"/>
    <xf numFmtId="182" fontId="29" fillId="0" borderId="74" xfId="0" applyNumberFormat="1" applyFont="1" applyBorder="1"/>
    <xf numFmtId="168" fontId="29" fillId="0" borderId="74" xfId="0" applyNumberFormat="1" applyFont="1" applyBorder="1"/>
    <xf numFmtId="171" fontId="29" fillId="8" borderId="55" xfId="0" applyNumberFormat="1" applyFont="1" applyFill="1" applyBorder="1"/>
    <xf numFmtId="180" fontId="29" fillId="0" borderId="55" xfId="0" applyNumberFormat="1" applyFont="1" applyBorder="1"/>
    <xf numFmtId="168" fontId="29" fillId="0" borderId="151" xfId="0" applyNumberFormat="1" applyFont="1" applyBorder="1"/>
    <xf numFmtId="0" fontId="2" fillId="8" borderId="9" xfId="0" applyFont="1" applyFill="1" applyBorder="1"/>
    <xf numFmtId="171" fontId="2" fillId="31" borderId="92" xfId="0" applyNumberFormat="1" applyFont="1" applyFill="1" applyBorder="1"/>
    <xf numFmtId="171" fontId="2" fillId="0" borderId="74" xfId="0" applyNumberFormat="1" applyFont="1" applyBorder="1"/>
    <xf numFmtId="171" fontId="8" fillId="31" borderId="92" xfId="0" applyNumberFormat="1" applyFont="1" applyFill="1" applyBorder="1"/>
    <xf numFmtId="171" fontId="29" fillId="31" borderId="92" xfId="0" applyNumberFormat="1" applyFont="1" applyFill="1" applyBorder="1"/>
    <xf numFmtId="171" fontId="8" fillId="0" borderId="13" xfId="0" applyNumberFormat="1" applyFont="1" applyBorder="1"/>
    <xf numFmtId="180" fontId="8" fillId="0" borderId="74" xfId="0" applyNumberFormat="1" applyFont="1" applyBorder="1"/>
    <xf numFmtId="184" fontId="30" fillId="0" borderId="74" xfId="0" applyNumberFormat="1" applyFont="1" applyBorder="1"/>
    <xf numFmtId="171" fontId="8" fillId="31" borderId="99" xfId="0" applyNumberFormat="1" applyFont="1" applyFill="1" applyBorder="1"/>
    <xf numFmtId="0" fontId="2" fillId="8" borderId="12" xfId="0" applyFont="1" applyFill="1" applyBorder="1"/>
    <xf numFmtId="171" fontId="2" fillId="0" borderId="146" xfId="0" applyNumberFormat="1" applyFont="1" applyBorder="1"/>
    <xf numFmtId="171" fontId="2" fillId="8" borderId="9" xfId="0" applyNumberFormat="1" applyFont="1" applyFill="1" applyBorder="1"/>
    <xf numFmtId="0" fontId="29" fillId="31" borderId="99" xfId="0" applyFont="1" applyFill="1" applyBorder="1"/>
    <xf numFmtId="0" fontId="29" fillId="8" borderId="55" xfId="0" applyFont="1" applyFill="1" applyBorder="1"/>
    <xf numFmtId="0" fontId="31" fillId="8" borderId="12" xfId="0" applyFont="1" applyFill="1" applyBorder="1"/>
    <xf numFmtId="167" fontId="28" fillId="8" borderId="9" xfId="0" applyNumberFormat="1" applyFont="1" applyFill="1" applyBorder="1"/>
    <xf numFmtId="0" fontId="28" fillId="8" borderId="12" xfId="0" applyFont="1" applyFill="1" applyBorder="1"/>
    <xf numFmtId="39" fontId="2" fillId="0" borderId="146" xfId="0" applyNumberFormat="1" applyFont="1" applyBorder="1"/>
    <xf numFmtId="167" fontId="2" fillId="31" borderId="9" xfId="0" applyNumberFormat="1" applyFont="1" applyFill="1" applyBorder="1"/>
    <xf numFmtId="171" fontId="30" fillId="31" borderId="13" xfId="0" applyNumberFormat="1" applyFont="1" applyFill="1" applyBorder="1"/>
    <xf numFmtId="171" fontId="30" fillId="31" borderId="55" xfId="0" applyNumberFormat="1" applyFont="1" applyFill="1" applyBorder="1"/>
    <xf numFmtId="0" fontId="2" fillId="31" borderId="12" xfId="0" applyFont="1" applyFill="1" applyBorder="1"/>
    <xf numFmtId="171" fontId="2" fillId="8" borderId="12" xfId="0" applyNumberFormat="1" applyFont="1" applyFill="1" applyBorder="1"/>
    <xf numFmtId="171" fontId="30" fillId="0" borderId="146" xfId="0" applyNumberFormat="1" applyFont="1" applyBorder="1"/>
    <xf numFmtId="0" fontId="2" fillId="0" borderId="79" xfId="0" applyFont="1" applyBorder="1"/>
    <xf numFmtId="0" fontId="2" fillId="0" borderId="79" xfId="0" applyFont="1" applyBorder="1" applyAlignment="1">
      <alignment horizontal="center"/>
    </xf>
    <xf numFmtId="167" fontId="2" fillId="0" borderId="79" xfId="0" applyNumberFormat="1" applyFont="1" applyBorder="1"/>
    <xf numFmtId="171" fontId="2" fillId="31" borderId="79" xfId="0" applyNumberFormat="1" applyFont="1" applyFill="1" applyBorder="1"/>
    <xf numFmtId="171" fontId="2" fillId="8" borderId="79" xfId="0" applyNumberFormat="1" applyFont="1" applyFill="1" applyBorder="1"/>
    <xf numFmtId="171" fontId="2" fillId="0" borderId="79" xfId="0" applyNumberFormat="1" applyFont="1" applyBorder="1"/>
    <xf numFmtId="171" fontId="2" fillId="0" borderId="88" xfId="0" applyNumberFormat="1" applyFont="1" applyBorder="1"/>
    <xf numFmtId="3" fontId="2" fillId="0" borderId="21" xfId="0" applyNumberFormat="1" applyFont="1" applyBorder="1"/>
    <xf numFmtId="2" fontId="30" fillId="31" borderId="157" xfId="0" applyNumberFormat="1" applyFont="1" applyFill="1" applyBorder="1"/>
    <xf numFmtId="170" fontId="30" fillId="8" borderId="157" xfId="0" applyNumberFormat="1" applyFont="1" applyFill="1" applyBorder="1"/>
    <xf numFmtId="171" fontId="30" fillId="0" borderId="158" xfId="0" applyNumberFormat="1" applyFont="1" applyBorder="1"/>
    <xf numFmtId="171" fontId="30" fillId="0" borderId="159" xfId="0" applyNumberFormat="1" applyFont="1" applyBorder="1"/>
    <xf numFmtId="0" fontId="2" fillId="30" borderId="160" xfId="0" applyFont="1" applyFill="1" applyBorder="1"/>
    <xf numFmtId="0" fontId="8" fillId="30" borderId="135" xfId="0" applyFont="1" applyFill="1" applyBorder="1"/>
    <xf numFmtId="0" fontId="2" fillId="30" borderId="135" xfId="0" applyFont="1" applyFill="1" applyBorder="1"/>
    <xf numFmtId="3" fontId="8" fillId="30" borderId="135" xfId="0" applyNumberFormat="1" applyFont="1" applyFill="1" applyBorder="1"/>
    <xf numFmtId="167" fontId="2" fillId="30" borderId="135" xfId="0" applyNumberFormat="1" applyFont="1" applyFill="1" applyBorder="1"/>
    <xf numFmtId="0" fontId="2" fillId="30" borderId="136" xfId="0" applyFont="1" applyFill="1" applyBorder="1"/>
    <xf numFmtId="171" fontId="8" fillId="30" borderId="161" xfId="0" applyNumberFormat="1" applyFont="1" applyFill="1" applyBorder="1"/>
    <xf numFmtId="171" fontId="8" fillId="30" borderId="162" xfId="0" applyNumberFormat="1" applyFont="1" applyFill="1" applyBorder="1"/>
    <xf numFmtId="0" fontId="2" fillId="0" borderId="163" xfId="0" applyFont="1" applyBorder="1"/>
    <xf numFmtId="0" fontId="8" fillId="0" borderId="164" xfId="0" applyFont="1" applyBorder="1"/>
    <xf numFmtId="0" fontId="2" fillId="0" borderId="164" xfId="0" applyFont="1" applyBorder="1"/>
    <xf numFmtId="3" fontId="8" fillId="0" borderId="164" xfId="0" applyNumberFormat="1" applyFont="1" applyBorder="1"/>
    <xf numFmtId="167" fontId="2" fillId="0" borderId="164" xfId="0" applyNumberFormat="1" applyFont="1" applyBorder="1"/>
    <xf numFmtId="171" fontId="8" fillId="0" borderId="158" xfId="0" applyNumberFormat="1" applyFont="1" applyBorder="1"/>
    <xf numFmtId="171" fontId="8" fillId="0" borderId="159" xfId="0" applyNumberFormat="1" applyFont="1" applyBorder="1"/>
    <xf numFmtId="0" fontId="2" fillId="14" borderId="165" xfId="0" applyFont="1" applyFill="1" applyBorder="1"/>
    <xf numFmtId="0" fontId="8" fillId="14" borderId="166" xfId="0" applyFont="1" applyFill="1" applyBorder="1"/>
    <xf numFmtId="0" fontId="2" fillId="14" borderId="166" xfId="0" applyFont="1" applyFill="1" applyBorder="1"/>
    <xf numFmtId="3" fontId="8" fillId="14" borderId="166" xfId="0" applyNumberFormat="1" applyFont="1" applyFill="1" applyBorder="1"/>
    <xf numFmtId="167" fontId="2" fillId="14" borderId="166" xfId="0" applyNumberFormat="1" applyFont="1" applyFill="1" applyBorder="1"/>
    <xf numFmtId="171" fontId="8" fillId="14" borderId="161" xfId="0" applyNumberFormat="1" applyFont="1" applyFill="1" applyBorder="1"/>
    <xf numFmtId="184" fontId="8" fillId="8" borderId="161" xfId="0" applyNumberFormat="1" applyFont="1" applyFill="1" applyBorder="1"/>
    <xf numFmtId="184" fontId="8" fillId="14" borderId="161" xfId="0" applyNumberFormat="1" applyFont="1" applyFill="1" applyBorder="1"/>
    <xf numFmtId="184" fontId="8" fillId="14" borderId="162" xfId="0" applyNumberFormat="1" applyFont="1" applyFill="1" applyBorder="1"/>
    <xf numFmtId="0" fontId="8" fillId="0" borderId="116" xfId="0" applyFont="1" applyBorder="1"/>
    <xf numFmtId="3" fontId="8" fillId="0" borderId="116" xfId="0" applyNumberFormat="1" applyFont="1" applyBorder="1"/>
    <xf numFmtId="167" fontId="2" fillId="0" borderId="116" xfId="0" applyNumberFormat="1" applyFont="1" applyBorder="1"/>
    <xf numFmtId="171" fontId="8" fillId="0" borderId="116" xfId="0" applyNumberFormat="1" applyFont="1" applyBorder="1"/>
    <xf numFmtId="171" fontId="8" fillId="0" borderId="167" xfId="0" applyNumberFormat="1" applyFont="1" applyBorder="1"/>
    <xf numFmtId="38" fontId="8" fillId="0" borderId="0" xfId="0" applyNumberFormat="1" applyFont="1"/>
    <xf numFmtId="167" fontId="8" fillId="0" borderId="0" xfId="0" applyNumberFormat="1" applyFont="1"/>
    <xf numFmtId="38" fontId="2" fillId="0" borderId="0" xfId="0" applyNumberFormat="1" applyFont="1"/>
    <xf numFmtId="167" fontId="29" fillId="0" borderId="0" xfId="0" applyNumberFormat="1" applyFont="1"/>
    <xf numFmtId="167" fontId="30" fillId="0" borderId="0" xfId="0" applyNumberFormat="1" applyFont="1"/>
    <xf numFmtId="0" fontId="2" fillId="31" borderId="106" xfId="0" applyFont="1" applyFill="1" applyBorder="1"/>
    <xf numFmtId="0" fontId="2" fillId="0" borderId="153" xfId="0" applyFont="1" applyBorder="1"/>
    <xf numFmtId="0" fontId="2" fillId="0" borderId="168" xfId="0" applyFont="1" applyBorder="1"/>
    <xf numFmtId="0" fontId="2" fillId="0" borderId="16" xfId="0" applyFont="1" applyBorder="1"/>
    <xf numFmtId="167" fontId="2" fillId="31" borderId="169" xfId="0" applyNumberFormat="1" applyFont="1" applyFill="1" applyBorder="1"/>
    <xf numFmtId="167" fontId="29" fillId="8" borderId="56" xfId="0" applyNumberFormat="1" applyFont="1" applyFill="1" applyBorder="1"/>
    <xf numFmtId="171" fontId="29" fillId="0" borderId="16" xfId="0" applyNumberFormat="1" applyFont="1" applyBorder="1"/>
    <xf numFmtId="171" fontId="29" fillId="0" borderId="170" xfId="0" applyNumberFormat="1" applyFont="1" applyBorder="1"/>
    <xf numFmtId="0" fontId="2" fillId="14" borderId="13" xfId="0" applyFont="1" applyFill="1" applyBorder="1" applyAlignment="1">
      <alignment horizontal="center"/>
    </xf>
    <xf numFmtId="0" fontId="2" fillId="0" borderId="145" xfId="0" applyFont="1" applyBorder="1"/>
    <xf numFmtId="0" fontId="2" fillId="0" borderId="171" xfId="0" applyFont="1" applyBorder="1"/>
    <xf numFmtId="171" fontId="29" fillId="8" borderId="74" xfId="0" applyNumberFormat="1" applyFont="1" applyFill="1" applyBorder="1"/>
    <xf numFmtId="171" fontId="30" fillId="31" borderId="92" xfId="0" applyNumberFormat="1" applyFont="1" applyFill="1" applyBorder="1"/>
    <xf numFmtId="0" fontId="2" fillId="0" borderId="172" xfId="0" applyFont="1" applyBorder="1"/>
    <xf numFmtId="3" fontId="2" fillId="0" borderId="71" xfId="0" applyNumberFormat="1" applyFont="1" applyBorder="1"/>
    <xf numFmtId="2" fontId="30" fillId="31" borderId="103" xfId="0" applyNumberFormat="1" applyFont="1" applyFill="1" applyBorder="1"/>
    <xf numFmtId="170" fontId="30" fillId="8" borderId="103" xfId="0" applyNumberFormat="1" applyFont="1" applyFill="1" applyBorder="1"/>
    <xf numFmtId="171" fontId="30" fillId="0" borderId="71" xfId="0" applyNumberFormat="1" applyFont="1" applyBorder="1"/>
    <xf numFmtId="171" fontId="30" fillId="0" borderId="72" xfId="0" applyNumberFormat="1" applyFont="1" applyBorder="1"/>
    <xf numFmtId="0" fontId="2" fillId="14" borderId="40" xfId="0" applyFont="1" applyFill="1" applyBorder="1"/>
    <xf numFmtId="171" fontId="2" fillId="31" borderId="12" xfId="0" applyNumberFormat="1" applyFont="1" applyFill="1" applyBorder="1"/>
    <xf numFmtId="167" fontId="2" fillId="0" borderId="32" xfId="0" applyNumberFormat="1" applyFont="1" applyBorder="1" applyAlignment="1">
      <alignment horizontal="center"/>
    </xf>
    <xf numFmtId="167" fontId="2" fillId="31" borderId="57" xfId="0" applyNumberFormat="1" applyFont="1" applyFill="1" applyBorder="1"/>
    <xf numFmtId="171" fontId="2" fillId="8" borderId="57" xfId="0" applyNumberFormat="1" applyFont="1" applyFill="1" applyBorder="1"/>
    <xf numFmtId="171" fontId="30" fillId="0" borderId="153" xfId="0" applyNumberFormat="1" applyFont="1" applyBorder="1"/>
    <xf numFmtId="0" fontId="8" fillId="0" borderId="172" xfId="0" applyFont="1" applyBorder="1"/>
    <xf numFmtId="167" fontId="2" fillId="0" borderId="71" xfId="0" applyNumberFormat="1" applyFont="1" applyBorder="1" applyAlignment="1">
      <alignment horizontal="center"/>
    </xf>
    <xf numFmtId="167" fontId="2" fillId="31" borderId="103" xfId="0" applyNumberFormat="1" applyFont="1" applyFill="1" applyBorder="1"/>
    <xf numFmtId="171" fontId="2" fillId="8" borderId="103" xfId="0" applyNumberFormat="1" applyFont="1" applyFill="1" applyBorder="1"/>
    <xf numFmtId="171" fontId="2" fillId="0" borderId="71" xfId="0" applyNumberFormat="1" applyFont="1" applyBorder="1"/>
    <xf numFmtId="167" fontId="2" fillId="31" borderId="12" xfId="0" applyNumberFormat="1" applyFont="1" applyFill="1" applyBorder="1"/>
    <xf numFmtId="179" fontId="2" fillId="31" borderId="13" xfId="0" applyNumberFormat="1" applyFont="1" applyFill="1" applyBorder="1"/>
    <xf numFmtId="39" fontId="2" fillId="0" borderId="13" xfId="0" applyNumberFormat="1" applyFont="1" applyBorder="1"/>
    <xf numFmtId="39" fontId="8" fillId="0" borderId="74" xfId="0" applyNumberFormat="1" applyFont="1" applyBorder="1"/>
    <xf numFmtId="0" fontId="2" fillId="30" borderId="86" xfId="0" applyFont="1" applyFill="1" applyBorder="1"/>
    <xf numFmtId="0" fontId="8" fillId="30" borderId="57" xfId="0" applyFont="1" applyFill="1" applyBorder="1"/>
    <xf numFmtId="0" fontId="2" fillId="30" borderId="57" xfId="0" applyFont="1" applyFill="1" applyBorder="1"/>
    <xf numFmtId="3" fontId="2" fillId="30" borderId="57" xfId="0" applyNumberFormat="1" applyFont="1" applyFill="1" applyBorder="1"/>
    <xf numFmtId="167" fontId="2" fillId="30" borderId="57" xfId="0" applyNumberFormat="1" applyFont="1" applyFill="1" applyBorder="1"/>
    <xf numFmtId="171" fontId="2" fillId="30" borderId="57" xfId="0" applyNumberFormat="1" applyFont="1" applyFill="1" applyBorder="1"/>
    <xf numFmtId="171" fontId="2" fillId="30" borderId="69" xfId="0" applyNumberFormat="1" applyFont="1" applyFill="1" applyBorder="1"/>
    <xf numFmtId="0" fontId="2" fillId="0" borderId="173" xfId="0" applyFont="1" applyBorder="1"/>
    <xf numFmtId="184" fontId="8" fillId="14" borderId="78" xfId="0" applyNumberFormat="1" applyFont="1" applyFill="1" applyBorder="1"/>
    <xf numFmtId="184" fontId="8" fillId="14" borderId="174" xfId="0" applyNumberFormat="1" applyFont="1" applyFill="1" applyBorder="1"/>
    <xf numFmtId="184" fontId="8" fillId="14" borderId="79" xfId="0" applyNumberFormat="1" applyFont="1" applyFill="1" applyBorder="1"/>
    <xf numFmtId="184" fontId="8" fillId="14" borderId="88" xfId="0" applyNumberFormat="1" applyFont="1" applyFill="1" applyBorder="1"/>
    <xf numFmtId="0" fontId="2" fillId="0" borderId="167" xfId="0" applyFont="1" applyBorder="1"/>
    <xf numFmtId="0" fontId="8" fillId="25" borderId="175" xfId="0" applyFont="1" applyFill="1" applyBorder="1"/>
    <xf numFmtId="0" fontId="8" fillId="25" borderId="176" xfId="0" applyFont="1" applyFill="1" applyBorder="1"/>
    <xf numFmtId="167" fontId="32" fillId="25" borderId="176" xfId="0" applyNumberFormat="1" applyFont="1" applyFill="1" applyBorder="1"/>
    <xf numFmtId="171" fontId="32" fillId="25" borderId="176" xfId="0" applyNumberFormat="1" applyFont="1" applyFill="1" applyBorder="1"/>
    <xf numFmtId="184" fontId="32" fillId="25" borderId="176" xfId="0" applyNumberFormat="1" applyFont="1" applyFill="1" applyBorder="1"/>
    <xf numFmtId="184" fontId="32" fillId="25" borderId="179" xfId="0" applyNumberFormat="1" applyFont="1" applyFill="1" applyBorder="1"/>
    <xf numFmtId="0" fontId="32" fillId="0" borderId="0" xfId="0" applyFont="1"/>
    <xf numFmtId="167" fontId="32" fillId="0" borderId="0" xfId="0" applyNumberFormat="1" applyFont="1"/>
    <xf numFmtId="171" fontId="32" fillId="0" borderId="0" xfId="0" applyNumberFormat="1" applyFont="1"/>
    <xf numFmtId="0" fontId="8" fillId="4" borderId="65" xfId="0" applyFont="1" applyFill="1" applyBorder="1"/>
    <xf numFmtId="0" fontId="8" fillId="4" borderId="12" xfId="0" applyFont="1" applyFill="1" applyBorder="1"/>
    <xf numFmtId="0" fontId="2" fillId="4" borderId="57" xfId="0" applyFont="1" applyFill="1" applyBorder="1"/>
    <xf numFmtId="0" fontId="2" fillId="8" borderId="57" xfId="0" applyFont="1" applyFill="1" applyBorder="1"/>
    <xf numFmtId="0" fontId="2" fillId="4" borderId="103" xfId="0" applyFont="1" applyFill="1" applyBorder="1"/>
    <xf numFmtId="0" fontId="2" fillId="8" borderId="103" xfId="0" applyFont="1" applyFill="1" applyBorder="1"/>
    <xf numFmtId="0" fontId="2" fillId="0" borderId="72" xfId="0" applyFont="1" applyBorder="1"/>
    <xf numFmtId="167" fontId="2" fillId="4" borderId="12" xfId="0" applyNumberFormat="1" applyFont="1" applyFill="1" applyBorder="1"/>
    <xf numFmtId="39" fontId="2" fillId="0" borderId="21" xfId="0" applyNumberFormat="1" applyFont="1" applyBorder="1"/>
    <xf numFmtId="167" fontId="2" fillId="4" borderId="57" xfId="0" applyNumberFormat="1" applyFont="1" applyFill="1" applyBorder="1"/>
    <xf numFmtId="171" fontId="2" fillId="0" borderId="153" xfId="0" applyNumberFormat="1" applyFont="1" applyBorder="1"/>
    <xf numFmtId="167" fontId="2" fillId="4" borderId="103" xfId="0" applyNumberFormat="1" applyFont="1" applyFill="1" applyBorder="1"/>
    <xf numFmtId="171" fontId="2" fillId="0" borderId="72" xfId="0" applyNumberFormat="1" applyFont="1" applyBorder="1"/>
    <xf numFmtId="182" fontId="2" fillId="4" borderId="12" xfId="0" applyNumberFormat="1" applyFont="1" applyFill="1" applyBorder="1"/>
    <xf numFmtId="184" fontId="2" fillId="8" borderId="12" xfId="0" applyNumberFormat="1" applyFont="1" applyFill="1" applyBorder="1"/>
    <xf numFmtId="186" fontId="2" fillId="0" borderId="21" xfId="0" applyNumberFormat="1" applyFont="1" applyBorder="1"/>
    <xf numFmtId="186" fontId="2" fillId="0" borderId="146" xfId="0" applyNumberFormat="1" applyFont="1" applyBorder="1"/>
    <xf numFmtId="171" fontId="2" fillId="4" borderId="12" xfId="0" applyNumberFormat="1" applyFont="1" applyFill="1" applyBorder="1" applyAlignment="1">
      <alignment horizontal="right"/>
    </xf>
    <xf numFmtId="171" fontId="29" fillId="4" borderId="12" xfId="0" applyNumberFormat="1" applyFont="1" applyFill="1" applyBorder="1" applyAlignment="1">
      <alignment horizontal="right"/>
    </xf>
    <xf numFmtId="167" fontId="2" fillId="8" borderId="12" xfId="0" applyNumberFormat="1" applyFont="1" applyFill="1" applyBorder="1"/>
    <xf numFmtId="2" fontId="2" fillId="0" borderId="21" xfId="0" applyNumberFormat="1" applyFont="1" applyBorder="1"/>
    <xf numFmtId="0" fontId="2" fillId="0" borderId="71" xfId="0" applyFont="1" applyBorder="1" applyAlignment="1">
      <alignment horizontal="center"/>
    </xf>
    <xf numFmtId="171" fontId="2" fillId="4" borderId="12" xfId="0" applyNumberFormat="1" applyFont="1" applyFill="1" applyBorder="1"/>
    <xf numFmtId="0" fontId="2" fillId="30" borderId="180" xfId="0" applyFont="1" applyFill="1" applyBorder="1"/>
    <xf numFmtId="0" fontId="2" fillId="30" borderId="79" xfId="0" applyFont="1" applyFill="1" applyBorder="1"/>
    <xf numFmtId="167" fontId="8" fillId="30" borderId="79" xfId="0" applyNumberFormat="1" applyFont="1" applyFill="1" applyBorder="1"/>
    <xf numFmtId="167" fontId="2" fillId="30" borderId="79" xfId="0" applyNumberFormat="1" applyFont="1" applyFill="1" applyBorder="1"/>
    <xf numFmtId="171" fontId="2" fillId="30" borderId="79" xfId="0" applyNumberFormat="1" applyFont="1" applyFill="1" applyBorder="1"/>
    <xf numFmtId="171" fontId="2" fillId="30" borderId="88" xfId="0" applyNumberFormat="1" applyFont="1" applyFill="1" applyBorder="1"/>
    <xf numFmtId="0" fontId="2" fillId="0" borderId="70" xfId="0" applyFont="1" applyBorder="1"/>
    <xf numFmtId="167" fontId="8" fillId="0" borderId="31" xfId="0" applyNumberFormat="1" applyFont="1" applyBorder="1"/>
    <xf numFmtId="167" fontId="2" fillId="0" borderId="31" xfId="0" applyNumberFormat="1" applyFont="1" applyBorder="1"/>
    <xf numFmtId="0" fontId="8" fillId="14" borderId="181" xfId="0" applyFont="1" applyFill="1" applyBorder="1"/>
    <xf numFmtId="0" fontId="8" fillId="14" borderId="95" xfId="0" applyFont="1" applyFill="1" applyBorder="1"/>
    <xf numFmtId="167" fontId="8" fillId="14" borderId="95" xfId="0" applyNumberFormat="1" applyFont="1" applyFill="1" applyBorder="1"/>
    <xf numFmtId="171" fontId="8" fillId="14" borderId="79" xfId="0" applyNumberFormat="1" applyFont="1" applyFill="1" applyBorder="1"/>
    <xf numFmtId="182" fontId="8" fillId="14" borderId="79" xfId="0" applyNumberFormat="1" applyFont="1" applyFill="1" applyBorder="1"/>
    <xf numFmtId="182" fontId="8" fillId="14" borderId="88" xfId="0" applyNumberFormat="1" applyFont="1" applyFill="1" applyBorder="1"/>
    <xf numFmtId="0" fontId="2" fillId="0" borderId="182" xfId="0" applyFont="1" applyBorder="1"/>
    <xf numFmtId="0" fontId="2" fillId="0" borderId="183" xfId="0" applyFont="1" applyBorder="1"/>
    <xf numFmtId="0" fontId="2" fillId="0" borderId="184" xfId="0" applyFont="1" applyBorder="1"/>
    <xf numFmtId="0" fontId="28" fillId="0" borderId="0" xfId="0" applyFont="1"/>
    <xf numFmtId="0" fontId="8" fillId="0" borderId="147" xfId="0" applyFont="1" applyBorder="1"/>
    <xf numFmtId="0" fontId="8" fillId="0" borderId="32" xfId="0" applyFont="1" applyBorder="1"/>
    <xf numFmtId="0" fontId="8" fillId="0" borderId="153" xfId="0" applyFont="1" applyBorder="1"/>
    <xf numFmtId="0" fontId="8" fillId="0" borderId="185" xfId="0" applyFont="1" applyBorder="1"/>
    <xf numFmtId="0" fontId="2" fillId="0" borderId="186" xfId="0" applyFont="1" applyBorder="1"/>
    <xf numFmtId="167" fontId="2" fillId="0" borderId="41" xfId="0" applyNumberFormat="1" applyFont="1" applyBorder="1"/>
    <xf numFmtId="2" fontId="2" fillId="0" borderId="41" xfId="0" applyNumberFormat="1" applyFont="1" applyBorder="1"/>
    <xf numFmtId="2" fontId="2" fillId="0" borderId="187" xfId="0" applyNumberFormat="1" applyFont="1" applyBorder="1"/>
    <xf numFmtId="2" fontId="2" fillId="0" borderId="40" xfId="0" applyNumberFormat="1" applyFont="1" applyBorder="1"/>
    <xf numFmtId="2" fontId="2" fillId="0" borderId="47" xfId="0" applyNumberFormat="1" applyFont="1" applyBorder="1"/>
    <xf numFmtId="2" fontId="8" fillId="0" borderId="110" xfId="0" applyNumberFormat="1" applyFont="1" applyBorder="1"/>
    <xf numFmtId="2" fontId="8" fillId="0" borderId="188" xfId="0" applyNumberFormat="1" applyFont="1" applyBorder="1"/>
    <xf numFmtId="0" fontId="2" fillId="14" borderId="80" xfId="0" applyFont="1" applyFill="1" applyBorder="1"/>
    <xf numFmtId="2" fontId="8" fillId="14" borderId="80" xfId="0" applyNumberFormat="1" applyFont="1" applyFill="1" applyBorder="1"/>
    <xf numFmtId="2" fontId="8" fillId="14" borderId="81" xfId="0" applyNumberFormat="1" applyFont="1" applyFill="1" applyBorder="1"/>
    <xf numFmtId="0" fontId="27" fillId="0" borderId="117" xfId="0" applyFont="1" applyBorder="1"/>
    <xf numFmtId="0" fontId="10" fillId="0" borderId="118" xfId="0" applyFont="1" applyBorder="1" applyAlignment="1">
      <alignment horizontal="center"/>
    </xf>
    <xf numFmtId="0" fontId="8" fillId="0" borderId="118" xfId="0" applyFont="1" applyBorder="1" applyAlignment="1">
      <alignment horizontal="center"/>
    </xf>
    <xf numFmtId="0" fontId="8" fillId="0" borderId="120" xfId="0" applyFont="1" applyBorder="1" applyAlignment="1">
      <alignment horizontal="center"/>
    </xf>
    <xf numFmtId="0" fontId="10" fillId="0" borderId="186" xfId="0" applyFont="1" applyBorder="1"/>
    <xf numFmtId="0" fontId="10" fillId="0" borderId="41" xfId="0" applyFont="1" applyBorder="1" applyAlignment="1">
      <alignment horizontal="center"/>
    </xf>
    <xf numFmtId="0" fontId="8" fillId="0" borderId="41" xfId="0" applyFont="1" applyBorder="1" applyAlignment="1">
      <alignment horizontal="center"/>
    </xf>
    <xf numFmtId="0" fontId="8" fillId="0" borderId="187" xfId="0" applyFont="1" applyBorder="1" applyAlignment="1">
      <alignment horizontal="center"/>
    </xf>
    <xf numFmtId="0" fontId="27" fillId="0" borderId="46" xfId="0" applyFont="1" applyBorder="1"/>
    <xf numFmtId="167" fontId="27" fillId="0" borderId="40" xfId="0" applyNumberFormat="1" applyFont="1" applyBorder="1"/>
    <xf numFmtId="171" fontId="27" fillId="0" borderId="40" xfId="0" applyNumberFormat="1" applyFont="1" applyBorder="1"/>
    <xf numFmtId="168" fontId="2" fillId="0" borderId="47" xfId="0" applyNumberFormat="1" applyFont="1" applyBorder="1"/>
    <xf numFmtId="0" fontId="27" fillId="29" borderId="48" xfId="0" applyFont="1" applyFill="1" applyBorder="1"/>
    <xf numFmtId="0" fontId="27" fillId="29" borderId="189" xfId="0" applyFont="1" applyFill="1" applyBorder="1"/>
    <xf numFmtId="171" fontId="10" fillId="29" borderId="189" xfId="0" applyNumberFormat="1" applyFont="1" applyFill="1" applyBorder="1"/>
    <xf numFmtId="0" fontId="8" fillId="14" borderId="189" xfId="0" applyFont="1" applyFill="1" applyBorder="1" applyAlignment="1">
      <alignment horizontal="center"/>
    </xf>
    <xf numFmtId="168" fontId="10" fillId="14" borderId="49" xfId="0" applyNumberFormat="1" applyFont="1" applyFill="1" applyBorder="1"/>
    <xf numFmtId="0" fontId="2" fillId="0" borderId="190" xfId="0" applyFont="1" applyBorder="1"/>
    <xf numFmtId="0" fontId="10" fillId="0" borderId="115" xfId="0" applyFont="1" applyBorder="1" applyAlignment="1">
      <alignment horizontal="center"/>
    </xf>
    <xf numFmtId="0" fontId="8" fillId="0" borderId="115" xfId="0" applyFont="1" applyBorder="1" applyAlignment="1">
      <alignment horizontal="center"/>
    </xf>
    <xf numFmtId="0" fontId="8" fillId="0" borderId="191" xfId="0" applyFont="1" applyBorder="1" applyAlignment="1">
      <alignment horizontal="center"/>
    </xf>
    <xf numFmtId="0" fontId="8" fillId="0" borderId="192" xfId="0" applyFont="1" applyBorder="1"/>
    <xf numFmtId="0" fontId="10" fillId="0" borderId="6" xfId="0" applyFont="1" applyBorder="1" applyAlignment="1">
      <alignment horizontal="center"/>
    </xf>
    <xf numFmtId="0" fontId="8" fillId="0" borderId="6" xfId="0" applyFont="1" applyBorder="1" applyAlignment="1">
      <alignment horizontal="center"/>
    </xf>
    <xf numFmtId="0" fontId="8" fillId="0" borderId="193" xfId="0" applyFont="1" applyBorder="1" applyAlignment="1">
      <alignment horizontal="center"/>
    </xf>
    <xf numFmtId="178" fontId="27" fillId="0" borderId="40" xfId="0" applyNumberFormat="1" applyFont="1" applyBorder="1"/>
    <xf numFmtId="171" fontId="2" fillId="0" borderId="47" xfId="0" applyNumberFormat="1" applyFont="1" applyBorder="1"/>
    <xf numFmtId="0" fontId="2" fillId="29" borderId="48" xfId="0" applyFont="1" applyFill="1" applyBorder="1"/>
    <xf numFmtId="184" fontId="10" fillId="14" borderId="49" xfId="0" applyNumberFormat="1" applyFont="1" applyFill="1" applyBorder="1"/>
    <xf numFmtId="168" fontId="10" fillId="0" borderId="0" xfId="0" applyNumberFormat="1" applyFont="1"/>
    <xf numFmtId="0" fontId="2" fillId="0" borderId="141" xfId="0" applyFont="1" applyBorder="1"/>
    <xf numFmtId="0" fontId="2" fillId="0" borderId="142" xfId="0" applyFont="1" applyBorder="1"/>
    <xf numFmtId="0" fontId="8" fillId="0" borderId="194" xfId="0" applyFont="1" applyBorder="1" applyAlignment="1">
      <alignment horizontal="center"/>
    </xf>
    <xf numFmtId="0" fontId="8" fillId="0" borderId="142" xfId="0" applyFont="1" applyBorder="1" applyAlignment="1">
      <alignment horizontal="center"/>
    </xf>
    <xf numFmtId="0" fontId="8" fillId="0" borderId="144" xfId="0" applyFont="1" applyBorder="1" applyAlignment="1">
      <alignment horizontal="center"/>
    </xf>
    <xf numFmtId="0" fontId="10" fillId="0" borderId="21" xfId="0" applyFont="1" applyBorder="1" applyAlignment="1">
      <alignment horizontal="center"/>
    </xf>
    <xf numFmtId="0" fontId="8" fillId="0" borderId="37" xfId="0" applyFont="1" applyBorder="1" applyAlignment="1">
      <alignment horizontal="center"/>
    </xf>
    <xf numFmtId="0" fontId="8" fillId="0" borderId="21" xfId="0" applyFont="1" applyBorder="1" applyAlignment="1">
      <alignment horizontal="center"/>
    </xf>
    <xf numFmtId="0" fontId="8" fillId="0" borderId="146" xfId="0" applyFont="1" applyBorder="1" applyAlignment="1">
      <alignment horizontal="center"/>
    </xf>
    <xf numFmtId="0" fontId="8" fillId="0" borderId="168" xfId="0" applyFont="1" applyBorder="1"/>
    <xf numFmtId="0" fontId="10" fillId="0" borderId="32" xfId="0" applyFont="1" applyBorder="1" applyAlignment="1">
      <alignment horizontal="center"/>
    </xf>
    <xf numFmtId="167" fontId="27" fillId="0" borderId="59" xfId="0" applyNumberFormat="1" applyFont="1" applyBorder="1"/>
    <xf numFmtId="168" fontId="2" fillId="0" borderId="59" xfId="0" applyNumberFormat="1" applyFont="1" applyBorder="1" applyAlignment="1">
      <alignment horizontal="center"/>
    </xf>
    <xf numFmtId="182" fontId="2" fillId="0" borderId="195" xfId="0" applyNumberFormat="1" applyFont="1" applyBorder="1" applyAlignment="1">
      <alignment horizontal="right"/>
    </xf>
    <xf numFmtId="168" fontId="2" fillId="0" borderId="40" xfId="0" applyNumberFormat="1" applyFont="1" applyBorder="1" applyAlignment="1">
      <alignment horizontal="center"/>
    </xf>
    <xf numFmtId="182" fontId="2" fillId="0" borderId="47" xfId="0" applyNumberFormat="1" applyFont="1" applyBorder="1" applyAlignment="1">
      <alignment horizontal="right"/>
    </xf>
    <xf numFmtId="0" fontId="2" fillId="29" borderId="189" xfId="0" applyFont="1" applyFill="1" applyBorder="1"/>
    <xf numFmtId="168" fontId="8" fillId="29" borderId="189" xfId="0" applyNumberFormat="1" applyFont="1" applyFill="1" applyBorder="1" applyAlignment="1">
      <alignment horizontal="center"/>
    </xf>
    <xf numFmtId="168" fontId="8" fillId="29" borderId="49" xfId="0" applyNumberFormat="1" applyFont="1" applyFill="1" applyBorder="1"/>
    <xf numFmtId="0" fontId="8" fillId="14" borderId="103" xfId="0" applyFont="1" applyFill="1" applyBorder="1"/>
    <xf numFmtId="170" fontId="8" fillId="14" borderId="103" xfId="0" applyNumberFormat="1" applyFont="1" applyFill="1" applyBorder="1"/>
    <xf numFmtId="167" fontId="29" fillId="14" borderId="57" xfId="0" applyNumberFormat="1" applyFont="1" applyFill="1" applyBorder="1"/>
    <xf numFmtId="0" fontId="2" fillId="31" borderId="9" xfId="0" applyFont="1" applyFill="1" applyBorder="1"/>
    <xf numFmtId="3" fontId="8" fillId="8" borderId="13" xfId="0" applyNumberFormat="1" applyFont="1" applyFill="1" applyBorder="1"/>
    <xf numFmtId="3" fontId="29" fillId="31" borderId="13" xfId="0" applyNumberFormat="1" applyFont="1" applyFill="1" applyBorder="1"/>
    <xf numFmtId="167" fontId="30" fillId="0" borderId="13" xfId="0" applyNumberFormat="1" applyFont="1" applyBorder="1"/>
    <xf numFmtId="0" fontId="30" fillId="31" borderId="13" xfId="0" applyFont="1" applyFill="1" applyBorder="1"/>
    <xf numFmtId="3" fontId="30" fillId="31" borderId="55" xfId="0" applyNumberFormat="1" applyFont="1" applyFill="1" applyBorder="1"/>
    <xf numFmtId="39" fontId="29" fillId="0" borderId="55" xfId="0" applyNumberFormat="1" applyFont="1" applyBorder="1"/>
    <xf numFmtId="167" fontId="2" fillId="14" borderId="12" xfId="0" applyNumberFormat="1" applyFont="1" applyFill="1" applyBorder="1"/>
    <xf numFmtId="167" fontId="29" fillId="14" borderId="12" xfId="0" applyNumberFormat="1" applyFont="1" applyFill="1" applyBorder="1"/>
    <xf numFmtId="171" fontId="29" fillId="14" borderId="12" xfId="0" applyNumberFormat="1" applyFont="1" applyFill="1" applyBorder="1"/>
    <xf numFmtId="0" fontId="2" fillId="31" borderId="13" xfId="0" applyFont="1" applyFill="1" applyBorder="1"/>
    <xf numFmtId="182" fontId="29" fillId="8" borderId="13" xfId="0" applyNumberFormat="1" applyFont="1" applyFill="1" applyBorder="1"/>
    <xf numFmtId="167" fontId="29" fillId="31" borderId="13" xfId="0" applyNumberFormat="1" applyFont="1" applyFill="1" applyBorder="1"/>
    <xf numFmtId="167" fontId="28" fillId="0" borderId="13" xfId="0" applyNumberFormat="1" applyFont="1" applyBorder="1"/>
    <xf numFmtId="171" fontId="31" fillId="0" borderId="13" xfId="0" applyNumberFormat="1" applyFont="1" applyBorder="1"/>
    <xf numFmtId="167" fontId="29" fillId="31" borderId="55" xfId="0" applyNumberFormat="1" applyFont="1" applyFill="1" applyBorder="1"/>
    <xf numFmtId="167" fontId="28" fillId="0" borderId="55" xfId="0" applyNumberFormat="1" applyFont="1" applyBorder="1"/>
    <xf numFmtId="171" fontId="28" fillId="0" borderId="55" xfId="0" applyNumberFormat="1" applyFont="1" applyBorder="1"/>
    <xf numFmtId="0" fontId="2" fillId="14" borderId="12" xfId="0" applyFont="1" applyFill="1" applyBorder="1" applyAlignment="1">
      <alignment horizontal="center"/>
    </xf>
    <xf numFmtId="167" fontId="30" fillId="31" borderId="13" xfId="0" applyNumberFormat="1" applyFont="1" applyFill="1" applyBorder="1"/>
    <xf numFmtId="171" fontId="28" fillId="0" borderId="13" xfId="0" applyNumberFormat="1" applyFont="1" applyBorder="1"/>
    <xf numFmtId="167" fontId="2" fillId="31" borderId="13" xfId="0" applyNumberFormat="1" applyFont="1" applyFill="1" applyBorder="1"/>
    <xf numFmtId="167" fontId="30" fillId="31" borderId="55" xfId="0" applyNumberFormat="1" applyFont="1" applyFill="1" applyBorder="1"/>
    <xf numFmtId="167" fontId="30" fillId="0" borderId="55" xfId="0" applyNumberFormat="1" applyFont="1" applyBorder="1"/>
    <xf numFmtId="171" fontId="30" fillId="0" borderId="55" xfId="0" applyNumberFormat="1" applyFont="1" applyBorder="1"/>
    <xf numFmtId="167" fontId="8" fillId="31" borderId="13" xfId="0" applyNumberFormat="1" applyFont="1" applyFill="1" applyBorder="1"/>
    <xf numFmtId="167" fontId="2" fillId="31" borderId="55" xfId="0" applyNumberFormat="1" applyFont="1" applyFill="1" applyBorder="1"/>
    <xf numFmtId="0" fontId="2" fillId="0" borderId="76" xfId="0" applyFont="1" applyBorder="1"/>
    <xf numFmtId="0" fontId="2" fillId="8" borderId="54" xfId="0" applyFont="1" applyFill="1" applyBorder="1"/>
    <xf numFmtId="167" fontId="29" fillId="8" borderId="54" xfId="0" applyNumberFormat="1" applyFont="1" applyFill="1" applyBorder="1"/>
    <xf numFmtId="167" fontId="2" fillId="8" borderId="54" xfId="0" applyNumberFormat="1" applyFont="1" applyFill="1" applyBorder="1"/>
    <xf numFmtId="0" fontId="2" fillId="14" borderId="52" xfId="0" applyFont="1" applyFill="1" applyBorder="1"/>
    <xf numFmtId="0" fontId="2" fillId="14" borderId="196" xfId="0" applyFont="1" applyFill="1" applyBorder="1"/>
    <xf numFmtId="182" fontId="2" fillId="4" borderId="13" xfId="0" applyNumberFormat="1" applyFont="1" applyFill="1" applyBorder="1"/>
    <xf numFmtId="182" fontId="30" fillId="8" borderId="13" xfId="0" applyNumberFormat="1" applyFont="1" applyFill="1" applyBorder="1"/>
    <xf numFmtId="180" fontId="30" fillId="8" borderId="13" xfId="0" applyNumberFormat="1" applyFont="1" applyFill="1" applyBorder="1"/>
    <xf numFmtId="2" fontId="30" fillId="8" borderId="13" xfId="0" applyNumberFormat="1" applyFont="1" applyFill="1" applyBorder="1"/>
    <xf numFmtId="185" fontId="29" fillId="8" borderId="13" xfId="0" applyNumberFormat="1" applyFont="1" applyFill="1" applyBorder="1"/>
    <xf numFmtId="167" fontId="8" fillId="31" borderId="55" xfId="0" applyNumberFormat="1" applyFont="1" applyFill="1" applyBorder="1"/>
    <xf numFmtId="167" fontId="30" fillId="14" borderId="12" xfId="0" applyNumberFormat="1" applyFont="1" applyFill="1" applyBorder="1"/>
    <xf numFmtId="0" fontId="2" fillId="29" borderId="97" xfId="0" applyFont="1" applyFill="1" applyBorder="1"/>
    <xf numFmtId="0" fontId="2" fillId="29" borderId="52" xfId="0" applyFont="1" applyFill="1" applyBorder="1"/>
    <xf numFmtId="38" fontId="2" fillId="29" borderId="52" xfId="0" applyNumberFormat="1" applyFont="1" applyFill="1" applyBorder="1"/>
    <xf numFmtId="167" fontId="2" fillId="29" borderId="52" xfId="0" applyNumberFormat="1" applyFont="1" applyFill="1" applyBorder="1"/>
    <xf numFmtId="0" fontId="2" fillId="0" borderId="197" xfId="0" applyFont="1" applyBorder="1"/>
    <xf numFmtId="0" fontId="8" fillId="0" borderId="197" xfId="0" applyFont="1" applyBorder="1"/>
    <xf numFmtId="3" fontId="2" fillId="0" borderId="13" xfId="0" applyNumberFormat="1" applyFont="1" applyBorder="1"/>
    <xf numFmtId="168" fontId="2" fillId="0" borderId="13" xfId="0" applyNumberFormat="1" applyFont="1" applyBorder="1"/>
    <xf numFmtId="1" fontId="2" fillId="0" borderId="13" xfId="0" applyNumberFormat="1" applyFont="1" applyBorder="1"/>
    <xf numFmtId="3" fontId="8" fillId="0" borderId="13" xfId="0" applyNumberFormat="1" applyFont="1" applyBorder="1"/>
    <xf numFmtId="3" fontId="28" fillId="0" borderId="13" xfId="0" applyNumberFormat="1" applyFont="1" applyBorder="1"/>
    <xf numFmtId="0" fontId="28" fillId="0" borderId="13" xfId="0" applyFont="1" applyBorder="1"/>
    <xf numFmtId="0" fontId="2" fillId="29" borderId="13" xfId="0" applyFont="1" applyFill="1" applyBorder="1"/>
    <xf numFmtId="11" fontId="2" fillId="0" borderId="13" xfId="0" applyNumberFormat="1" applyFont="1" applyBorder="1"/>
    <xf numFmtId="178" fontId="2" fillId="0" borderId="13" xfId="0" applyNumberFormat="1" applyFont="1" applyBorder="1"/>
    <xf numFmtId="178" fontId="28" fillId="0" borderId="13" xfId="0" applyNumberFormat="1" applyFont="1" applyBorder="1"/>
    <xf numFmtId="168" fontId="28" fillId="0" borderId="13" xfId="0" applyNumberFormat="1" applyFont="1" applyBorder="1"/>
    <xf numFmtId="187" fontId="2" fillId="0" borderId="13" xfId="0" applyNumberFormat="1" applyFont="1" applyBorder="1"/>
    <xf numFmtId="169" fontId="2" fillId="0" borderId="13" xfId="0" applyNumberFormat="1" applyFont="1" applyBorder="1"/>
    <xf numFmtId="2" fontId="2" fillId="0" borderId="13" xfId="0" applyNumberFormat="1" applyFont="1" applyBorder="1"/>
    <xf numFmtId="0" fontId="2" fillId="14" borderId="198" xfId="0" applyFont="1" applyFill="1" applyBorder="1"/>
    <xf numFmtId="0" fontId="8" fillId="31" borderId="199" xfId="0" applyFont="1" applyFill="1" applyBorder="1"/>
    <xf numFmtId="0" fontId="2" fillId="31" borderId="174" xfId="0" applyFont="1" applyFill="1" applyBorder="1"/>
    <xf numFmtId="0" fontId="2" fillId="31" borderId="196" xfId="0" applyFont="1" applyFill="1" applyBorder="1"/>
    <xf numFmtId="0" fontId="8" fillId="0" borderId="59" xfId="0" applyFont="1" applyBorder="1"/>
    <xf numFmtId="0" fontId="8" fillId="0" borderId="200" xfId="0" applyFont="1" applyBorder="1"/>
    <xf numFmtId="0" fontId="8" fillId="0" borderId="11" xfId="0" applyFont="1" applyBorder="1"/>
    <xf numFmtId="0" fontId="8" fillId="0" borderId="60" xfId="0" applyFont="1" applyBorder="1"/>
    <xf numFmtId="0" fontId="2" fillId="0" borderId="50" xfId="0" applyFont="1" applyBorder="1"/>
    <xf numFmtId="0" fontId="2" fillId="0" borderId="2" xfId="0" applyFont="1" applyBorder="1"/>
    <xf numFmtId="0" fontId="2" fillId="0" borderId="43" xfId="0" applyFont="1" applyBorder="1" applyAlignment="1">
      <alignment horizontal="left"/>
    </xf>
    <xf numFmtId="3" fontId="2" fillId="0" borderId="40" xfId="0" applyNumberFormat="1" applyFont="1" applyBorder="1" applyAlignment="1">
      <alignment horizontal="right"/>
    </xf>
    <xf numFmtId="3" fontId="2" fillId="0" borderId="40" xfId="0" applyNumberFormat="1" applyFont="1" applyBorder="1"/>
    <xf numFmtId="3" fontId="2" fillId="0" borderId="50" xfId="0" applyNumberFormat="1" applyFont="1" applyBorder="1"/>
    <xf numFmtId="3" fontId="2" fillId="0" borderId="2" xfId="0" applyNumberFormat="1" applyFont="1" applyBorder="1" applyAlignment="1">
      <alignment horizontal="right"/>
    </xf>
    <xf numFmtId="3" fontId="2" fillId="0" borderId="2" xfId="0" applyNumberFormat="1" applyFont="1" applyBorder="1"/>
    <xf numFmtId="0" fontId="2" fillId="0" borderId="61" xfId="0" applyFont="1" applyBorder="1" applyAlignment="1">
      <alignment horizontal="left"/>
    </xf>
    <xf numFmtId="3" fontId="2" fillId="0" borderId="62" xfId="0" applyNumberFormat="1" applyFont="1" applyBorder="1" applyAlignment="1">
      <alignment horizontal="right"/>
    </xf>
    <xf numFmtId="3" fontId="2" fillId="0" borderId="62" xfId="0" applyNumberFormat="1" applyFont="1" applyBorder="1"/>
    <xf numFmtId="3" fontId="2" fillId="0" borderId="201" xfId="0" applyNumberFormat="1" applyFont="1" applyBorder="1"/>
    <xf numFmtId="3" fontId="2" fillId="0" borderId="202" xfId="0" applyNumberFormat="1" applyFont="1" applyBorder="1" applyAlignment="1">
      <alignment horizontal="right"/>
    </xf>
    <xf numFmtId="3" fontId="2" fillId="0" borderId="202" xfId="0" applyNumberFormat="1" applyFont="1" applyBorder="1"/>
    <xf numFmtId="167" fontId="2" fillId="0" borderId="63" xfId="0" applyNumberFormat="1" applyFont="1" applyBorder="1"/>
    <xf numFmtId="0" fontId="31" fillId="0" borderId="0" xfId="0" applyFont="1"/>
    <xf numFmtId="0" fontId="8" fillId="31" borderId="196" xfId="0" applyFont="1" applyFill="1" applyBorder="1"/>
    <xf numFmtId="3" fontId="2" fillId="0" borderId="42" xfId="0" applyNumberFormat="1" applyFont="1" applyBorder="1"/>
    <xf numFmtId="0" fontId="2" fillId="0" borderId="203" xfId="0" applyFont="1" applyBorder="1"/>
    <xf numFmtId="0" fontId="2" fillId="0" borderId="110" xfId="0" applyFont="1" applyBorder="1"/>
    <xf numFmtId="3" fontId="2" fillId="0" borderId="110" xfId="0" applyNumberFormat="1" applyFont="1" applyBorder="1"/>
    <xf numFmtId="3" fontId="2" fillId="0" borderId="111" xfId="0" applyNumberFormat="1" applyFont="1" applyBorder="1"/>
    <xf numFmtId="0" fontId="2" fillId="14" borderId="204" xfId="0" applyFont="1" applyFill="1" applyBorder="1"/>
    <xf numFmtId="3" fontId="2" fillId="14" borderId="80" xfId="0" applyNumberFormat="1" applyFont="1" applyFill="1" applyBorder="1"/>
    <xf numFmtId="167" fontId="2" fillId="14" borderId="80" xfId="0" applyNumberFormat="1" applyFont="1" applyFill="1" applyBorder="1"/>
    <xf numFmtId="3" fontId="2" fillId="14" borderId="113" xfId="0" applyNumberFormat="1" applyFont="1" applyFill="1" applyBorder="1"/>
    <xf numFmtId="3" fontId="2" fillId="14" borderId="62" xfId="0" applyNumberFormat="1" applyFont="1" applyFill="1" applyBorder="1"/>
    <xf numFmtId="3" fontId="2" fillId="14" borderId="40" xfId="0" applyNumberFormat="1" applyFont="1" applyFill="1" applyBorder="1"/>
    <xf numFmtId="3" fontId="2" fillId="14" borderId="63" xfId="0" applyNumberFormat="1" applyFont="1" applyFill="1" applyBorder="1"/>
    <xf numFmtId="3" fontId="2" fillId="0" borderId="0" xfId="0" applyNumberFormat="1" applyFont="1"/>
    <xf numFmtId="0" fontId="30" fillId="0" borderId="0" xfId="0" applyFont="1"/>
    <xf numFmtId="0" fontId="2" fillId="0" borderId="10" xfId="0" applyFont="1" applyBorder="1"/>
    <xf numFmtId="0" fontId="8" fillId="0" borderId="53" xfId="0" applyFont="1" applyBorder="1"/>
    <xf numFmtId="0" fontId="8" fillId="18" borderId="61" xfId="0" applyFont="1" applyFill="1" applyBorder="1"/>
    <xf numFmtId="167" fontId="2" fillId="18" borderId="205" xfId="0" applyNumberFormat="1" applyFont="1" applyFill="1" applyBorder="1"/>
    <xf numFmtId="0" fontId="8" fillId="31" borderId="174" xfId="0" applyFont="1" applyFill="1" applyBorder="1"/>
    <xf numFmtId="0" fontId="8" fillId="8" borderId="61" xfId="0" applyFont="1" applyFill="1" applyBorder="1" applyAlignment="1">
      <alignment wrapText="1"/>
    </xf>
    <xf numFmtId="167" fontId="2" fillId="8" borderId="62" xfId="0" applyNumberFormat="1" applyFont="1" applyFill="1" applyBorder="1"/>
    <xf numFmtId="0" fontId="25" fillId="31" borderId="196" xfId="0" applyFont="1" applyFill="1" applyBorder="1"/>
    <xf numFmtId="0" fontId="24" fillId="0" borderId="0" xfId="0" applyFont="1"/>
    <xf numFmtId="167" fontId="2" fillId="0" borderId="43" xfId="0" applyNumberFormat="1" applyFont="1" applyBorder="1"/>
    <xf numFmtId="167" fontId="2" fillId="0" borderId="110" xfId="0" applyNumberFormat="1" applyFont="1" applyBorder="1"/>
    <xf numFmtId="0" fontId="8" fillId="32" borderId="204" xfId="0" applyFont="1" applyFill="1" applyBorder="1" applyAlignment="1">
      <alignment wrapText="1"/>
    </xf>
    <xf numFmtId="167" fontId="2" fillId="32" borderId="80" xfId="0" applyNumberFormat="1" applyFont="1" applyFill="1" applyBorder="1"/>
    <xf numFmtId="167" fontId="2" fillId="32" borderId="206" xfId="0" applyNumberFormat="1" applyFont="1" applyFill="1" applyBorder="1"/>
    <xf numFmtId="3" fontId="2" fillId="32" borderId="80" xfId="0" applyNumberFormat="1" applyFont="1" applyFill="1" applyBorder="1"/>
    <xf numFmtId="3" fontId="2" fillId="32" borderId="113" xfId="0" applyNumberFormat="1" applyFont="1" applyFill="1" applyBorder="1"/>
    <xf numFmtId="167" fontId="2" fillId="32" borderId="62" xfId="0" applyNumberFormat="1" applyFont="1" applyFill="1" applyBorder="1"/>
    <xf numFmtId="167" fontId="2" fillId="32" borderId="63" xfId="0" applyNumberFormat="1" applyFont="1" applyFill="1" applyBorder="1"/>
    <xf numFmtId="0" fontId="8" fillId="9" borderId="204" xfId="0" applyFont="1" applyFill="1" applyBorder="1" applyAlignment="1">
      <alignment wrapText="1"/>
    </xf>
    <xf numFmtId="171" fontId="2" fillId="9" borderId="80" xfId="0" applyNumberFormat="1" applyFont="1" applyFill="1" applyBorder="1"/>
    <xf numFmtId="167" fontId="2" fillId="9" borderId="80" xfId="0" applyNumberFormat="1" applyFont="1" applyFill="1" applyBorder="1"/>
    <xf numFmtId="0" fontId="8" fillId="0" borderId="207" xfId="0" applyFont="1" applyBorder="1"/>
    <xf numFmtId="0" fontId="8" fillId="33" borderId="61" xfId="0" applyFont="1" applyFill="1" applyBorder="1" applyAlignment="1">
      <alignment wrapText="1"/>
    </xf>
    <xf numFmtId="167" fontId="2" fillId="0" borderId="205" xfId="0" applyNumberFormat="1" applyFont="1" applyBorder="1"/>
    <xf numFmtId="167" fontId="2" fillId="0" borderId="208" xfId="0" applyNumberFormat="1" applyFont="1" applyBorder="1"/>
    <xf numFmtId="0" fontId="8" fillId="29" borderId="52" xfId="0" applyFont="1" applyFill="1" applyBorder="1"/>
    <xf numFmtId="3" fontId="2" fillId="0" borderId="0" xfId="0" applyNumberFormat="1" applyFont="1" applyAlignment="1">
      <alignment horizontal="center"/>
    </xf>
    <xf numFmtId="0" fontId="8" fillId="14" borderId="58" xfId="0" applyFont="1" applyFill="1" applyBorder="1"/>
    <xf numFmtId="0" fontId="8" fillId="14" borderId="59" xfId="0" applyFont="1" applyFill="1" applyBorder="1"/>
    <xf numFmtId="0" fontId="8" fillId="14" borderId="209" xfId="0" applyFont="1" applyFill="1" applyBorder="1"/>
    <xf numFmtId="0" fontId="8" fillId="14" borderId="131" xfId="0" applyFont="1" applyFill="1" applyBorder="1"/>
    <xf numFmtId="0" fontId="8" fillId="14" borderId="96" xfId="0" applyFont="1" applyFill="1" applyBorder="1"/>
    <xf numFmtId="0" fontId="8" fillId="16" borderId="43" xfId="0" applyFont="1" applyFill="1" applyBorder="1" applyAlignment="1">
      <alignment wrapText="1"/>
    </xf>
    <xf numFmtId="170" fontId="8" fillId="0" borderId="40" xfId="0" applyNumberFormat="1" applyFont="1" applyBorder="1" applyAlignment="1">
      <alignment horizontal="right"/>
    </xf>
    <xf numFmtId="170" fontId="8" fillId="0" borderId="50" xfId="0" applyNumberFormat="1" applyFont="1" applyBorder="1"/>
    <xf numFmtId="170" fontId="8" fillId="0" borderId="25" xfId="0" applyNumberFormat="1" applyFont="1" applyBorder="1"/>
    <xf numFmtId="0" fontId="2" fillId="0" borderId="27" xfId="0" applyFont="1" applyBorder="1"/>
    <xf numFmtId="2" fontId="8" fillId="0" borderId="40" xfId="0" applyNumberFormat="1" applyFont="1" applyBorder="1"/>
    <xf numFmtId="0" fontId="2" fillId="34" borderId="40" xfId="0" applyFont="1" applyFill="1" applyBorder="1"/>
    <xf numFmtId="171" fontId="8" fillId="0" borderId="40" xfId="0" applyNumberFormat="1" applyFont="1" applyBorder="1"/>
    <xf numFmtId="2" fontId="8" fillId="0" borderId="50" xfId="0" applyNumberFormat="1" applyFont="1" applyBorder="1"/>
    <xf numFmtId="0" fontId="2" fillId="34" borderId="127" xfId="0" applyFont="1" applyFill="1" applyBorder="1"/>
    <xf numFmtId="167" fontId="2" fillId="0" borderId="50" xfId="0" applyNumberFormat="1" applyFont="1" applyBorder="1"/>
    <xf numFmtId="167" fontId="8" fillId="0" borderId="25" xfId="0" applyNumberFormat="1" applyFont="1" applyBorder="1"/>
    <xf numFmtId="171" fontId="2" fillId="0" borderId="110" xfId="0" applyNumberFormat="1" applyFont="1" applyBorder="1"/>
    <xf numFmtId="0" fontId="2" fillId="34" borderId="210" xfId="0" applyFont="1" applyFill="1" applyBorder="1"/>
    <xf numFmtId="171" fontId="2" fillId="0" borderId="111" xfId="0" applyNumberFormat="1" applyFont="1" applyBorder="1"/>
    <xf numFmtId="188" fontId="2" fillId="0" borderId="93" xfId="0" applyNumberFormat="1" applyFont="1" applyBorder="1"/>
    <xf numFmtId="0" fontId="8" fillId="9" borderId="61" xfId="0" applyFont="1" applyFill="1" applyBorder="1" applyAlignment="1">
      <alignment wrapText="1"/>
    </xf>
    <xf numFmtId="171" fontId="2" fillId="9" borderId="62" xfId="0" applyNumberFormat="1" applyFont="1" applyFill="1" applyBorder="1"/>
    <xf numFmtId="189" fontId="2" fillId="9" borderId="62" xfId="0" applyNumberFormat="1" applyFont="1" applyFill="1" applyBorder="1"/>
    <xf numFmtId="171" fontId="2" fillId="9" borderId="211" xfId="0" applyNumberFormat="1" applyFont="1" applyFill="1" applyBorder="1"/>
    <xf numFmtId="188" fontId="2" fillId="0" borderId="0" xfId="0" applyNumberFormat="1" applyFont="1"/>
    <xf numFmtId="0" fontId="8" fillId="34" borderId="40" xfId="0" applyFont="1" applyFill="1" applyBorder="1"/>
    <xf numFmtId="0" fontId="8" fillId="34" borderId="40" xfId="0" applyFont="1" applyFill="1" applyBorder="1" applyAlignment="1">
      <alignment horizontal="center"/>
    </xf>
    <xf numFmtId="167" fontId="8" fillId="34" borderId="40" xfId="0" applyNumberFormat="1" applyFont="1" applyFill="1" applyBorder="1" applyAlignment="1">
      <alignment horizontal="center"/>
    </xf>
    <xf numFmtId="171" fontId="2" fillId="0" borderId="212" xfId="0" applyNumberFormat="1" applyFont="1" applyBorder="1"/>
    <xf numFmtId="4" fontId="2" fillId="0" borderId="0" xfId="0" applyNumberFormat="1" applyFont="1"/>
    <xf numFmtId="167" fontId="29" fillId="0" borderId="40" xfId="0" applyNumberFormat="1" applyFont="1" applyBorder="1"/>
    <xf numFmtId="0" fontId="29" fillId="0" borderId="40" xfId="0" applyFont="1" applyBorder="1"/>
    <xf numFmtId="0" fontId="8" fillId="34" borderId="213" xfId="0" applyFont="1" applyFill="1" applyBorder="1"/>
    <xf numFmtId="0" fontId="8" fillId="34" borderId="52" xfId="0" applyFont="1" applyFill="1" applyBorder="1"/>
    <xf numFmtId="0" fontId="2" fillId="34" borderId="52" xfId="0" applyFont="1" applyFill="1" applyBorder="1"/>
    <xf numFmtId="0" fontId="2" fillId="0" borderId="214" xfId="0" applyFont="1" applyBorder="1"/>
    <xf numFmtId="0" fontId="2" fillId="0" borderId="107" xfId="0" applyFont="1" applyBorder="1" applyAlignment="1">
      <alignment horizontal="center"/>
    </xf>
    <xf numFmtId="191" fontId="8" fillId="0" borderId="9" xfId="0" applyNumberFormat="1" applyFont="1" applyBorder="1" applyAlignment="1">
      <alignment horizontal="center" wrapText="1"/>
    </xf>
    <xf numFmtId="191" fontId="8" fillId="0" borderId="71" xfId="0" applyNumberFormat="1" applyFont="1" applyBorder="1" applyAlignment="1">
      <alignment horizontal="center"/>
    </xf>
    <xf numFmtId="191" fontId="8" fillId="0" borderId="79" xfId="0" applyNumberFormat="1" applyFont="1" applyBorder="1" applyAlignment="1">
      <alignment horizontal="center" wrapText="1"/>
    </xf>
    <xf numFmtId="191" fontId="8" fillId="0" borderId="0" xfId="0" applyNumberFormat="1" applyFont="1"/>
    <xf numFmtId="0" fontId="2" fillId="0" borderId="36" xfId="0" applyFont="1" applyBorder="1" applyAlignment="1">
      <alignment horizontal="center"/>
    </xf>
    <xf numFmtId="192" fontId="2" fillId="0" borderId="21" xfId="0" applyNumberFormat="1" applyFont="1" applyBorder="1"/>
    <xf numFmtId="10" fontId="2" fillId="0" borderId="71" xfId="0" applyNumberFormat="1" applyFont="1" applyBorder="1"/>
    <xf numFmtId="0" fontId="2" fillId="0" borderId="37" xfId="0" applyFont="1" applyBorder="1" applyAlignment="1">
      <alignment horizontal="center"/>
    </xf>
    <xf numFmtId="0" fontId="2" fillId="0" borderId="16" xfId="0" applyFont="1" applyBorder="1" applyAlignment="1">
      <alignment horizontal="center"/>
    </xf>
    <xf numFmtId="192" fontId="2" fillId="0" borderId="16" xfId="0" applyNumberFormat="1" applyFont="1" applyBorder="1"/>
    <xf numFmtId="10" fontId="2" fillId="0" borderId="16" xfId="0" applyNumberFormat="1" applyFont="1" applyBorder="1"/>
    <xf numFmtId="0" fontId="29" fillId="0" borderId="32" xfId="0" applyFont="1" applyBorder="1"/>
    <xf numFmtId="0" fontId="29" fillId="0" borderId="32" xfId="0" applyFont="1" applyBorder="1" applyAlignment="1">
      <alignment horizontal="center"/>
    </xf>
    <xf numFmtId="192" fontId="2" fillId="0" borderId="32" xfId="0" applyNumberFormat="1" applyFont="1" applyBorder="1"/>
    <xf numFmtId="0" fontId="29" fillId="0" borderId="79" xfId="0" applyFont="1" applyBorder="1"/>
    <xf numFmtId="0" fontId="2" fillId="0" borderId="108" xfId="0" applyFont="1" applyBorder="1" applyAlignment="1">
      <alignment horizontal="center"/>
    </xf>
    <xf numFmtId="192" fontId="2" fillId="0" borderId="79" xfId="0" applyNumberFormat="1" applyFont="1" applyBorder="1"/>
    <xf numFmtId="10" fontId="2" fillId="0" borderId="79" xfId="0" applyNumberFormat="1" applyFont="1" applyBorder="1"/>
    <xf numFmtId="192" fontId="2" fillId="0" borderId="71" xfId="0" applyNumberFormat="1" applyFont="1" applyBorder="1"/>
    <xf numFmtId="167" fontId="27" fillId="0" borderId="21" xfId="0" applyNumberFormat="1" applyFont="1" applyBorder="1"/>
    <xf numFmtId="0" fontId="29" fillId="0" borderId="21" xfId="0" applyFont="1" applyBorder="1"/>
    <xf numFmtId="167" fontId="2" fillId="0" borderId="21" xfId="0" applyNumberFormat="1" applyFont="1" applyBorder="1" applyAlignment="1">
      <alignment horizontal="right"/>
    </xf>
    <xf numFmtId="167" fontId="29" fillId="0" borderId="79" xfId="0" applyNumberFormat="1" applyFont="1" applyBorder="1"/>
    <xf numFmtId="167" fontId="2" fillId="14" borderId="79" xfId="0" applyNumberFormat="1" applyFont="1" applyFill="1" applyBorder="1"/>
    <xf numFmtId="167" fontId="2" fillId="0" borderId="71" xfId="0" applyNumberFormat="1" applyFont="1" applyBorder="1" applyAlignment="1">
      <alignment horizontal="right"/>
    </xf>
    <xf numFmtId="167" fontId="2" fillId="0" borderId="0" xfId="0" applyNumberFormat="1" applyFont="1" applyAlignment="1">
      <alignment horizontal="right"/>
    </xf>
    <xf numFmtId="190" fontId="2" fillId="0" borderId="76" xfId="0" applyNumberFormat="1" applyFont="1" applyBorder="1" applyAlignment="1">
      <alignment horizontal="left"/>
    </xf>
    <xf numFmtId="167" fontId="2" fillId="0" borderId="76" xfId="0" applyNumberFormat="1" applyFont="1" applyBorder="1"/>
    <xf numFmtId="167" fontId="2" fillId="8" borderId="57" xfId="0" applyNumberFormat="1" applyFont="1" applyFill="1" applyBorder="1"/>
    <xf numFmtId="167" fontId="2" fillId="0" borderId="35" xfId="0" applyNumberFormat="1" applyFont="1" applyBorder="1"/>
    <xf numFmtId="0" fontId="2" fillId="0" borderId="0" xfId="0" applyFont="1" applyAlignment="1">
      <alignment horizontal="left"/>
    </xf>
    <xf numFmtId="0" fontId="2" fillId="0" borderId="224" xfId="0" applyFont="1" applyBorder="1"/>
    <xf numFmtId="0" fontId="2" fillId="0" borderId="225" xfId="0" applyFont="1" applyBorder="1"/>
    <xf numFmtId="0" fontId="2" fillId="0" borderId="226" xfId="0" applyFont="1" applyBorder="1"/>
    <xf numFmtId="0" fontId="27" fillId="18" borderId="227" xfId="0" applyFont="1" applyFill="1" applyBorder="1"/>
    <xf numFmtId="0" fontId="27" fillId="18" borderId="52" xfId="0" applyFont="1" applyFill="1" applyBorder="1"/>
    <xf numFmtId="0" fontId="2" fillId="0" borderId="228" xfId="0" applyFont="1" applyBorder="1"/>
    <xf numFmtId="0" fontId="27" fillId="0" borderId="229" xfId="0" applyFont="1" applyBorder="1"/>
    <xf numFmtId="0" fontId="27" fillId="34" borderId="230" xfId="0" applyFont="1" applyFill="1" applyBorder="1"/>
    <xf numFmtId="0" fontId="27" fillId="34" borderId="231" xfId="0" applyFont="1" applyFill="1" applyBorder="1"/>
    <xf numFmtId="0" fontId="10" fillId="34" borderId="231" xfId="0" applyFont="1" applyFill="1" applyBorder="1" applyAlignment="1">
      <alignment horizontal="center"/>
    </xf>
    <xf numFmtId="0" fontId="27" fillId="34" borderId="232" xfId="0" applyFont="1" applyFill="1" applyBorder="1"/>
    <xf numFmtId="0" fontId="2" fillId="34" borderId="231" xfId="0" applyFont="1" applyFill="1" applyBorder="1"/>
    <xf numFmtId="0" fontId="2" fillId="34" borderId="232" xfId="0" applyFont="1" applyFill="1" applyBorder="1"/>
    <xf numFmtId="0" fontId="2" fillId="34" borderId="230" xfId="0" applyFont="1" applyFill="1" applyBorder="1"/>
    <xf numFmtId="0" fontId="10" fillId="34" borderId="231" xfId="0" applyFont="1" applyFill="1" applyBorder="1" applyAlignment="1">
      <alignment horizontal="left"/>
    </xf>
    <xf numFmtId="0" fontId="8" fillId="0" borderId="233" xfId="0" applyFont="1" applyBorder="1" applyAlignment="1">
      <alignment horizontal="center"/>
    </xf>
    <xf numFmtId="0" fontId="10" fillId="0" borderId="0" xfId="0" applyFont="1" applyAlignment="1">
      <alignment horizontal="center"/>
    </xf>
    <xf numFmtId="0" fontId="8" fillId="0" borderId="234" xfId="0" applyFont="1" applyBorder="1" applyAlignment="1">
      <alignment horizontal="center"/>
    </xf>
    <xf numFmtId="0" fontId="8" fillId="0" borderId="235" xfId="0" applyFont="1" applyBorder="1" applyAlignment="1">
      <alignment horizontal="center"/>
    </xf>
    <xf numFmtId="0" fontId="27" fillId="0" borderId="234" xfId="0" applyFont="1" applyBorder="1"/>
    <xf numFmtId="0" fontId="2" fillId="0" borderId="235" xfId="0" applyFont="1" applyBorder="1"/>
    <xf numFmtId="0" fontId="2" fillId="0" borderId="234" xfId="0" applyFont="1" applyBorder="1"/>
    <xf numFmtId="0" fontId="8" fillId="0" borderId="236" xfId="0" applyFont="1" applyBorder="1" applyAlignment="1">
      <alignment horizontal="center"/>
    </xf>
    <xf numFmtId="0" fontId="10" fillId="0" borderId="229" xfId="0" applyFont="1" applyBorder="1"/>
    <xf numFmtId="0" fontId="10" fillId="0" borderId="234" xfId="0" applyFont="1" applyBorder="1" applyAlignment="1">
      <alignment horizontal="center"/>
    </xf>
    <xf numFmtId="0" fontId="8" fillId="0" borderId="234" xfId="0" applyFont="1" applyBorder="1" applyAlignment="1">
      <alignment horizontal="center" wrapText="1"/>
    </xf>
    <xf numFmtId="0" fontId="8" fillId="0" borderId="35" xfId="0" applyFont="1" applyBorder="1" applyAlignment="1">
      <alignment horizontal="center" wrapText="1"/>
    </xf>
    <xf numFmtId="0" fontId="8" fillId="0" borderId="237" xfId="0" applyFont="1" applyBorder="1" applyAlignment="1">
      <alignment horizontal="center" wrapText="1"/>
    </xf>
    <xf numFmtId="0" fontId="8" fillId="14" borderId="238" xfId="0" applyFont="1" applyFill="1" applyBorder="1" applyAlignment="1">
      <alignment horizontal="center" wrapText="1"/>
    </xf>
    <xf numFmtId="167" fontId="27" fillId="18" borderId="40" xfId="0" applyNumberFormat="1" applyFont="1" applyFill="1" applyBorder="1"/>
    <xf numFmtId="0" fontId="27" fillId="0" borderId="0" xfId="0" applyFont="1" applyAlignment="1">
      <alignment horizontal="center"/>
    </xf>
    <xf numFmtId="2" fontId="27" fillId="0" borderId="40" xfId="0" applyNumberFormat="1" applyFont="1" applyBorder="1"/>
    <xf numFmtId="193" fontId="27" fillId="0" borderId="40" xfId="0" applyNumberFormat="1" applyFont="1" applyBorder="1"/>
    <xf numFmtId="167" fontId="27" fillId="0" borderId="239" xfId="0" applyNumberFormat="1" applyFont="1" applyBorder="1"/>
    <xf numFmtId="169" fontId="2" fillId="0" borderId="40" xfId="0" applyNumberFormat="1" applyFont="1" applyBorder="1"/>
    <xf numFmtId="169" fontId="2" fillId="0" borderId="240" xfId="0" applyNumberFormat="1" applyFont="1" applyBorder="1"/>
    <xf numFmtId="171" fontId="2" fillId="4" borderId="239" xfId="0" applyNumberFormat="1" applyFont="1" applyFill="1" applyBorder="1"/>
    <xf numFmtId="190" fontId="2" fillId="4" borderId="40" xfId="0" applyNumberFormat="1" applyFont="1" applyFill="1" applyBorder="1" applyAlignment="1">
      <alignment horizontal="right"/>
    </xf>
    <xf numFmtId="194" fontId="2" fillId="0" borderId="0" xfId="0" applyNumberFormat="1" applyFont="1"/>
    <xf numFmtId="169" fontId="2" fillId="0" borderId="0" xfId="0" applyNumberFormat="1" applyFont="1"/>
    <xf numFmtId="169" fontId="2" fillId="0" borderId="235" xfId="0" applyNumberFormat="1" applyFont="1" applyBorder="1"/>
    <xf numFmtId="166" fontId="2" fillId="0" borderId="0" xfId="0" applyNumberFormat="1" applyFont="1"/>
    <xf numFmtId="190" fontId="2" fillId="4" borderId="239" xfId="0" applyNumberFormat="1" applyFont="1" applyFill="1" applyBorder="1"/>
    <xf numFmtId="187" fontId="2" fillId="0" borderId="0" xfId="0" applyNumberFormat="1" applyFont="1"/>
    <xf numFmtId="166" fontId="2" fillId="0" borderId="235" xfId="0" applyNumberFormat="1" applyFont="1" applyBorder="1"/>
    <xf numFmtId="39" fontId="2" fillId="0" borderId="236" xfId="0" applyNumberFormat="1" applyFont="1" applyBorder="1"/>
    <xf numFmtId="195" fontId="2" fillId="0" borderId="0" xfId="0" applyNumberFormat="1" applyFont="1"/>
    <xf numFmtId="196" fontId="2" fillId="4" borderId="40" xfId="0" applyNumberFormat="1" applyFont="1" applyFill="1" applyBorder="1"/>
    <xf numFmtId="190" fontId="2" fillId="4" borderId="40" xfId="0" applyNumberFormat="1" applyFont="1" applyFill="1" applyBorder="1"/>
    <xf numFmtId="167" fontId="27" fillId="0" borderId="0" xfId="0" applyNumberFormat="1" applyFont="1"/>
    <xf numFmtId="0" fontId="2" fillId="0" borderId="236" xfId="0" applyFont="1" applyBorder="1"/>
    <xf numFmtId="0" fontId="2" fillId="0" borderId="229" xfId="0" applyFont="1" applyBorder="1"/>
    <xf numFmtId="196" fontId="2" fillId="4" borderId="241" xfId="0" applyNumberFormat="1" applyFont="1" applyFill="1" applyBorder="1"/>
    <xf numFmtId="190" fontId="2" fillId="4" borderId="241" xfId="0" applyNumberFormat="1" applyFont="1" applyFill="1" applyBorder="1"/>
    <xf numFmtId="190" fontId="2" fillId="4" borderId="242" xfId="0" applyNumberFormat="1" applyFont="1" applyFill="1" applyBorder="1"/>
    <xf numFmtId="0" fontId="27" fillId="18" borderId="40" xfId="0" applyFont="1" applyFill="1" applyBorder="1"/>
    <xf numFmtId="193" fontId="27" fillId="18" borderId="40" xfId="0" applyNumberFormat="1" applyFont="1" applyFill="1" applyBorder="1"/>
    <xf numFmtId="167" fontId="27" fillId="18" borderId="52" xfId="0" applyNumberFormat="1" applyFont="1" applyFill="1" applyBorder="1"/>
    <xf numFmtId="193" fontId="27" fillId="18" borderId="52" xfId="0" applyNumberFormat="1" applyFont="1" applyFill="1" applyBorder="1"/>
    <xf numFmtId="167" fontId="27" fillId="0" borderId="234" xfId="0" applyNumberFormat="1" applyFont="1" applyBorder="1"/>
    <xf numFmtId="169" fontId="8" fillId="14" borderId="243" xfId="0" applyNumberFormat="1" applyFont="1" applyFill="1" applyBorder="1"/>
    <xf numFmtId="0" fontId="27" fillId="0" borderId="244" xfId="0" applyFont="1" applyBorder="1"/>
    <xf numFmtId="0" fontId="27" fillId="0" borderId="245" xfId="0" applyFont="1" applyBorder="1" applyAlignment="1">
      <alignment horizontal="center"/>
    </xf>
    <xf numFmtId="0" fontId="27" fillId="0" borderId="245" xfId="0" applyFont="1" applyBorder="1"/>
    <xf numFmtId="0" fontId="27" fillId="0" borderId="245" xfId="0" applyFont="1" applyBorder="1" applyAlignment="1">
      <alignment horizontal="left"/>
    </xf>
    <xf numFmtId="169" fontId="27" fillId="0" borderId="246" xfId="0" applyNumberFormat="1" applyFont="1" applyBorder="1"/>
    <xf numFmtId="0" fontId="2" fillId="0" borderId="245" xfId="0" applyFont="1" applyBorder="1"/>
    <xf numFmtId="0" fontId="2" fillId="0" borderId="246" xfId="0" applyFont="1" applyBorder="1"/>
    <xf numFmtId="0" fontId="2" fillId="0" borderId="244" xfId="0" applyFont="1" applyBorder="1"/>
    <xf numFmtId="0" fontId="2" fillId="0" borderId="247" xfId="0" applyFont="1" applyBorder="1"/>
    <xf numFmtId="0" fontId="2" fillId="0" borderId="248" xfId="0" applyFont="1" applyBorder="1"/>
    <xf numFmtId="0" fontId="2" fillId="0" borderId="249" xfId="0" applyFont="1" applyBorder="1"/>
    <xf numFmtId="0" fontId="27" fillId="0" borderId="224" xfId="0" applyFont="1" applyBorder="1"/>
    <xf numFmtId="0" fontId="27" fillId="0" borderId="225" xfId="0" applyFont="1" applyBorder="1"/>
    <xf numFmtId="0" fontId="10" fillId="0" borderId="225" xfId="0" applyFont="1" applyBorder="1" applyAlignment="1">
      <alignment horizontal="center"/>
    </xf>
    <xf numFmtId="0" fontId="27" fillId="0" borderId="225" xfId="0" applyFont="1" applyBorder="1" applyAlignment="1">
      <alignment horizontal="center"/>
    </xf>
    <xf numFmtId="0" fontId="27" fillId="0" borderId="225" xfId="0" applyFont="1" applyBorder="1" applyAlignment="1">
      <alignment horizontal="left"/>
    </xf>
    <xf numFmtId="9" fontId="27" fillId="0" borderId="40" xfId="0" applyNumberFormat="1" applyFont="1" applyBorder="1"/>
    <xf numFmtId="169" fontId="8" fillId="14" borderId="40" xfId="0" applyNumberFormat="1" applyFont="1" applyFill="1" applyBorder="1"/>
    <xf numFmtId="0" fontId="27" fillId="0" borderId="248" xfId="0" applyFont="1" applyBorder="1"/>
    <xf numFmtId="167" fontId="27" fillId="0" borderId="164" xfId="0" applyNumberFormat="1" applyFont="1" applyBorder="1"/>
    <xf numFmtId="0" fontId="27" fillId="0" borderId="164" xfId="0" applyFont="1" applyBorder="1" applyAlignment="1">
      <alignment horizontal="center"/>
    </xf>
    <xf numFmtId="9" fontId="27" fillId="0" borderId="164" xfId="0" applyNumberFormat="1" applyFont="1" applyBorder="1"/>
    <xf numFmtId="2" fontId="27" fillId="0" borderId="164" xfId="0" applyNumberFormat="1" applyFont="1" applyBorder="1"/>
    <xf numFmtId="193" fontId="27" fillId="0" borderId="164" xfId="0" applyNumberFormat="1" applyFont="1" applyBorder="1"/>
    <xf numFmtId="169" fontId="2" fillId="0" borderId="164" xfId="0" applyNumberFormat="1" applyFont="1" applyBorder="1"/>
    <xf numFmtId="9" fontId="27" fillId="0" borderId="0" xfId="0" applyNumberFormat="1" applyFont="1"/>
    <xf numFmtId="2" fontId="27" fillId="0" borderId="0" xfId="0" applyNumberFormat="1" applyFont="1"/>
    <xf numFmtId="193" fontId="27" fillId="0" borderId="0" xfId="0" applyNumberFormat="1" applyFont="1"/>
    <xf numFmtId="0" fontId="27" fillId="4" borderId="250" xfId="0" applyFont="1" applyFill="1" applyBorder="1"/>
    <xf numFmtId="0" fontId="27" fillId="4" borderId="251" xfId="0" applyFont="1" applyFill="1" applyBorder="1"/>
    <xf numFmtId="167" fontId="27" fillId="4" borderId="40" xfId="0" applyNumberFormat="1" applyFont="1" applyFill="1" applyBorder="1"/>
    <xf numFmtId="187" fontId="2" fillId="0" borderId="40" xfId="0" applyNumberFormat="1" applyFont="1" applyBorder="1"/>
    <xf numFmtId="167" fontId="33" fillId="2" borderId="52" xfId="0" applyNumberFormat="1" applyFont="1" applyFill="1" applyBorder="1"/>
    <xf numFmtId="187" fontId="2" fillId="0" borderId="79" xfId="0" applyNumberFormat="1" applyFont="1" applyBorder="1"/>
    <xf numFmtId="187" fontId="8" fillId="14" borderId="79" xfId="0" applyNumberFormat="1" applyFont="1" applyFill="1" applyBorder="1"/>
    <xf numFmtId="0" fontId="10" fillId="0" borderId="248" xfId="0" applyFont="1" applyBorder="1"/>
    <xf numFmtId="167" fontId="33" fillId="2" borderId="252" xfId="0" applyNumberFormat="1" applyFont="1" applyFill="1" applyBorder="1"/>
    <xf numFmtId="0" fontId="27" fillId="0" borderId="164" xfId="0" applyFont="1" applyBorder="1"/>
    <xf numFmtId="187" fontId="2" fillId="0" borderId="164" xfId="0" applyNumberFormat="1" applyFont="1" applyBorder="1"/>
    <xf numFmtId="0" fontId="10" fillId="0" borderId="0" xfId="0" applyFont="1"/>
    <xf numFmtId="167" fontId="33" fillId="2" borderId="251" xfId="0" applyNumberFormat="1" applyFont="1" applyFill="1" applyBorder="1"/>
    <xf numFmtId="193" fontId="27" fillId="0" borderId="225" xfId="0" applyNumberFormat="1" applyFont="1" applyBorder="1"/>
    <xf numFmtId="167" fontId="27" fillId="0" borderId="225" xfId="0" applyNumberFormat="1" applyFont="1" applyBorder="1"/>
    <xf numFmtId="169" fontId="2" fillId="0" borderId="225" xfId="0" applyNumberFormat="1" applyFont="1" applyBorder="1"/>
    <xf numFmtId="168" fontId="2" fillId="0" borderId="240" xfId="0" applyNumberFormat="1" applyFont="1" applyBorder="1"/>
    <xf numFmtId="171" fontId="2" fillId="0" borderId="235" xfId="0" applyNumberFormat="1" applyFont="1" applyBorder="1"/>
    <xf numFmtId="197" fontId="2" fillId="0" borderId="0" xfId="0" applyNumberFormat="1" applyFont="1"/>
    <xf numFmtId="197" fontId="27" fillId="0" borderId="0" xfId="0" applyNumberFormat="1" applyFont="1" applyAlignment="1">
      <alignment horizontal="center"/>
    </xf>
    <xf numFmtId="195" fontId="29" fillId="0" borderId="0" xfId="0" applyNumberFormat="1" applyFont="1"/>
    <xf numFmtId="169" fontId="2" fillId="0" borderId="253" xfId="0" applyNumberFormat="1" applyFont="1" applyBorder="1"/>
    <xf numFmtId="2" fontId="2" fillId="0" borderId="0" xfId="0" applyNumberFormat="1" applyFont="1"/>
    <xf numFmtId="169" fontId="8" fillId="14" borderId="254" xfId="0" applyNumberFormat="1" applyFont="1" applyFill="1" applyBorder="1"/>
    <xf numFmtId="190" fontId="2" fillId="4" borderId="52" xfId="0" applyNumberFormat="1" applyFont="1" applyFill="1" applyBorder="1"/>
    <xf numFmtId="190" fontId="2" fillId="4" borderId="255" xfId="0" applyNumberFormat="1" applyFont="1" applyFill="1" applyBorder="1"/>
    <xf numFmtId="0" fontId="2" fillId="31" borderId="52" xfId="0" applyFont="1" applyFill="1" applyBorder="1"/>
    <xf numFmtId="0" fontId="2" fillId="0" borderId="117" xfId="0" applyFont="1" applyBorder="1"/>
    <xf numFmtId="0" fontId="8" fillId="0" borderId="46" xfId="0" applyFont="1" applyBorder="1"/>
    <xf numFmtId="0" fontId="8" fillId="0" borderId="126" xfId="0" applyFont="1" applyBorder="1" applyAlignment="1">
      <alignment horizontal="center"/>
    </xf>
    <xf numFmtId="0" fontId="8" fillId="0" borderId="128" xfId="0" applyFont="1" applyBorder="1" applyAlignment="1">
      <alignment horizontal="center"/>
    </xf>
    <xf numFmtId="193" fontId="2" fillId="0" borderId="40" xfId="0" applyNumberFormat="1" applyFont="1" applyBorder="1"/>
    <xf numFmtId="197" fontId="2" fillId="0" borderId="47" xfId="0" applyNumberFormat="1" applyFont="1" applyBorder="1"/>
    <xf numFmtId="0" fontId="2" fillId="0" borderId="256" xfId="0" applyFont="1" applyBorder="1"/>
    <xf numFmtId="197" fontId="8" fillId="0" borderId="49" xfId="0" applyNumberFormat="1" applyFont="1" applyBorder="1"/>
    <xf numFmtId="0" fontId="27" fillId="31" borderId="52" xfId="0" applyFont="1" applyFill="1" applyBorder="1"/>
    <xf numFmtId="0" fontId="8" fillId="0" borderId="173" xfId="0" applyFont="1" applyBorder="1" applyAlignment="1">
      <alignment horizontal="center"/>
    </xf>
    <xf numFmtId="178" fontId="2" fillId="0" borderId="40" xfId="0" applyNumberFormat="1" applyFont="1" applyBorder="1"/>
    <xf numFmtId="182" fontId="2" fillId="0" borderId="47" xfId="0" applyNumberFormat="1" applyFont="1" applyBorder="1" applyAlignment="1">
      <alignment horizontal="center"/>
    </xf>
    <xf numFmtId="167" fontId="2" fillId="0" borderId="0" xfId="0" applyNumberFormat="1" applyFont="1" applyAlignment="1">
      <alignment horizontal="center"/>
    </xf>
    <xf numFmtId="168" fontId="2" fillId="0" borderId="0" xfId="0" applyNumberFormat="1" applyFont="1"/>
    <xf numFmtId="178" fontId="2" fillId="0" borderId="110" xfId="0" applyNumberFormat="1" applyFont="1" applyBorder="1"/>
    <xf numFmtId="182" fontId="2" fillId="0" borderId="110" xfId="0" applyNumberFormat="1" applyFont="1" applyBorder="1"/>
    <xf numFmtId="182" fontId="2" fillId="0" borderId="188" xfId="0" applyNumberFormat="1" applyFont="1" applyBorder="1" applyAlignment="1">
      <alignment horizontal="center"/>
    </xf>
    <xf numFmtId="0" fontId="2" fillId="0" borderId="257" xfId="0" applyFont="1" applyBorder="1"/>
    <xf numFmtId="0" fontId="8" fillId="0" borderId="256" xfId="0" applyFont="1" applyBorder="1"/>
    <xf numFmtId="182" fontId="8" fillId="0" borderId="258" xfId="0" applyNumberFormat="1" applyFont="1" applyBorder="1"/>
    <xf numFmtId="169" fontId="8" fillId="0" borderId="0" xfId="0" applyNumberFormat="1" applyFont="1"/>
    <xf numFmtId="168" fontId="8" fillId="0" borderId="0" xfId="0" applyNumberFormat="1" applyFont="1"/>
    <xf numFmtId="182" fontId="2" fillId="0" borderId="47" xfId="0" applyNumberFormat="1" applyFont="1" applyBorder="1"/>
    <xf numFmtId="0" fontId="8" fillId="0" borderId="116" xfId="0" applyFont="1" applyBorder="1" applyAlignment="1">
      <alignment horizontal="center"/>
    </xf>
    <xf numFmtId="182" fontId="8" fillId="0" borderId="49" xfId="0" applyNumberFormat="1" applyFont="1" applyBorder="1"/>
    <xf numFmtId="0" fontId="27" fillId="9" borderId="52" xfId="0" applyFont="1" applyFill="1" applyBorder="1"/>
    <xf numFmtId="194" fontId="2" fillId="0" borderId="47" xfId="0" applyNumberFormat="1" applyFont="1" applyBorder="1"/>
    <xf numFmtId="194" fontId="2" fillId="0" borderId="259" xfId="0" applyNumberFormat="1" applyFont="1" applyBorder="1" applyAlignment="1">
      <alignment horizontal="center"/>
    </xf>
    <xf numFmtId="182" fontId="2" fillId="0" borderId="0" xfId="0" applyNumberFormat="1" applyFont="1"/>
    <xf numFmtId="194" fontId="8" fillId="0" borderId="47" xfId="0" applyNumberFormat="1" applyFont="1" applyBorder="1"/>
    <xf numFmtId="0" fontId="8" fillId="0" borderId="167" xfId="0" applyFont="1" applyBorder="1" applyAlignment="1">
      <alignment horizontal="center"/>
    </xf>
    <xf numFmtId="171" fontId="8" fillId="0" borderId="260" xfId="0" applyNumberFormat="1" applyFont="1" applyBorder="1"/>
    <xf numFmtId="182" fontId="8" fillId="0" borderId="0" xfId="0" applyNumberFormat="1" applyFont="1"/>
    <xf numFmtId="0" fontId="2" fillId="31" borderId="261" xfId="0" applyFont="1" applyFill="1" applyBorder="1"/>
    <xf numFmtId="0" fontId="2" fillId="31" borderId="262" xfId="0" applyFont="1" applyFill="1" applyBorder="1"/>
    <xf numFmtId="0" fontId="2" fillId="0" borderId="191" xfId="0" applyFont="1" applyBorder="1"/>
    <xf numFmtId="0" fontId="2" fillId="0" borderId="129" xfId="0" applyFont="1" applyBorder="1"/>
    <xf numFmtId="0" fontId="8" fillId="0" borderId="130" xfId="0" applyFont="1" applyBorder="1" applyAlignment="1">
      <alignment horizontal="center"/>
    </xf>
    <xf numFmtId="0" fontId="8" fillId="0" borderId="132" xfId="0" applyFont="1" applyBorder="1" applyAlignment="1">
      <alignment horizontal="center"/>
    </xf>
    <xf numFmtId="0" fontId="8" fillId="0" borderId="122" xfId="0" applyFont="1" applyBorder="1" applyAlignment="1">
      <alignment horizontal="center"/>
    </xf>
    <xf numFmtId="0" fontId="8" fillId="0" borderId="124" xfId="0" applyFont="1" applyBorder="1" applyAlignment="1">
      <alignment horizontal="center"/>
    </xf>
    <xf numFmtId="193" fontId="2" fillId="0" borderId="41" xfId="0" applyNumberFormat="1" applyFont="1" applyBorder="1"/>
    <xf numFmtId="171" fontId="2" fillId="0" borderId="41" xfId="0" applyNumberFormat="1" applyFont="1" applyBorder="1"/>
    <xf numFmtId="168" fontId="2" fillId="0" borderId="195" xfId="0" applyNumberFormat="1" applyFont="1" applyBorder="1"/>
    <xf numFmtId="193" fontId="2" fillId="0" borderId="110" xfId="0" applyNumberFormat="1" applyFont="1" applyBorder="1"/>
    <xf numFmtId="168" fontId="2" fillId="0" borderId="263" xfId="0" applyNumberFormat="1" applyFont="1" applyBorder="1"/>
    <xf numFmtId="0" fontId="8" fillId="0" borderId="79" xfId="0" applyFont="1" applyBorder="1" applyAlignment="1">
      <alignment horizontal="center"/>
    </xf>
    <xf numFmtId="168" fontId="8" fillId="0" borderId="88" xfId="0" applyNumberFormat="1" applyFont="1" applyBorder="1"/>
    <xf numFmtId="0" fontId="2" fillId="0" borderId="264" xfId="0" applyFont="1" applyBorder="1"/>
    <xf numFmtId="178" fontId="2" fillId="0" borderId="41" xfId="0" applyNumberFormat="1" applyFont="1" applyBorder="1"/>
    <xf numFmtId="180" fontId="2" fillId="0" borderId="41" xfId="0" applyNumberFormat="1" applyFont="1" applyBorder="1"/>
    <xf numFmtId="0" fontId="8" fillId="0" borderId="265" xfId="0" applyFont="1" applyBorder="1" applyAlignment="1">
      <alignment horizontal="center"/>
    </xf>
    <xf numFmtId="168" fontId="8" fillId="0" borderId="258" xfId="0" applyNumberFormat="1" applyFont="1" applyBorder="1"/>
    <xf numFmtId="0" fontId="8" fillId="0" borderId="71" xfId="0" applyFont="1" applyBorder="1" applyAlignment="1">
      <alignment horizontal="center"/>
    </xf>
    <xf numFmtId="0" fontId="8" fillId="0" borderId="72" xfId="0" applyFont="1" applyBorder="1" applyAlignment="1">
      <alignment horizontal="center"/>
    </xf>
    <xf numFmtId="0" fontId="8" fillId="0" borderId="32" xfId="0" applyFont="1" applyBorder="1" applyAlignment="1">
      <alignment horizontal="center"/>
    </xf>
    <xf numFmtId="0" fontId="8" fillId="0" borderId="153" xfId="0" applyFont="1" applyBorder="1" applyAlignment="1">
      <alignment horizontal="center"/>
    </xf>
    <xf numFmtId="171" fontId="2" fillId="0" borderId="59" xfId="0" applyNumberFormat="1" applyFont="1" applyBorder="1" applyAlignment="1">
      <alignment horizontal="center"/>
    </xf>
    <xf numFmtId="0" fontId="2" fillId="0" borderId="195" xfId="0" applyFont="1" applyBorder="1"/>
    <xf numFmtId="171" fontId="2" fillId="0" borderId="40" xfId="0" applyNumberFormat="1" applyFont="1" applyBorder="1" applyAlignment="1">
      <alignment horizontal="center"/>
    </xf>
    <xf numFmtId="0" fontId="2" fillId="0" borderId="47" xfId="0" applyFont="1" applyBorder="1"/>
    <xf numFmtId="0" fontId="2" fillId="0" borderId="263" xfId="0" applyFont="1" applyBorder="1"/>
    <xf numFmtId="0" fontId="8" fillId="0" borderId="266" xfId="0" applyFont="1" applyBorder="1" applyAlignment="1">
      <alignment horizontal="center"/>
    </xf>
    <xf numFmtId="0" fontId="8" fillId="0" borderId="267" xfId="0" applyFont="1" applyBorder="1"/>
    <xf numFmtId="0" fontId="2" fillId="9" borderId="268" xfId="0" applyFont="1" applyFill="1" applyBorder="1"/>
    <xf numFmtId="0" fontId="2" fillId="9" borderId="269" xfId="0" applyFont="1" applyFill="1" applyBorder="1"/>
    <xf numFmtId="0" fontId="2" fillId="9" borderId="270" xfId="0" applyFont="1" applyFill="1" applyBorder="1"/>
    <xf numFmtId="0" fontId="2" fillId="0" borderId="271" xfId="0" applyFont="1" applyBorder="1"/>
    <xf numFmtId="0" fontId="2" fillId="0" borderId="272" xfId="0" applyFont="1" applyBorder="1"/>
    <xf numFmtId="0" fontId="8" fillId="0" borderId="2" xfId="0" applyFont="1" applyBorder="1" applyAlignment="1">
      <alignment horizontal="center"/>
    </xf>
    <xf numFmtId="0" fontId="8" fillId="0" borderId="73" xfId="0" applyFont="1" applyBorder="1"/>
    <xf numFmtId="0" fontId="2" fillId="0" borderId="2" xfId="0" applyFont="1" applyBorder="1" applyAlignment="1">
      <alignment horizontal="center"/>
    </xf>
    <xf numFmtId="168" fontId="2" fillId="0" borderId="273" xfId="0" applyNumberFormat="1" applyFont="1" applyBorder="1"/>
    <xf numFmtId="168" fontId="2" fillId="0" borderId="274" xfId="0" applyNumberFormat="1" applyFont="1" applyBorder="1"/>
    <xf numFmtId="168" fontId="8" fillId="0" borderId="267" xfId="0" applyNumberFormat="1" applyFont="1" applyBorder="1"/>
    <xf numFmtId="0" fontId="2" fillId="0" borderId="0" xfId="0" applyFont="1" applyAlignment="1">
      <alignment wrapText="1"/>
    </xf>
    <xf numFmtId="0" fontId="34" fillId="2" borderId="0" xfId="0" applyFont="1" applyFill="1"/>
    <xf numFmtId="0" fontId="27" fillId="0" borderId="118" xfId="0" applyFont="1" applyBorder="1"/>
    <xf numFmtId="0" fontId="27" fillId="0" borderId="120" xfId="0" applyFont="1" applyBorder="1"/>
    <xf numFmtId="0" fontId="27" fillId="0" borderId="125" xfId="0" applyFont="1" applyBorder="1"/>
    <xf numFmtId="0" fontId="10" fillId="0" borderId="126" xfId="0" applyFont="1" applyBorder="1" applyAlignment="1">
      <alignment horizontal="center"/>
    </xf>
    <xf numFmtId="0" fontId="27" fillId="0" borderId="126" xfId="0" applyFont="1" applyBorder="1"/>
    <xf numFmtId="9" fontId="27" fillId="0" borderId="40" xfId="0" applyNumberFormat="1" applyFont="1" applyBorder="1" applyAlignment="1">
      <alignment horizontal="center"/>
    </xf>
    <xf numFmtId="167" fontId="27" fillId="0" borderId="40" xfId="0" applyNumberFormat="1" applyFont="1" applyBorder="1" applyAlignment="1">
      <alignment horizontal="center"/>
    </xf>
    <xf numFmtId="2" fontId="27" fillId="0" borderId="40" xfId="0" applyNumberFormat="1" applyFont="1" applyBorder="1" applyAlignment="1">
      <alignment horizontal="center"/>
    </xf>
    <xf numFmtId="193" fontId="27" fillId="0" borderId="40" xfId="0" applyNumberFormat="1" applyFont="1" applyBorder="1" applyAlignment="1">
      <alignment horizontal="center"/>
    </xf>
    <xf numFmtId="1" fontId="27" fillId="0" borderId="0" xfId="0" applyNumberFormat="1" applyFont="1" applyAlignment="1">
      <alignment horizontal="center"/>
    </xf>
    <xf numFmtId="167" fontId="27" fillId="31" borderId="40" xfId="0" applyNumberFormat="1" applyFont="1" applyFill="1" applyBorder="1"/>
    <xf numFmtId="0" fontId="27" fillId="0" borderId="46" xfId="0" applyFont="1" applyBorder="1" applyAlignment="1">
      <alignment wrapText="1"/>
    </xf>
    <xf numFmtId="2" fontId="2" fillId="0" borderId="40" xfId="0" applyNumberFormat="1" applyFont="1" applyBorder="1" applyAlignment="1">
      <alignment horizontal="center"/>
    </xf>
    <xf numFmtId="167" fontId="27" fillId="35" borderId="40" xfId="0" applyNumberFormat="1" applyFont="1" applyFill="1" applyBorder="1"/>
    <xf numFmtId="182" fontId="2" fillId="0" borderId="188" xfId="0" applyNumberFormat="1" applyFont="1" applyBorder="1"/>
    <xf numFmtId="0" fontId="27" fillId="0" borderId="40" xfId="0" applyFont="1" applyBorder="1"/>
    <xf numFmtId="0" fontId="10" fillId="0" borderId="204" xfId="0" applyFont="1" applyBorder="1"/>
    <xf numFmtId="182" fontId="10" fillId="0" borderId="81" xfId="0" applyNumberFormat="1" applyFont="1" applyBorder="1"/>
    <xf numFmtId="0" fontId="2" fillId="0" borderId="48" xfId="0" applyFont="1" applyBorder="1"/>
    <xf numFmtId="0" fontId="2" fillId="0" borderId="189" xfId="0" applyFont="1" applyBorder="1"/>
    <xf numFmtId="0" fontId="8" fillId="0" borderId="186" xfId="0" applyFont="1" applyBorder="1"/>
    <xf numFmtId="178" fontId="27" fillId="0" borderId="40" xfId="0" applyNumberFormat="1" applyFont="1" applyBorder="1" applyAlignment="1">
      <alignment horizontal="center"/>
    </xf>
    <xf numFmtId="180" fontId="27" fillId="0" borderId="40" xfId="0" applyNumberFormat="1" applyFont="1" applyBorder="1"/>
    <xf numFmtId="0" fontId="8" fillId="0" borderId="40" xfId="0" applyFont="1" applyBorder="1" applyAlignment="1">
      <alignment horizontal="center"/>
    </xf>
    <xf numFmtId="182" fontId="8" fillId="0" borderId="47" xfId="0" applyNumberFormat="1" applyFont="1" applyBorder="1"/>
    <xf numFmtId="0" fontId="2" fillId="0" borderId="49" xfId="0" applyFont="1" applyBorder="1"/>
    <xf numFmtId="0" fontId="27" fillId="0" borderId="190" xfId="0" applyFont="1" applyBorder="1"/>
    <xf numFmtId="0" fontId="27" fillId="0" borderId="115" xfId="0" applyFont="1" applyBorder="1"/>
    <xf numFmtId="0" fontId="27" fillId="0" borderId="191" xfId="0" applyFont="1" applyBorder="1"/>
    <xf numFmtId="0" fontId="27" fillId="0" borderId="67" xfId="0" applyFont="1" applyBorder="1"/>
    <xf numFmtId="0" fontId="10" fillId="0" borderId="152" xfId="0" applyFont="1" applyBorder="1"/>
    <xf numFmtId="0" fontId="10" fillId="0" borderId="35" xfId="0" applyFont="1" applyBorder="1" applyAlignment="1">
      <alignment horizontal="center"/>
    </xf>
    <xf numFmtId="0" fontId="8" fillId="0" borderId="35" xfId="0" applyFont="1" applyBorder="1" applyAlignment="1">
      <alignment horizontal="center"/>
    </xf>
    <xf numFmtId="0" fontId="8" fillId="0" borderId="275" xfId="0" applyFont="1" applyBorder="1" applyAlignment="1">
      <alignment horizontal="center"/>
    </xf>
    <xf numFmtId="0" fontId="27" fillId="0" borderId="148" xfId="0" applyFont="1" applyBorder="1"/>
    <xf numFmtId="167" fontId="27" fillId="2" borderId="59" xfId="0" applyNumberFormat="1" applyFont="1" applyFill="1" applyBorder="1" applyAlignment="1">
      <alignment horizontal="center"/>
    </xf>
    <xf numFmtId="178" fontId="27" fillId="0" borderId="59" xfId="0" applyNumberFormat="1" applyFont="1" applyBorder="1" applyAlignment="1">
      <alignment horizontal="center"/>
    </xf>
    <xf numFmtId="182" fontId="27" fillId="0" borderId="11" xfId="0" applyNumberFormat="1" applyFont="1" applyBorder="1" applyAlignment="1">
      <alignment horizontal="center"/>
    </xf>
    <xf numFmtId="182" fontId="2" fillId="0" borderId="276" xfId="0" applyNumberFormat="1" applyFont="1" applyBorder="1"/>
    <xf numFmtId="0" fontId="27" fillId="0" borderId="73" xfId="0" applyFont="1" applyBorder="1"/>
    <xf numFmtId="167" fontId="27" fillId="2" borderId="40" xfId="0" applyNumberFormat="1" applyFont="1" applyFill="1" applyBorder="1" applyAlignment="1">
      <alignment horizontal="center"/>
    </xf>
    <xf numFmtId="182" fontId="27" fillId="0" borderId="2" xfId="0" applyNumberFormat="1" applyFont="1" applyBorder="1" applyAlignment="1">
      <alignment horizontal="center"/>
    </xf>
    <xf numFmtId="182" fontId="2" fillId="0" borderId="273" xfId="0" applyNumberFormat="1" applyFont="1" applyBorder="1"/>
    <xf numFmtId="0" fontId="27" fillId="0" borderId="73" xfId="0" applyFont="1" applyBorder="1" applyAlignment="1">
      <alignment wrapText="1"/>
    </xf>
    <xf numFmtId="0" fontId="27" fillId="0" borderId="2" xfId="0" applyFont="1" applyBorder="1"/>
    <xf numFmtId="182" fontId="8" fillId="0" borderId="273" xfId="0" applyNumberFormat="1" applyFont="1" applyBorder="1"/>
    <xf numFmtId="0" fontId="27" fillId="0" borderId="89" xfId="0" applyFont="1" applyBorder="1"/>
    <xf numFmtId="0" fontId="27" fillId="0" borderId="116" xfId="0" applyFont="1" applyBorder="1"/>
    <xf numFmtId="0" fontId="27" fillId="0" borderId="167" xfId="0" applyFont="1" applyBorder="1"/>
    <xf numFmtId="0" fontId="10" fillId="0" borderId="194" xfId="0" applyFont="1" applyBorder="1" applyAlignment="1">
      <alignment horizontal="center"/>
    </xf>
    <xf numFmtId="0" fontId="10" fillId="0" borderId="142" xfId="0" applyFont="1" applyBorder="1" applyAlignment="1">
      <alignment horizontal="center"/>
    </xf>
    <xf numFmtId="0" fontId="10" fillId="0" borderId="144" xfId="0" applyFont="1" applyBorder="1" applyAlignment="1">
      <alignment horizontal="center"/>
    </xf>
    <xf numFmtId="167" fontId="27" fillId="2" borderId="40" xfId="0" applyNumberFormat="1" applyFont="1" applyFill="1" applyBorder="1"/>
    <xf numFmtId="182" fontId="27" fillId="0" borderId="40" xfId="0" applyNumberFormat="1" applyFont="1" applyBorder="1" applyAlignment="1">
      <alignment horizontal="center"/>
    </xf>
    <xf numFmtId="182" fontId="27" fillId="0" borderId="40" xfId="0" applyNumberFormat="1" applyFont="1" applyBorder="1"/>
    <xf numFmtId="4" fontId="27" fillId="0" borderId="40" xfId="0" applyNumberFormat="1" applyFont="1" applyBorder="1" applyAlignment="1">
      <alignment horizontal="center"/>
    </xf>
    <xf numFmtId="182" fontId="2" fillId="0" borderId="274" xfId="0" applyNumberFormat="1" applyFont="1" applyBorder="1"/>
    <xf numFmtId="182" fontId="27" fillId="0" borderId="2" xfId="0" applyNumberFormat="1" applyFont="1" applyBorder="1"/>
    <xf numFmtId="182" fontId="8" fillId="0" borderId="40" xfId="0" applyNumberFormat="1" applyFont="1" applyBorder="1" applyAlignment="1">
      <alignment horizontal="center"/>
    </xf>
    <xf numFmtId="182" fontId="8" fillId="0" borderId="40" xfId="0" applyNumberFormat="1" applyFont="1" applyBorder="1"/>
    <xf numFmtId="0" fontId="8" fillId="0" borderId="277" xfId="0" applyFont="1" applyBorder="1" applyAlignment="1">
      <alignment horizontal="center" vertical="top" wrapText="1"/>
    </xf>
    <xf numFmtId="0" fontId="8" fillId="0" borderId="45" xfId="0" applyFont="1" applyBorder="1" applyAlignment="1">
      <alignment horizontal="center" vertical="top" wrapText="1"/>
    </xf>
    <xf numFmtId="0" fontId="2" fillId="0" borderId="46" xfId="0" applyFont="1" applyBorder="1" applyAlignment="1">
      <alignment vertical="top" wrapText="1"/>
    </xf>
    <xf numFmtId="0" fontId="8" fillId="0" borderId="110" xfId="0" applyFont="1" applyBorder="1" applyAlignment="1">
      <alignment horizontal="center" vertical="top" wrapText="1"/>
    </xf>
    <xf numFmtId="0" fontId="8" fillId="0" borderId="188" xfId="0" applyFont="1" applyBorder="1" applyAlignment="1">
      <alignment horizontal="center" vertical="top" wrapText="1"/>
    </xf>
    <xf numFmtId="0" fontId="8" fillId="14" borderId="278" xfId="0" applyFont="1" applyFill="1" applyBorder="1"/>
    <xf numFmtId="0" fontId="2" fillId="14" borderId="279" xfId="0" applyFont="1" applyFill="1" applyBorder="1" applyAlignment="1">
      <alignment wrapText="1"/>
    </xf>
    <xf numFmtId="0" fontId="2" fillId="14" borderId="280" xfId="0" applyFont="1" applyFill="1" applyBorder="1" applyAlignment="1">
      <alignment wrapText="1"/>
    </xf>
    <xf numFmtId="0" fontId="2" fillId="0" borderId="46" xfId="0" applyFont="1" applyBorder="1" applyAlignment="1">
      <alignment wrapText="1"/>
    </xf>
    <xf numFmtId="198" fontId="2" fillId="0" borderId="40" xfId="0" applyNumberFormat="1" applyFont="1" applyBorder="1" applyAlignment="1">
      <alignment wrapText="1"/>
    </xf>
    <xf numFmtId="0" fontId="2" fillId="0" borderId="40" xfId="0" applyFont="1" applyBorder="1" applyAlignment="1">
      <alignment horizontal="center" vertical="top" wrapText="1"/>
    </xf>
    <xf numFmtId="199" fontId="2" fillId="0" borderId="40" xfId="0" applyNumberFormat="1" applyFont="1" applyBorder="1" applyAlignment="1">
      <alignment wrapText="1"/>
    </xf>
    <xf numFmtId="200" fontId="2" fillId="0" borderId="40" xfId="0" applyNumberFormat="1" applyFont="1" applyBorder="1" applyAlignment="1">
      <alignment wrapText="1"/>
    </xf>
    <xf numFmtId="200" fontId="2" fillId="0" borderId="47" xfId="0" applyNumberFormat="1" applyFont="1" applyBorder="1" applyAlignment="1">
      <alignment wrapText="1"/>
    </xf>
    <xf numFmtId="198" fontId="2" fillId="0" borderId="47" xfId="0" applyNumberFormat="1" applyFont="1" applyBorder="1" applyAlignment="1">
      <alignment wrapText="1"/>
    </xf>
    <xf numFmtId="192" fontId="8" fillId="0" borderId="40" xfId="0" applyNumberFormat="1" applyFont="1" applyBorder="1" applyAlignment="1">
      <alignment wrapText="1"/>
    </xf>
    <xf numFmtId="200" fontId="8" fillId="36" borderId="40" xfId="0" applyNumberFormat="1" applyFont="1" applyFill="1" applyBorder="1" applyAlignment="1">
      <alignment wrapText="1"/>
    </xf>
    <xf numFmtId="200" fontId="2" fillId="36" borderId="40" xfId="0" applyNumberFormat="1" applyFont="1" applyFill="1" applyBorder="1" applyAlignment="1">
      <alignment wrapText="1"/>
    </xf>
    <xf numFmtId="200" fontId="2" fillId="36" borderId="47" xfId="0" applyNumberFormat="1" applyFont="1" applyFill="1" applyBorder="1" applyAlignment="1">
      <alignment wrapText="1"/>
    </xf>
    <xf numFmtId="2" fontId="2" fillId="0" borderId="40" xfId="0" applyNumberFormat="1" applyFont="1" applyBorder="1" applyAlignment="1">
      <alignment wrapText="1"/>
    </xf>
    <xf numFmtId="201" fontId="2" fillId="0" borderId="40" xfId="0" applyNumberFormat="1" applyFont="1" applyBorder="1" applyAlignment="1">
      <alignment wrapText="1"/>
    </xf>
    <xf numFmtId="199" fontId="2" fillId="0" borderId="47" xfId="0" applyNumberFormat="1" applyFont="1" applyBorder="1" applyAlignment="1">
      <alignment wrapText="1"/>
    </xf>
    <xf numFmtId="0" fontId="2" fillId="0" borderId="109" xfId="0" applyFont="1" applyBorder="1" applyAlignment="1">
      <alignment wrapText="1"/>
    </xf>
    <xf numFmtId="198" fontId="2" fillId="0" borderId="110" xfId="0" applyNumberFormat="1" applyFont="1" applyBorder="1" applyAlignment="1">
      <alignment wrapText="1"/>
    </xf>
    <xf numFmtId="199" fontId="2" fillId="0" borderId="110" xfId="0" applyNumberFormat="1" applyFont="1" applyBorder="1" applyAlignment="1">
      <alignment wrapText="1"/>
    </xf>
    <xf numFmtId="200" fontId="2" fillId="0" borderId="110" xfId="0" applyNumberFormat="1" applyFont="1" applyBorder="1" applyAlignment="1">
      <alignment wrapText="1"/>
    </xf>
    <xf numFmtId="200" fontId="2" fillId="0" borderId="188" xfId="0" applyNumberFormat="1" applyFont="1" applyBorder="1" applyAlignment="1">
      <alignment wrapText="1"/>
    </xf>
    <xf numFmtId="0" fontId="8" fillId="24" borderId="160" xfId="0" applyFont="1" applyFill="1" applyBorder="1" applyAlignment="1">
      <alignment horizontal="left" wrapText="1"/>
    </xf>
    <xf numFmtId="198" fontId="2" fillId="24" borderId="135" xfId="0" applyNumberFormat="1" applyFont="1" applyFill="1" applyBorder="1" applyAlignment="1">
      <alignment wrapText="1"/>
    </xf>
    <xf numFmtId="199" fontId="2" fillId="24" borderId="135" xfId="0" applyNumberFormat="1" applyFont="1" applyFill="1" applyBorder="1" applyAlignment="1">
      <alignment wrapText="1"/>
    </xf>
    <xf numFmtId="167" fontId="8" fillId="24" borderId="135" xfId="0" applyNumberFormat="1" applyFont="1" applyFill="1" applyBorder="1"/>
    <xf numFmtId="200" fontId="8" fillId="24" borderId="135" xfId="0" applyNumberFormat="1" applyFont="1" applyFill="1" applyBorder="1" applyAlignment="1">
      <alignment wrapText="1"/>
    </xf>
    <xf numFmtId="200" fontId="8" fillId="24" borderId="140" xfId="0" applyNumberFormat="1" applyFont="1" applyFill="1" applyBorder="1" applyAlignment="1">
      <alignment wrapText="1"/>
    </xf>
    <xf numFmtId="0" fontId="2" fillId="0" borderId="125" xfId="0" applyFont="1" applyBorder="1" applyAlignment="1">
      <alignment wrapText="1"/>
    </xf>
    <xf numFmtId="198" fontId="2" fillId="0" borderId="126" xfId="0" applyNumberFormat="1" applyFont="1" applyBorder="1" applyAlignment="1">
      <alignment wrapText="1"/>
    </xf>
    <xf numFmtId="199" fontId="2" fillId="0" borderId="126" xfId="0" applyNumberFormat="1" applyFont="1" applyBorder="1" applyAlignment="1">
      <alignment wrapText="1"/>
    </xf>
    <xf numFmtId="200" fontId="2" fillId="0" borderId="126" xfId="0" applyNumberFormat="1" applyFont="1" applyBorder="1" applyAlignment="1">
      <alignment wrapText="1"/>
    </xf>
    <xf numFmtId="200" fontId="2" fillId="0" borderId="128" xfId="0" applyNumberFormat="1" applyFont="1" applyBorder="1" applyAlignment="1">
      <alignment wrapText="1"/>
    </xf>
    <xf numFmtId="0" fontId="8" fillId="31" borderId="112" xfId="0" applyFont="1" applyFill="1" applyBorder="1" applyAlignment="1">
      <alignment horizontal="left" wrapText="1"/>
    </xf>
    <xf numFmtId="198" fontId="2" fillId="31" borderId="80" xfId="0" applyNumberFormat="1" applyFont="1" applyFill="1" applyBorder="1" applyAlignment="1">
      <alignment wrapText="1"/>
    </xf>
    <xf numFmtId="199" fontId="2" fillId="31" borderId="80" xfId="0" applyNumberFormat="1" applyFont="1" applyFill="1" applyBorder="1" applyAlignment="1">
      <alignment wrapText="1"/>
    </xf>
    <xf numFmtId="198" fontId="8" fillId="31" borderId="80" xfId="0" applyNumberFormat="1" applyFont="1" applyFill="1" applyBorder="1" applyAlignment="1">
      <alignment wrapText="1"/>
    </xf>
    <xf numFmtId="200" fontId="2" fillId="31" borderId="80" xfId="0" applyNumberFormat="1" applyFont="1" applyFill="1" applyBorder="1" applyAlignment="1">
      <alignment wrapText="1"/>
    </xf>
    <xf numFmtId="200" fontId="2" fillId="31" borderId="81" xfId="0" applyNumberFormat="1" applyFont="1" applyFill="1" applyBorder="1" applyAlignment="1">
      <alignment wrapText="1"/>
    </xf>
    <xf numFmtId="201" fontId="2" fillId="0" borderId="126" xfId="0" applyNumberFormat="1" applyFont="1" applyBorder="1" applyAlignment="1">
      <alignment wrapText="1"/>
    </xf>
    <xf numFmtId="199" fontId="2" fillId="0" borderId="128" xfId="0" applyNumberFormat="1" applyFont="1" applyBorder="1" applyAlignment="1">
      <alignment wrapText="1"/>
    </xf>
    <xf numFmtId="0" fontId="8" fillId="34" borderId="112" xfId="0" applyFont="1" applyFill="1" applyBorder="1" applyAlignment="1">
      <alignment horizontal="left"/>
    </xf>
    <xf numFmtId="198" fontId="8" fillId="34" borderId="80" xfId="0" applyNumberFormat="1" applyFont="1" applyFill="1" applyBorder="1" applyAlignment="1">
      <alignment wrapText="1"/>
    </xf>
    <xf numFmtId="199" fontId="8" fillId="34" borderId="80" xfId="0" applyNumberFormat="1" applyFont="1" applyFill="1" applyBorder="1" applyAlignment="1">
      <alignment wrapText="1"/>
    </xf>
    <xf numFmtId="201" fontId="2" fillId="34" borderId="80" xfId="0" applyNumberFormat="1" applyFont="1" applyFill="1" applyBorder="1" applyAlignment="1">
      <alignment wrapText="1"/>
    </xf>
    <xf numFmtId="199" fontId="2" fillId="34" borderId="81" xfId="0" applyNumberFormat="1" applyFont="1" applyFill="1" applyBorder="1" applyAlignment="1">
      <alignment wrapText="1"/>
    </xf>
    <xf numFmtId="0" fontId="8" fillId="0" borderId="186" xfId="0" applyFont="1" applyBorder="1" applyAlignment="1">
      <alignment horizontal="center" wrapText="1"/>
    </xf>
    <xf numFmtId="198" fontId="8" fillId="0" borderId="41" xfId="0" applyNumberFormat="1" applyFont="1" applyBorder="1" applyAlignment="1">
      <alignment wrapText="1"/>
    </xf>
    <xf numFmtId="199" fontId="8" fillId="0" borderId="41" xfId="0" applyNumberFormat="1" applyFont="1" applyBorder="1" applyAlignment="1">
      <alignment wrapText="1"/>
    </xf>
    <xf numFmtId="201" fontId="2" fillId="0" borderId="41" xfId="0" applyNumberFormat="1" applyFont="1" applyBorder="1" applyAlignment="1">
      <alignment wrapText="1"/>
    </xf>
    <xf numFmtId="199" fontId="2" fillId="0" borderId="187" xfId="0" applyNumberFormat="1" applyFont="1" applyBorder="1" applyAlignment="1">
      <alignment wrapText="1"/>
    </xf>
    <xf numFmtId="0" fontId="8" fillId="14" borderId="281" xfId="0" applyFont="1" applyFill="1" applyBorder="1" applyAlignment="1">
      <alignment horizontal="left" wrapText="1"/>
    </xf>
    <xf numFmtId="198" fontId="8" fillId="14" borderId="210" xfId="0" applyNumberFormat="1" applyFont="1" applyFill="1" applyBorder="1" applyAlignment="1">
      <alignment wrapText="1"/>
    </xf>
    <xf numFmtId="199" fontId="8" fillId="14" borderId="210" xfId="0" applyNumberFormat="1" applyFont="1" applyFill="1" applyBorder="1" applyAlignment="1">
      <alignment wrapText="1"/>
    </xf>
    <xf numFmtId="201" fontId="2" fillId="14" borderId="210" xfId="0" applyNumberFormat="1" applyFont="1" applyFill="1" applyBorder="1" applyAlignment="1">
      <alignment wrapText="1"/>
    </xf>
    <xf numFmtId="199" fontId="2" fillId="14" borderId="282" xfId="0" applyNumberFormat="1" applyFont="1" applyFill="1" applyBorder="1" applyAlignment="1">
      <alignment wrapText="1"/>
    </xf>
    <xf numFmtId="0" fontId="8" fillId="0" borderId="112" xfId="0" applyFont="1" applyBorder="1" applyAlignment="1">
      <alignment wrapText="1"/>
    </xf>
    <xf numFmtId="198" fontId="2" fillId="0" borderId="80" xfId="0" applyNumberFormat="1" applyFont="1" applyBorder="1" applyAlignment="1">
      <alignment wrapText="1"/>
    </xf>
    <xf numFmtId="200" fontId="2" fillId="0" borderId="80" xfId="0" applyNumberFormat="1" applyFont="1" applyBorder="1" applyAlignment="1">
      <alignment wrapText="1"/>
    </xf>
    <xf numFmtId="200" fontId="8" fillId="0" borderId="80" xfId="0" applyNumberFormat="1" applyFont="1" applyBorder="1" applyAlignment="1">
      <alignment wrapText="1"/>
    </xf>
    <xf numFmtId="180" fontId="8" fillId="0" borderId="80" xfId="0" applyNumberFormat="1" applyFont="1" applyBorder="1"/>
    <xf numFmtId="201" fontId="8" fillId="0" borderId="81" xfId="0" applyNumberFormat="1" applyFont="1" applyBorder="1" applyAlignment="1">
      <alignment wrapText="1"/>
    </xf>
    <xf numFmtId="0" fontId="8" fillId="0" borderId="125" xfId="0" applyFont="1" applyBorder="1" applyAlignment="1">
      <alignment wrapText="1"/>
    </xf>
    <xf numFmtId="199" fontId="8" fillId="0" borderId="126" xfId="0" applyNumberFormat="1" applyFont="1" applyBorder="1" applyAlignment="1">
      <alignment wrapText="1"/>
    </xf>
    <xf numFmtId="0" fontId="8" fillId="37" borderId="112" xfId="0" applyFont="1" applyFill="1" applyBorder="1" applyAlignment="1">
      <alignment horizontal="left" wrapText="1"/>
    </xf>
    <xf numFmtId="198" fontId="2" fillId="37" borderId="80" xfId="0" applyNumberFormat="1" applyFont="1" applyFill="1" applyBorder="1" applyAlignment="1">
      <alignment wrapText="1"/>
    </xf>
    <xf numFmtId="199" fontId="8" fillId="37" borderId="80" xfId="0" applyNumberFormat="1" applyFont="1" applyFill="1" applyBorder="1" applyAlignment="1">
      <alignment wrapText="1"/>
    </xf>
    <xf numFmtId="201" fontId="2" fillId="37" borderId="80" xfId="0" applyNumberFormat="1" applyFont="1" applyFill="1" applyBorder="1" applyAlignment="1">
      <alignment wrapText="1"/>
    </xf>
    <xf numFmtId="199" fontId="2" fillId="37" borderId="81" xfId="0" applyNumberFormat="1" applyFont="1" applyFill="1" applyBorder="1" applyAlignment="1">
      <alignment wrapText="1"/>
    </xf>
    <xf numFmtId="0" fontId="8" fillId="0" borderId="125" xfId="0" applyFont="1" applyBorder="1" applyAlignment="1">
      <alignment horizontal="left" wrapText="1"/>
    </xf>
    <xf numFmtId="0" fontId="8" fillId="27" borderId="138" xfId="0" applyFont="1" applyFill="1" applyBorder="1" applyAlignment="1">
      <alignment horizontal="left" wrapText="1"/>
    </xf>
    <xf numFmtId="198" fontId="2" fillId="27" borderId="127" xfId="0" applyNumberFormat="1" applyFont="1" applyFill="1" applyBorder="1" applyAlignment="1">
      <alignment wrapText="1"/>
    </xf>
    <xf numFmtId="198" fontId="8" fillId="27" borderId="127" xfId="0" applyNumberFormat="1" applyFont="1" applyFill="1" applyBorder="1" applyAlignment="1">
      <alignment wrapText="1"/>
    </xf>
    <xf numFmtId="199" fontId="8" fillId="27" borderId="127" xfId="0" applyNumberFormat="1" applyFont="1" applyFill="1" applyBorder="1" applyAlignment="1">
      <alignment wrapText="1"/>
    </xf>
    <xf numFmtId="201" fontId="2" fillId="27" borderId="127" xfId="0" applyNumberFormat="1" applyFont="1" applyFill="1" applyBorder="1" applyAlignment="1">
      <alignment wrapText="1"/>
    </xf>
    <xf numFmtId="199" fontId="2" fillId="27" borderId="283" xfId="0" applyNumberFormat="1" applyFont="1" applyFill="1" applyBorder="1" applyAlignment="1">
      <alignment wrapText="1"/>
    </xf>
    <xf numFmtId="0" fontId="2" fillId="0" borderId="186" xfId="0" applyFont="1" applyBorder="1" applyAlignment="1">
      <alignment wrapText="1"/>
    </xf>
    <xf numFmtId="0" fontId="8" fillId="31" borderId="160" xfId="0" applyFont="1" applyFill="1" applyBorder="1" applyAlignment="1">
      <alignment horizontal="left" wrapText="1"/>
    </xf>
    <xf numFmtId="0" fontId="8" fillId="34" borderId="112" xfId="0" applyFont="1" applyFill="1" applyBorder="1" applyAlignment="1">
      <alignment horizontal="left" wrapText="1"/>
    </xf>
    <xf numFmtId="0" fontId="8" fillId="0" borderId="125" xfId="0" applyFont="1" applyBorder="1" applyAlignment="1">
      <alignment horizontal="center" wrapText="1"/>
    </xf>
    <xf numFmtId="198" fontId="8" fillId="0" borderId="126" xfId="0" applyNumberFormat="1" applyFont="1" applyBorder="1" applyAlignment="1">
      <alignment wrapText="1"/>
    </xf>
    <xf numFmtId="0" fontId="2" fillId="0" borderId="284" xfId="0" applyFont="1" applyBorder="1"/>
    <xf numFmtId="0" fontId="8" fillId="29" borderId="278" xfId="0" applyFont="1" applyFill="1" applyBorder="1"/>
    <xf numFmtId="0" fontId="8" fillId="29" borderId="279" xfId="0" applyFont="1" applyFill="1" applyBorder="1" applyAlignment="1">
      <alignment horizontal="center" vertical="top" wrapText="1"/>
    </xf>
    <xf numFmtId="0" fontId="2" fillId="29" borderId="285" xfId="0" applyFont="1" applyFill="1" applyBorder="1"/>
    <xf numFmtId="0" fontId="8" fillId="29" borderId="280" xfId="0" applyFont="1" applyFill="1" applyBorder="1" applyAlignment="1">
      <alignment horizontal="center" vertical="top" wrapText="1"/>
    </xf>
    <xf numFmtId="0" fontId="2" fillId="0" borderId="46" xfId="0" applyFont="1" applyBorder="1" applyAlignment="1">
      <alignment horizontal="center" vertical="top" wrapText="1"/>
    </xf>
    <xf numFmtId="0" fontId="8" fillId="0" borderId="40" xfId="0" applyFont="1" applyBorder="1" applyAlignment="1">
      <alignment horizontal="center" vertical="top" wrapText="1"/>
    </xf>
    <xf numFmtId="0" fontId="8" fillId="0" borderId="47" xfId="0" applyFont="1" applyBorder="1" applyAlignment="1">
      <alignment horizontal="center" vertical="top" wrapText="1"/>
    </xf>
    <xf numFmtId="0" fontId="8" fillId="14" borderId="46" xfId="0" applyFont="1" applyFill="1" applyBorder="1" applyAlignment="1">
      <alignment wrapText="1"/>
    </xf>
    <xf numFmtId="0" fontId="2" fillId="14" borderId="40" xfId="0" applyFont="1" applyFill="1" applyBorder="1" applyAlignment="1">
      <alignment wrapText="1"/>
    </xf>
    <xf numFmtId="0" fontId="2" fillId="14" borderId="47" xfId="0" applyFont="1" applyFill="1" applyBorder="1" applyAlignment="1">
      <alignment wrapText="1"/>
    </xf>
    <xf numFmtId="201" fontId="2" fillId="0" borderId="47" xfId="0" applyNumberFormat="1" applyFont="1" applyBorder="1" applyAlignment="1">
      <alignment wrapText="1"/>
    </xf>
    <xf numFmtId="0" fontId="8" fillId="24" borderId="112" xfId="0" applyFont="1" applyFill="1" applyBorder="1" applyAlignment="1">
      <alignment horizontal="left" wrapText="1"/>
    </xf>
    <xf numFmtId="0" fontId="2" fillId="24" borderId="80" xfId="0" applyFont="1" applyFill="1" applyBorder="1"/>
    <xf numFmtId="199" fontId="8" fillId="24" borderId="135" xfId="0" applyNumberFormat="1" applyFont="1" applyFill="1" applyBorder="1" applyAlignment="1">
      <alignment wrapText="1"/>
    </xf>
    <xf numFmtId="0" fontId="2" fillId="0" borderId="41" xfId="0" applyFont="1" applyBorder="1"/>
    <xf numFmtId="198" fontId="8" fillId="0" borderId="40" xfId="0" applyNumberFormat="1" applyFont="1" applyBorder="1" applyAlignment="1">
      <alignment wrapText="1"/>
    </xf>
    <xf numFmtId="199" fontId="8" fillId="0" borderId="47" xfId="0" applyNumberFormat="1" applyFont="1" applyBorder="1" applyAlignment="1">
      <alignment wrapText="1"/>
    </xf>
    <xf numFmtId="0" fontId="8" fillId="14" borderId="281" xfId="0" applyFont="1" applyFill="1" applyBorder="1" applyAlignment="1">
      <alignment wrapText="1"/>
    </xf>
    <xf numFmtId="198" fontId="2" fillId="14" borderId="210" xfId="0" applyNumberFormat="1" applyFont="1" applyFill="1" applyBorder="1" applyAlignment="1">
      <alignment wrapText="1"/>
    </xf>
    <xf numFmtId="200" fontId="8" fillId="14" borderId="210" xfId="0" applyNumberFormat="1" applyFont="1" applyFill="1" applyBorder="1" applyAlignment="1">
      <alignment wrapText="1"/>
    </xf>
    <xf numFmtId="199" fontId="8" fillId="14" borderId="282" xfId="0" applyNumberFormat="1" applyFont="1" applyFill="1" applyBorder="1" applyAlignment="1">
      <alignment wrapText="1"/>
    </xf>
    <xf numFmtId="0" fontId="2" fillId="0" borderId="112" xfId="0" applyFont="1" applyBorder="1" applyAlignment="1">
      <alignment horizontal="left" wrapText="1"/>
    </xf>
    <xf numFmtId="0" fontId="2" fillId="0" borderId="80" xfId="0" applyFont="1" applyBorder="1"/>
    <xf numFmtId="202" fontId="8" fillId="0" borderId="80" xfId="0" applyNumberFormat="1" applyFont="1" applyBorder="1" applyAlignment="1">
      <alignment wrapText="1"/>
    </xf>
    <xf numFmtId="202" fontId="8" fillId="0" borderId="81" xfId="0" applyNumberFormat="1" applyFont="1" applyBorder="1" applyAlignment="1">
      <alignment wrapText="1"/>
    </xf>
    <xf numFmtId="200" fontId="8" fillId="0" borderId="126" xfId="0" applyNumberFormat="1" applyFont="1" applyBorder="1" applyAlignment="1">
      <alignment wrapText="1"/>
    </xf>
    <xf numFmtId="199" fontId="8" fillId="0" borderId="128" xfId="0" applyNumberFormat="1" applyFont="1" applyBorder="1" applyAlignment="1">
      <alignment wrapText="1"/>
    </xf>
    <xf numFmtId="0" fontId="8" fillId="31" borderId="112" xfId="0" applyFont="1" applyFill="1" applyBorder="1" applyAlignment="1">
      <alignment horizontal="left"/>
    </xf>
    <xf numFmtId="0" fontId="2" fillId="4" borderId="80" xfId="0" applyFont="1" applyFill="1" applyBorder="1"/>
    <xf numFmtId="199" fontId="8" fillId="31" borderId="80" xfId="0" applyNumberFormat="1" applyFont="1" applyFill="1" applyBorder="1" applyAlignment="1">
      <alignment wrapText="1"/>
    </xf>
    <xf numFmtId="200" fontId="8" fillId="31" borderId="80" xfId="0" applyNumberFormat="1" applyFont="1" applyFill="1" applyBorder="1" applyAlignment="1">
      <alignment wrapText="1"/>
    </xf>
    <xf numFmtId="200" fontId="8" fillId="31" borderId="81" xfId="0" applyNumberFormat="1" applyFont="1" applyFill="1" applyBorder="1" applyAlignment="1">
      <alignment wrapText="1"/>
    </xf>
    <xf numFmtId="0" fontId="8" fillId="0" borderId="125" xfId="0" applyFont="1" applyBorder="1" applyAlignment="1">
      <alignment horizontal="left"/>
    </xf>
    <xf numFmtId="0" fontId="8" fillId="24" borderId="112" xfId="0" applyFont="1" applyFill="1" applyBorder="1" applyAlignment="1">
      <alignment horizontal="center" wrapText="1"/>
    </xf>
    <xf numFmtId="198" fontId="2" fillId="24" borderId="80" xfId="0" applyNumberFormat="1" applyFont="1" applyFill="1" applyBorder="1" applyAlignment="1">
      <alignment wrapText="1"/>
    </xf>
    <xf numFmtId="200" fontId="8" fillId="24" borderId="80" xfId="0" applyNumberFormat="1" applyFont="1" applyFill="1" applyBorder="1" applyAlignment="1">
      <alignment wrapText="1"/>
    </xf>
    <xf numFmtId="198" fontId="8" fillId="24" borderId="80" xfId="0" applyNumberFormat="1" applyFont="1" applyFill="1" applyBorder="1" applyAlignment="1">
      <alignment wrapText="1"/>
    </xf>
    <xf numFmtId="199" fontId="8" fillId="24" borderId="81" xfId="0" applyNumberFormat="1" applyFont="1" applyFill="1" applyBorder="1" applyAlignment="1">
      <alignment wrapText="1"/>
    </xf>
    <xf numFmtId="0" fontId="8" fillId="34" borderId="112" xfId="0" applyFont="1" applyFill="1" applyBorder="1"/>
    <xf numFmtId="198" fontId="2" fillId="34" borderId="80" xfId="0" applyNumberFormat="1" applyFont="1" applyFill="1" applyBorder="1" applyAlignment="1">
      <alignment wrapText="1"/>
    </xf>
    <xf numFmtId="0" fontId="2" fillId="34" borderId="80" xfId="0" applyFont="1" applyFill="1" applyBorder="1"/>
    <xf numFmtId="199" fontId="8" fillId="34" borderId="81" xfId="0" applyNumberFormat="1" applyFont="1" applyFill="1" applyBorder="1" applyAlignment="1">
      <alignment wrapText="1"/>
    </xf>
    <xf numFmtId="0" fontId="8" fillId="37" borderId="112" xfId="0" applyFont="1" applyFill="1" applyBorder="1"/>
    <xf numFmtId="0" fontId="2" fillId="37" borderId="80" xfId="0" applyFont="1" applyFill="1" applyBorder="1"/>
    <xf numFmtId="200" fontId="8" fillId="37" borderId="80" xfId="0" applyNumberFormat="1" applyFont="1" applyFill="1" applyBorder="1" applyAlignment="1">
      <alignment wrapText="1"/>
    </xf>
    <xf numFmtId="200" fontId="8" fillId="37" borderId="81" xfId="0" applyNumberFormat="1" applyFont="1" applyFill="1" applyBorder="1" applyAlignment="1">
      <alignment wrapText="1"/>
    </xf>
    <xf numFmtId="200" fontId="8" fillId="0" borderId="128" xfId="0" applyNumberFormat="1" applyFont="1" applyBorder="1" applyAlignment="1">
      <alignment wrapText="1"/>
    </xf>
    <xf numFmtId="0" fontId="8" fillId="27" borderId="138" xfId="0" applyFont="1" applyFill="1" applyBorder="1"/>
    <xf numFmtId="200" fontId="8" fillId="27" borderId="127" xfId="0" applyNumberFormat="1" applyFont="1" applyFill="1" applyBorder="1" applyAlignment="1">
      <alignment wrapText="1"/>
    </xf>
    <xf numFmtId="200" fontId="8" fillId="27" borderId="283" xfId="0" applyNumberFormat="1" applyFont="1" applyFill="1" applyBorder="1" applyAlignment="1">
      <alignment wrapText="1"/>
    </xf>
    <xf numFmtId="198" fontId="2" fillId="4" borderId="80" xfId="0" applyNumberFormat="1" applyFont="1" applyFill="1" applyBorder="1" applyAlignment="1">
      <alignment wrapText="1"/>
    </xf>
    <xf numFmtId="198" fontId="8" fillId="4" borderId="80" xfId="0" applyNumberFormat="1" applyFont="1" applyFill="1" applyBorder="1" applyAlignment="1">
      <alignment wrapText="1"/>
    </xf>
    <xf numFmtId="200" fontId="8" fillId="4" borderId="80" xfId="0" applyNumberFormat="1" applyFont="1" applyFill="1" applyBorder="1" applyAlignment="1">
      <alignment wrapText="1"/>
    </xf>
    <xf numFmtId="200" fontId="8" fillId="4" borderId="81" xfId="0" applyNumberFormat="1" applyFont="1" applyFill="1" applyBorder="1" applyAlignment="1">
      <alignment wrapText="1"/>
    </xf>
    <xf numFmtId="200" fontId="8" fillId="34" borderId="80" xfId="0" applyNumberFormat="1" applyFont="1" applyFill="1" applyBorder="1" applyAlignment="1">
      <alignment wrapText="1"/>
    </xf>
    <xf numFmtId="0" fontId="2" fillId="0" borderId="286" xfId="0" applyFont="1" applyBorder="1"/>
    <xf numFmtId="0" fontId="2" fillId="0" borderId="205" xfId="0" applyFont="1" applyBorder="1"/>
    <xf numFmtId="0" fontId="2" fillId="0" borderId="287" xfId="0" applyFont="1" applyBorder="1"/>
    <xf numFmtId="0" fontId="2" fillId="0" borderId="288" xfId="0" applyFont="1" applyBorder="1"/>
    <xf numFmtId="0" fontId="8" fillId="29" borderId="165" xfId="0" applyFont="1" applyFill="1" applyBorder="1"/>
    <xf numFmtId="0" fontId="2" fillId="29" borderId="166" xfId="0" applyFont="1" applyFill="1" applyBorder="1"/>
    <xf numFmtId="167" fontId="8" fillId="29" borderId="289" xfId="0" applyNumberFormat="1" applyFont="1" applyFill="1" applyBorder="1"/>
    <xf numFmtId="171" fontId="8" fillId="0" borderId="0" xfId="0" applyNumberFormat="1" applyFont="1"/>
    <xf numFmtId="0" fontId="31" fillId="0" borderId="0" xfId="0" applyFont="1" applyAlignment="1">
      <alignment wrapText="1"/>
    </xf>
    <xf numFmtId="0" fontId="2" fillId="0" borderId="0" xfId="0" applyFont="1" applyAlignment="1">
      <alignment horizontal="left" wrapText="1"/>
    </xf>
    <xf numFmtId="0" fontId="2" fillId="0" borderId="290" xfId="0" applyFont="1" applyBorder="1"/>
    <xf numFmtId="0" fontId="2" fillId="0" borderId="279" xfId="0" applyFont="1" applyBorder="1"/>
    <xf numFmtId="0" fontId="8" fillId="0" borderId="279" xfId="0" applyFont="1" applyBorder="1" applyAlignment="1">
      <alignment horizontal="center"/>
    </xf>
    <xf numFmtId="0" fontId="8" fillId="0" borderId="291" xfId="0" applyFont="1" applyBorder="1" applyAlignment="1">
      <alignment horizontal="center"/>
    </xf>
    <xf numFmtId="0" fontId="8" fillId="0" borderId="292" xfId="0" applyFont="1" applyBorder="1"/>
    <xf numFmtId="0" fontId="8" fillId="0" borderId="293" xfId="0" applyFont="1" applyBorder="1" applyAlignment="1">
      <alignment horizontal="center"/>
    </xf>
    <xf numFmtId="0" fontId="2" fillId="0" borderId="293" xfId="0" applyFont="1" applyBorder="1"/>
    <xf numFmtId="0" fontId="2" fillId="0" borderId="292" xfId="0" applyFont="1" applyBorder="1" applyAlignment="1">
      <alignment horizontal="center"/>
    </xf>
    <xf numFmtId="9" fontId="2" fillId="0" borderId="40" xfId="0" applyNumberFormat="1" applyFont="1" applyBorder="1"/>
    <xf numFmtId="0" fontId="8" fillId="0" borderId="292" xfId="0" applyFont="1" applyBorder="1" applyAlignment="1">
      <alignment horizontal="center"/>
    </xf>
    <xf numFmtId="0" fontId="2" fillId="0" borderId="40" xfId="0" applyFont="1" applyBorder="1" applyAlignment="1">
      <alignment horizontal="left"/>
    </xf>
    <xf numFmtId="167" fontId="2" fillId="7" borderId="40" xfId="0" applyNumberFormat="1" applyFont="1" applyFill="1" applyBorder="1"/>
    <xf numFmtId="167" fontId="2" fillId="0" borderId="293" xfId="0" applyNumberFormat="1" applyFont="1" applyBorder="1"/>
    <xf numFmtId="0" fontId="7" fillId="0" borderId="292" xfId="0" applyFont="1" applyBorder="1" applyAlignment="1">
      <alignment horizontal="center"/>
    </xf>
    <xf numFmtId="187" fontId="2" fillId="0" borderId="293" xfId="0" applyNumberFormat="1" applyFont="1" applyBorder="1" applyAlignment="1">
      <alignment horizontal="center"/>
    </xf>
    <xf numFmtId="0" fontId="2" fillId="0" borderId="294" xfId="0" applyFont="1" applyBorder="1" applyAlignment="1">
      <alignment horizontal="center"/>
    </xf>
    <xf numFmtId="0" fontId="2" fillId="0" borderId="205" xfId="0" applyFont="1" applyBorder="1" applyAlignment="1">
      <alignment horizontal="center"/>
    </xf>
    <xf numFmtId="9" fontId="2" fillId="0" borderId="205" xfId="0" applyNumberFormat="1" applyFont="1" applyBorder="1"/>
    <xf numFmtId="0" fontId="2" fillId="0" borderId="208" xfId="0" applyFont="1" applyBorder="1"/>
    <xf numFmtId="0" fontId="2" fillId="0" borderId="295" xfId="0" applyFont="1" applyBorder="1"/>
    <xf numFmtId="171" fontId="2" fillId="0" borderId="59" xfId="0" applyNumberFormat="1" applyFont="1" applyBorder="1"/>
    <xf numFmtId="167" fontId="2" fillId="0" borderId="60" xfId="0" applyNumberFormat="1" applyFont="1" applyBorder="1"/>
    <xf numFmtId="0" fontId="8" fillId="14" borderId="43" xfId="0" applyFont="1" applyFill="1" applyBorder="1"/>
    <xf numFmtId="171" fontId="2" fillId="0" borderId="42" xfId="0" applyNumberFormat="1" applyFont="1" applyBorder="1"/>
    <xf numFmtId="0" fontId="8" fillId="0" borderId="61" xfId="0" applyFont="1" applyBorder="1"/>
    <xf numFmtId="171" fontId="2" fillId="0" borderId="62" xfId="0" applyNumberFormat="1" applyFont="1" applyBorder="1"/>
    <xf numFmtId="171" fontId="2" fillId="0" borderId="63" xfId="0" applyNumberFormat="1" applyFont="1" applyBorder="1"/>
    <xf numFmtId="0" fontId="8" fillId="0" borderId="26" xfId="0" applyFont="1" applyBorder="1"/>
    <xf numFmtId="167" fontId="2" fillId="0" borderId="296" xfId="0" applyNumberFormat="1" applyFont="1" applyBorder="1"/>
    <xf numFmtId="171" fontId="2" fillId="0" borderId="296" xfId="0" applyNumberFormat="1" applyFont="1" applyBorder="1"/>
    <xf numFmtId="0" fontId="8" fillId="14" borderId="204" xfId="0" applyFont="1" applyFill="1" applyBorder="1"/>
    <xf numFmtId="171" fontId="2" fillId="0" borderId="80" xfId="0" applyNumberFormat="1" applyFont="1" applyBorder="1"/>
    <xf numFmtId="167" fontId="2" fillId="0" borderId="206" xfId="0" applyNumberFormat="1" applyFont="1" applyBorder="1"/>
    <xf numFmtId="0" fontId="2" fillId="16" borderId="297" xfId="0" applyFont="1" applyFill="1" applyBorder="1"/>
    <xf numFmtId="0" fontId="2" fillId="16" borderId="279" xfId="0" applyFont="1" applyFill="1" applyBorder="1"/>
    <xf numFmtId="171" fontId="2" fillId="16" borderId="279" xfId="0" applyNumberFormat="1" applyFont="1" applyFill="1" applyBorder="1"/>
    <xf numFmtId="167" fontId="2" fillId="16" borderId="298" xfId="0" applyNumberFormat="1" applyFont="1" applyFill="1" applyBorder="1"/>
    <xf numFmtId="0" fontId="8" fillId="16" borderId="43" xfId="0" applyFont="1" applyFill="1" applyBorder="1"/>
    <xf numFmtId="0" fontId="2" fillId="16" borderId="40" xfId="0" applyFont="1" applyFill="1" applyBorder="1"/>
    <xf numFmtId="171" fontId="2" fillId="16" borderId="40" xfId="0" applyNumberFormat="1" applyFont="1" applyFill="1" applyBorder="1"/>
    <xf numFmtId="171" fontId="2" fillId="16" borderId="42" xfId="0" applyNumberFormat="1" applyFont="1" applyFill="1" applyBorder="1"/>
    <xf numFmtId="0" fontId="2" fillId="16" borderId="299" xfId="0" applyFont="1" applyFill="1" applyBorder="1"/>
    <xf numFmtId="0" fontId="2" fillId="16" borderId="205" xfId="0" applyFont="1" applyFill="1" applyBorder="1"/>
    <xf numFmtId="171" fontId="2" fillId="16" borderId="205" xfId="0" applyNumberFormat="1" applyFont="1" applyFill="1" applyBorder="1"/>
    <xf numFmtId="171" fontId="2" fillId="16" borderId="300" xfId="0" applyNumberFormat="1" applyFont="1" applyFill="1" applyBorder="1"/>
    <xf numFmtId="0" fontId="2" fillId="0" borderId="301" xfId="0" applyFont="1" applyBorder="1"/>
    <xf numFmtId="0" fontId="2" fillId="0" borderId="302" xfId="0" applyFont="1" applyBorder="1"/>
    <xf numFmtId="0" fontId="3" fillId="38" borderId="52" xfId="0" applyFont="1" applyFill="1" applyBorder="1"/>
    <xf numFmtId="0" fontId="3" fillId="9" borderId="52" xfId="0" applyFont="1" applyFill="1" applyBorder="1"/>
    <xf numFmtId="49" fontId="2" fillId="0" borderId="0" xfId="0" applyNumberFormat="1" applyFont="1"/>
    <xf numFmtId="49" fontId="2" fillId="0" borderId="0" xfId="0" applyNumberFormat="1" applyFont="1" applyAlignment="1">
      <alignment horizontal="center"/>
    </xf>
    <xf numFmtId="49" fontId="29" fillId="0" borderId="0" xfId="0" applyNumberFormat="1" applyFont="1" applyAlignment="1">
      <alignment horizontal="center"/>
    </xf>
    <xf numFmtId="0" fontId="8" fillId="0" borderId="44" xfId="0" applyFont="1" applyBorder="1" applyAlignment="1">
      <alignment horizontal="center"/>
    </xf>
    <xf numFmtId="0" fontId="8" fillId="0" borderId="277" xfId="0" applyFont="1" applyBorder="1" applyAlignment="1">
      <alignment horizontal="center"/>
    </xf>
    <xf numFmtId="0" fontId="8" fillId="0" borderId="277" xfId="0" applyFont="1" applyBorder="1" applyAlignment="1">
      <alignment horizontal="center" textRotation="90" shrinkToFit="1"/>
    </xf>
    <xf numFmtId="49" fontId="8" fillId="0" borderId="277" xfId="0" applyNumberFormat="1" applyFont="1" applyBorder="1" applyAlignment="1">
      <alignment horizontal="center" textRotation="90" shrinkToFit="1"/>
    </xf>
    <xf numFmtId="0" fontId="8" fillId="0" borderId="277" xfId="0" applyFont="1" applyBorder="1" applyAlignment="1">
      <alignment horizontal="center" textRotation="90" wrapText="1"/>
    </xf>
    <xf numFmtId="49" fontId="8" fillId="0" borderId="277" xfId="0" applyNumberFormat="1" applyFont="1" applyBorder="1" applyAlignment="1">
      <alignment horizontal="center" textRotation="90" wrapText="1"/>
    </xf>
    <xf numFmtId="0" fontId="8" fillId="0" borderId="277" xfId="0" applyFont="1" applyBorder="1" applyAlignment="1">
      <alignment horizontal="center" textRotation="90"/>
    </xf>
    <xf numFmtId="0" fontId="8" fillId="0" borderId="45" xfId="0" applyFont="1" applyBorder="1" applyAlignment="1">
      <alignment horizontal="center" textRotation="90" wrapText="1"/>
    </xf>
    <xf numFmtId="3" fontId="2" fillId="0" borderId="40" xfId="0" applyNumberFormat="1" applyFont="1" applyBorder="1" applyAlignment="1">
      <alignment horizontal="center"/>
    </xf>
    <xf numFmtId="49" fontId="2" fillId="0" borderId="40" xfId="0" applyNumberFormat="1" applyFont="1" applyBorder="1"/>
    <xf numFmtId="49" fontId="2" fillId="0" borderId="40" xfId="0" applyNumberFormat="1" applyFont="1" applyBorder="1" applyAlignment="1">
      <alignment horizontal="center"/>
    </xf>
    <xf numFmtId="3" fontId="2" fillId="0" borderId="47" xfId="0" applyNumberFormat="1" applyFont="1" applyBorder="1"/>
    <xf numFmtId="0" fontId="2" fillId="38" borderId="40" xfId="0" applyFont="1" applyFill="1" applyBorder="1"/>
    <xf numFmtId="169" fontId="2" fillId="38" borderId="40" xfId="0" applyNumberFormat="1" applyFont="1" applyFill="1" applyBorder="1"/>
    <xf numFmtId="3" fontId="2" fillId="38" borderId="40" xfId="0" applyNumberFormat="1" applyFont="1" applyFill="1" applyBorder="1"/>
    <xf numFmtId="3" fontId="2" fillId="38" borderId="40" xfId="0" applyNumberFormat="1" applyFont="1" applyFill="1" applyBorder="1" applyAlignment="1">
      <alignment horizontal="center"/>
    </xf>
    <xf numFmtId="0" fontId="2" fillId="38" borderId="40" xfId="0" applyFont="1" applyFill="1" applyBorder="1" applyAlignment="1">
      <alignment horizontal="center"/>
    </xf>
    <xf numFmtId="1" fontId="2" fillId="38" borderId="40" xfId="0" applyNumberFormat="1" applyFont="1" applyFill="1" applyBorder="1" applyAlignment="1">
      <alignment horizontal="center"/>
    </xf>
    <xf numFmtId="9" fontId="2" fillId="38" borderId="40" xfId="0" applyNumberFormat="1" applyFont="1" applyFill="1" applyBorder="1"/>
    <xf numFmtId="193" fontId="2" fillId="38" borderId="40" xfId="0" applyNumberFormat="1" applyFont="1" applyFill="1" applyBorder="1"/>
    <xf numFmtId="3" fontId="2" fillId="38" borderId="47" xfId="0" applyNumberFormat="1" applyFont="1" applyFill="1" applyBorder="1"/>
    <xf numFmtId="1" fontId="2" fillId="0" borderId="40" xfId="0" applyNumberFormat="1" applyFont="1" applyBorder="1" applyAlignment="1">
      <alignment horizontal="center"/>
    </xf>
    <xf numFmtId="10" fontId="2" fillId="38" borderId="40" xfId="0" applyNumberFormat="1" applyFont="1" applyFill="1" applyBorder="1"/>
    <xf numFmtId="3" fontId="2" fillId="0" borderId="3" xfId="0" applyNumberFormat="1" applyFont="1" applyBorder="1"/>
    <xf numFmtId="193" fontId="2" fillId="0" borderId="3" xfId="0" applyNumberFormat="1" applyFont="1" applyBorder="1"/>
    <xf numFmtId="3" fontId="2" fillId="0" borderId="3" xfId="0" applyNumberFormat="1" applyFont="1" applyBorder="1" applyAlignment="1">
      <alignment horizontal="right"/>
    </xf>
    <xf numFmtId="9" fontId="2" fillId="0" borderId="3" xfId="0" applyNumberFormat="1" applyFont="1" applyBorder="1" applyAlignment="1">
      <alignment horizontal="right"/>
    </xf>
    <xf numFmtId="3" fontId="2" fillId="0" borderId="273" xfId="0" applyNumberFormat="1" applyFont="1" applyBorder="1" applyAlignment="1">
      <alignment horizontal="right"/>
    </xf>
    <xf numFmtId="0" fontId="2" fillId="9" borderId="40" xfId="0" applyFont="1" applyFill="1" applyBorder="1"/>
    <xf numFmtId="171" fontId="2" fillId="9" borderId="40" xfId="0" applyNumberFormat="1" applyFont="1" applyFill="1" applyBorder="1"/>
    <xf numFmtId="3" fontId="2" fillId="9" borderId="40" xfId="0" applyNumberFormat="1" applyFont="1" applyFill="1" applyBorder="1"/>
    <xf numFmtId="3" fontId="2" fillId="9" borderId="40" xfId="0" applyNumberFormat="1" applyFont="1" applyFill="1" applyBorder="1" applyAlignment="1">
      <alignment horizontal="center"/>
    </xf>
    <xf numFmtId="0" fontId="2" fillId="9" borderId="40" xfId="0" applyFont="1" applyFill="1" applyBorder="1" applyAlignment="1">
      <alignment horizontal="center"/>
    </xf>
    <xf numFmtId="1" fontId="2" fillId="9" borderId="40" xfId="0" applyNumberFormat="1" applyFont="1" applyFill="1" applyBorder="1" applyAlignment="1">
      <alignment horizontal="center"/>
    </xf>
    <xf numFmtId="9" fontId="2" fillId="9" borderId="40" xfId="0" applyNumberFormat="1" applyFont="1" applyFill="1" applyBorder="1"/>
    <xf numFmtId="193" fontId="2" fillId="9" borderId="40" xfId="0" applyNumberFormat="1" applyFont="1" applyFill="1" applyBorder="1"/>
    <xf numFmtId="3" fontId="2" fillId="9" borderId="47" xfId="0" applyNumberFormat="1" applyFont="1" applyFill="1" applyBorder="1"/>
    <xf numFmtId="169" fontId="2" fillId="9" borderId="40" xfId="0" applyNumberFormat="1" applyFont="1" applyFill="1" applyBorder="1"/>
    <xf numFmtId="4" fontId="35" fillId="0" borderId="133" xfId="0" applyNumberFormat="1" applyFont="1" applyBorder="1"/>
    <xf numFmtId="3" fontId="8" fillId="0" borderId="189" xfId="0" applyNumberFormat="1" applyFont="1" applyBorder="1"/>
    <xf numFmtId="3" fontId="2" fillId="0" borderId="189" xfId="0" applyNumberFormat="1" applyFont="1" applyBorder="1"/>
    <xf numFmtId="193" fontId="2" fillId="0" borderId="189" xfId="0" applyNumberFormat="1" applyFont="1" applyBorder="1"/>
    <xf numFmtId="3" fontId="2" fillId="0" borderId="49" xfId="0" applyNumberFormat="1" applyFont="1" applyBorder="1"/>
    <xf numFmtId="179" fontId="2" fillId="0" borderId="0" xfId="0" applyNumberFormat="1" applyFont="1"/>
    <xf numFmtId="0" fontId="8" fillId="0" borderId="44" xfId="0" applyFont="1" applyBorder="1"/>
    <xf numFmtId="0" fontId="8" fillId="0" borderId="277" xfId="0" applyFont="1" applyBorder="1"/>
    <xf numFmtId="171" fontId="2" fillId="0" borderId="277" xfId="0" applyNumberFormat="1" applyFont="1" applyBorder="1"/>
    <xf numFmtId="3" fontId="2" fillId="0" borderId="277" xfId="0" applyNumberFormat="1" applyFont="1" applyBorder="1"/>
    <xf numFmtId="0" fontId="2" fillId="0" borderId="277" xfId="0" applyFont="1" applyBorder="1"/>
    <xf numFmtId="3" fontId="8" fillId="38" borderId="277" xfId="0" applyNumberFormat="1" applyFont="1" applyFill="1" applyBorder="1"/>
    <xf numFmtId="0" fontId="2" fillId="38" borderId="277" xfId="0" applyFont="1" applyFill="1" applyBorder="1"/>
    <xf numFmtId="3" fontId="2" fillId="38" borderId="277" xfId="0" applyNumberFormat="1" applyFont="1" applyFill="1" applyBorder="1"/>
    <xf numFmtId="0" fontId="2" fillId="39" borderId="277" xfId="0" applyFont="1" applyFill="1" applyBorder="1"/>
    <xf numFmtId="3" fontId="2" fillId="39" borderId="45" xfId="0" applyNumberFormat="1" applyFont="1" applyFill="1" applyBorder="1"/>
    <xf numFmtId="0" fontId="8" fillId="37" borderId="40" xfId="0" applyFont="1" applyFill="1" applyBorder="1"/>
    <xf numFmtId="167" fontId="8" fillId="37" borderId="40" xfId="0" applyNumberFormat="1" applyFont="1" applyFill="1" applyBorder="1"/>
    <xf numFmtId="167" fontId="2" fillId="38" borderId="40" xfId="0" applyNumberFormat="1" applyFont="1" applyFill="1" applyBorder="1"/>
    <xf numFmtId="0" fontId="8" fillId="39" borderId="40" xfId="0" applyFont="1" applyFill="1" applyBorder="1"/>
    <xf numFmtId="167" fontId="8" fillId="39" borderId="47" xfId="0" applyNumberFormat="1" applyFont="1" applyFill="1" applyBorder="1"/>
    <xf numFmtId="0" fontId="8" fillId="30" borderId="40" xfId="0" applyFont="1" applyFill="1" applyBorder="1"/>
    <xf numFmtId="167" fontId="8" fillId="30" borderId="40" xfId="0" applyNumberFormat="1" applyFont="1" applyFill="1" applyBorder="1"/>
    <xf numFmtId="167" fontId="8" fillId="0" borderId="47" xfId="0" applyNumberFormat="1" applyFont="1" applyBorder="1"/>
    <xf numFmtId="0" fontId="2" fillId="40" borderId="40" xfId="0" applyFont="1" applyFill="1" applyBorder="1"/>
    <xf numFmtId="167" fontId="8" fillId="40" borderId="40" xfId="0" applyNumberFormat="1" applyFont="1" applyFill="1" applyBorder="1"/>
    <xf numFmtId="167" fontId="8" fillId="0" borderId="40" xfId="0" applyNumberFormat="1" applyFont="1" applyBorder="1"/>
    <xf numFmtId="0" fontId="2" fillId="25" borderId="40" xfId="0" applyFont="1" applyFill="1" applyBorder="1"/>
    <xf numFmtId="0" fontId="8" fillId="25" borderId="40" xfId="0" applyFont="1" applyFill="1" applyBorder="1"/>
    <xf numFmtId="0" fontId="8" fillId="29" borderId="40" xfId="0" applyFont="1" applyFill="1" applyBorder="1"/>
    <xf numFmtId="167" fontId="8" fillId="29" borderId="47" xfId="0" applyNumberFormat="1" applyFont="1" applyFill="1" applyBorder="1"/>
    <xf numFmtId="0" fontId="8" fillId="42" borderId="40" xfId="0" applyFont="1" applyFill="1" applyBorder="1"/>
    <xf numFmtId="0" fontId="2" fillId="42" borderId="40" xfId="0" applyFont="1" applyFill="1" applyBorder="1"/>
    <xf numFmtId="167" fontId="8" fillId="42" borderId="47" xfId="0" applyNumberFormat="1" applyFont="1" applyFill="1" applyBorder="1"/>
    <xf numFmtId="0" fontId="36" fillId="0" borderId="40" xfId="0" applyFont="1" applyBorder="1"/>
    <xf numFmtId="0" fontId="37" fillId="0" borderId="40" xfId="0" applyFont="1" applyBorder="1"/>
    <xf numFmtId="167" fontId="36" fillId="0" borderId="47" xfId="0" applyNumberFormat="1" applyFont="1" applyBorder="1"/>
    <xf numFmtId="0" fontId="2" fillId="0" borderId="60" xfId="0" applyFont="1" applyBorder="1"/>
    <xf numFmtId="0" fontId="2" fillId="0" borderId="45" xfId="0" applyFont="1" applyBorder="1"/>
    <xf numFmtId="0" fontId="2" fillId="14" borderId="43" xfId="0" applyFont="1" applyFill="1" applyBorder="1"/>
    <xf numFmtId="0" fontId="8" fillId="14" borderId="46" xfId="0" applyFont="1" applyFill="1" applyBorder="1"/>
    <xf numFmtId="179" fontId="2" fillId="0" borderId="40" xfId="0" applyNumberFormat="1" applyFont="1" applyBorder="1"/>
    <xf numFmtId="0" fontId="2" fillId="14" borderId="42" xfId="0" applyFont="1" applyFill="1" applyBorder="1"/>
    <xf numFmtId="171" fontId="2" fillId="14" borderId="40" xfId="0" applyNumberFormat="1" applyFont="1" applyFill="1" applyBorder="1"/>
    <xf numFmtId="171" fontId="8" fillId="14" borderId="40" xfId="0" applyNumberFormat="1" applyFont="1" applyFill="1" applyBorder="1"/>
    <xf numFmtId="167" fontId="2" fillId="14" borderId="40" xfId="0" applyNumberFormat="1" applyFont="1" applyFill="1" applyBorder="1"/>
    <xf numFmtId="167" fontId="8" fillId="14" borderId="40" xfId="0" applyNumberFormat="1" applyFont="1" applyFill="1" applyBorder="1"/>
    <xf numFmtId="179" fontId="8" fillId="14" borderId="40" xfId="0" applyNumberFormat="1" applyFont="1" applyFill="1" applyBorder="1"/>
    <xf numFmtId="0" fontId="2" fillId="14" borderId="46" xfId="0" applyFont="1" applyFill="1" applyBorder="1"/>
    <xf numFmtId="0" fontId="2" fillId="37" borderId="43" xfId="0" applyFont="1" applyFill="1" applyBorder="1"/>
    <xf numFmtId="171" fontId="2" fillId="37" borderId="40" xfId="0" applyNumberFormat="1" applyFont="1" applyFill="1" applyBorder="1"/>
    <xf numFmtId="171" fontId="8" fillId="37" borderId="40" xfId="0" applyNumberFormat="1" applyFont="1" applyFill="1" applyBorder="1"/>
    <xf numFmtId="0" fontId="2" fillId="37" borderId="42" xfId="0" applyFont="1" applyFill="1" applyBorder="1"/>
    <xf numFmtId="182" fontId="2" fillId="37" borderId="40" xfId="0" applyNumberFormat="1" applyFont="1" applyFill="1" applyBorder="1"/>
    <xf numFmtId="11" fontId="2" fillId="37" borderId="40" xfId="0" applyNumberFormat="1" applyFont="1" applyFill="1" applyBorder="1"/>
    <xf numFmtId="2" fontId="8" fillId="37" borderId="40" xfId="0" applyNumberFormat="1" applyFont="1" applyFill="1" applyBorder="1"/>
    <xf numFmtId="179" fontId="2" fillId="37" borderId="40" xfId="0" applyNumberFormat="1" applyFont="1" applyFill="1" applyBorder="1"/>
    <xf numFmtId="0" fontId="2" fillId="37" borderId="46" xfId="0" applyFont="1" applyFill="1" applyBorder="1"/>
    <xf numFmtId="0" fontId="2" fillId="0" borderId="188" xfId="0" applyFont="1" applyBorder="1"/>
    <xf numFmtId="0" fontId="2" fillId="26" borderId="305" xfId="0" applyFont="1" applyFill="1" applyBorder="1"/>
    <xf numFmtId="0" fontId="2" fillId="26" borderId="52" xfId="0" applyFont="1" applyFill="1" applyBorder="1"/>
    <xf numFmtId="0" fontId="8" fillId="26" borderId="52" xfId="0" applyFont="1" applyFill="1" applyBorder="1"/>
    <xf numFmtId="0" fontId="2" fillId="26" borderId="306" xfId="0" applyFont="1" applyFill="1" applyBorder="1"/>
    <xf numFmtId="0" fontId="2" fillId="26" borderId="43" xfId="0" applyFont="1" applyFill="1" applyBorder="1"/>
    <xf numFmtId="171" fontId="2" fillId="26" borderId="40" xfId="0" applyNumberFormat="1" applyFont="1" applyFill="1" applyBorder="1"/>
    <xf numFmtId="171" fontId="8" fillId="26" borderId="40" xfId="0" applyNumberFormat="1" applyFont="1" applyFill="1" applyBorder="1"/>
    <xf numFmtId="0" fontId="2" fillId="26" borderId="42" xfId="0" applyFont="1" applyFill="1" applyBorder="1"/>
    <xf numFmtId="2" fontId="2" fillId="26" borderId="40" xfId="0" applyNumberFormat="1" applyFont="1" applyFill="1" applyBorder="1"/>
    <xf numFmtId="2" fontId="8" fillId="26" borderId="40" xfId="0" applyNumberFormat="1" applyFont="1" applyFill="1" applyBorder="1"/>
    <xf numFmtId="179" fontId="8" fillId="26" borderId="40" xfId="0" applyNumberFormat="1" applyFont="1" applyFill="1" applyBorder="1"/>
    <xf numFmtId="0" fontId="2" fillId="26" borderId="46" xfId="0" applyFont="1" applyFill="1" applyBorder="1"/>
    <xf numFmtId="0" fontId="2" fillId="0" borderId="307" xfId="0" applyFont="1" applyBorder="1"/>
    <xf numFmtId="0" fontId="2" fillId="0" borderId="100" xfId="0" applyFont="1" applyBorder="1"/>
    <xf numFmtId="0" fontId="2" fillId="0" borderId="202" xfId="0" applyFont="1" applyBorder="1"/>
    <xf numFmtId="184" fontId="8" fillId="0" borderId="0" xfId="0" applyNumberFormat="1" applyFont="1"/>
    <xf numFmtId="0" fontId="27" fillId="24" borderId="52" xfId="0" applyFont="1" applyFill="1" applyBorder="1"/>
    <xf numFmtId="0" fontId="2" fillId="24" borderId="52" xfId="0" applyFont="1" applyFill="1" applyBorder="1"/>
    <xf numFmtId="0" fontId="2" fillId="24" borderId="52" xfId="0" applyFont="1" applyFill="1" applyBorder="1" applyAlignment="1">
      <alignment horizontal="center"/>
    </xf>
    <xf numFmtId="0" fontId="2" fillId="0" borderId="0" xfId="0" applyFont="1" applyAlignment="1">
      <alignment horizontal="center" wrapText="1"/>
    </xf>
    <xf numFmtId="184" fontId="2" fillId="0" borderId="47" xfId="0" applyNumberFormat="1" applyFont="1" applyBorder="1"/>
    <xf numFmtId="0" fontId="2" fillId="0" borderId="3" xfId="0" applyFont="1" applyBorder="1"/>
    <xf numFmtId="184" fontId="8" fillId="0" borderId="47" xfId="0" applyNumberFormat="1" applyFont="1" applyBorder="1"/>
    <xf numFmtId="0" fontId="38" fillId="0" borderId="0" xfId="0" applyFont="1"/>
    <xf numFmtId="0" fontId="27" fillId="8" borderId="52" xfId="0" applyFont="1" applyFill="1" applyBorder="1"/>
    <xf numFmtId="0" fontId="2" fillId="8" borderId="52" xfId="0" applyFont="1" applyFill="1" applyBorder="1"/>
    <xf numFmtId="0" fontId="8" fillId="0" borderId="67" xfId="0" applyFont="1" applyBorder="1" applyAlignment="1">
      <alignment horizontal="left"/>
    </xf>
    <xf numFmtId="0" fontId="30" fillId="0" borderId="173" xfId="0" applyFont="1" applyBorder="1"/>
    <xf numFmtId="0" fontId="29" fillId="0" borderId="173" xfId="0" applyFont="1" applyBorder="1"/>
    <xf numFmtId="0" fontId="2" fillId="0" borderId="46" xfId="0" applyFont="1" applyBorder="1" applyAlignment="1">
      <alignment horizontal="left" vertical="top" wrapText="1"/>
    </xf>
    <xf numFmtId="180" fontId="27" fillId="0" borderId="47" xfId="0" applyNumberFormat="1" applyFont="1" applyBorder="1"/>
    <xf numFmtId="180" fontId="27" fillId="0" borderId="67" xfId="0" applyNumberFormat="1" applyFont="1" applyBorder="1"/>
    <xf numFmtId="180" fontId="27" fillId="0" borderId="173" xfId="0" applyNumberFormat="1" applyFont="1" applyBorder="1"/>
    <xf numFmtId="0" fontId="8" fillId="0" borderId="89" xfId="0" applyFont="1" applyBorder="1"/>
    <xf numFmtId="167" fontId="10" fillId="0" borderId="189" xfId="0" applyNumberFormat="1" applyFont="1" applyBorder="1"/>
    <xf numFmtId="180" fontId="10" fillId="0" borderId="49" xfId="0" applyNumberFormat="1" applyFont="1" applyBorder="1"/>
    <xf numFmtId="180" fontId="10" fillId="0" borderId="67" xfId="0" applyNumberFormat="1" applyFont="1" applyBorder="1"/>
    <xf numFmtId="0" fontId="27" fillId="7" borderId="52" xfId="0" applyFont="1" applyFill="1" applyBorder="1"/>
    <xf numFmtId="0" fontId="2" fillId="7" borderId="52" xfId="0" applyFont="1" applyFill="1" applyBorder="1" applyAlignment="1">
      <alignment horizontal="center"/>
    </xf>
    <xf numFmtId="0" fontId="2" fillId="7" borderId="52" xfId="0" applyFont="1" applyFill="1" applyBorder="1"/>
    <xf numFmtId="167" fontId="2" fillId="0" borderId="173" xfId="0" applyNumberFormat="1" applyFont="1" applyBorder="1"/>
    <xf numFmtId="168" fontId="2" fillId="0" borderId="41" xfId="0" applyNumberFormat="1" applyFont="1" applyBorder="1"/>
    <xf numFmtId="167" fontId="8" fillId="0" borderId="0" xfId="0" applyNumberFormat="1" applyFont="1" applyAlignment="1">
      <alignment horizontal="center"/>
    </xf>
    <xf numFmtId="0" fontId="8" fillId="0" borderId="107" xfId="0" applyFont="1" applyBorder="1"/>
    <xf numFmtId="0" fontId="8" fillId="0" borderId="30" xfId="0" applyFont="1" applyBorder="1" applyAlignment="1">
      <alignment horizontal="center"/>
    </xf>
    <xf numFmtId="0" fontId="8" fillId="0" borderId="36" xfId="0" applyFont="1" applyBorder="1"/>
    <xf numFmtId="0" fontId="8" fillId="0" borderId="33" xfId="0" applyFont="1" applyBorder="1" applyAlignment="1">
      <alignment horizontal="left"/>
    </xf>
    <xf numFmtId="0" fontId="2" fillId="0" borderId="35" xfId="0" applyFont="1" applyBorder="1" applyAlignment="1">
      <alignment horizontal="center"/>
    </xf>
    <xf numFmtId="178" fontId="2" fillId="0" borderId="79" xfId="0" applyNumberFormat="1" applyFont="1" applyBorder="1"/>
    <xf numFmtId="9" fontId="2" fillId="0" borderId="108" xfId="0" applyNumberFormat="1" applyFont="1" applyBorder="1" applyAlignment="1">
      <alignment horizontal="center"/>
    </xf>
    <xf numFmtId="185" fontId="2" fillId="0" borderId="32" xfId="0" applyNumberFormat="1" applyFont="1" applyBorder="1"/>
    <xf numFmtId="203" fontId="2" fillId="0" borderId="35" xfId="0" applyNumberFormat="1" applyFont="1" applyBorder="1"/>
    <xf numFmtId="185" fontId="2" fillId="0" borderId="35" xfId="0" applyNumberFormat="1" applyFont="1" applyBorder="1"/>
    <xf numFmtId="185" fontId="8" fillId="0" borderId="29" xfId="0" applyNumberFormat="1" applyFont="1" applyBorder="1"/>
    <xf numFmtId="0" fontId="8" fillId="0" borderId="308" xfId="0" applyFont="1" applyBorder="1"/>
    <xf numFmtId="0" fontId="2" fillId="0" borderId="309" xfId="0" applyFont="1" applyBorder="1"/>
    <xf numFmtId="0" fontId="8" fillId="0" borderId="214" xfId="0" applyFont="1" applyBorder="1"/>
    <xf numFmtId="0" fontId="8" fillId="0" borderId="275" xfId="0" applyFont="1" applyBorder="1"/>
    <xf numFmtId="182" fontId="8" fillId="0" borderId="173" xfId="0" applyNumberFormat="1" applyFont="1" applyBorder="1"/>
    <xf numFmtId="0" fontId="2" fillId="0" borderId="67" xfId="0" applyFont="1" applyBorder="1" applyAlignment="1">
      <alignment horizontal="left"/>
    </xf>
    <xf numFmtId="182" fontId="2" fillId="0" borderId="173" xfId="0" applyNumberFormat="1" applyFont="1" applyBorder="1"/>
    <xf numFmtId="0" fontId="2" fillId="0" borderId="0" xfId="0" applyFont="1" applyAlignment="1">
      <alignment horizontal="left" vertical="top" wrapText="1"/>
    </xf>
    <xf numFmtId="0" fontId="33" fillId="0" borderId="0" xfId="0" applyFont="1"/>
    <xf numFmtId="0" fontId="8" fillId="0" borderId="58" xfId="0" applyFont="1" applyBorder="1" applyAlignment="1">
      <alignment horizontal="left"/>
    </xf>
    <xf numFmtId="0" fontId="8" fillId="0" borderId="59" xfId="0" applyFont="1" applyBorder="1" applyAlignment="1">
      <alignment horizontal="center" wrapText="1"/>
    </xf>
    <xf numFmtId="0" fontId="8" fillId="0" borderId="60" xfId="0" applyFont="1" applyBorder="1" applyAlignment="1">
      <alignment horizontal="center" wrapText="1"/>
    </xf>
    <xf numFmtId="0" fontId="8" fillId="0" borderId="43" xfId="0" applyFont="1" applyBorder="1" applyAlignment="1">
      <alignment horizontal="left"/>
    </xf>
    <xf numFmtId="0" fontId="39" fillId="0" borderId="43" xfId="0" applyFont="1" applyBorder="1" applyAlignment="1">
      <alignment horizontal="left"/>
    </xf>
    <xf numFmtId="0" fontId="8" fillId="0" borderId="40" xfId="0" applyFont="1" applyBorder="1" applyAlignment="1">
      <alignment horizontal="left"/>
    </xf>
    <xf numFmtId="4" fontId="2" fillId="0" borderId="40" xfId="0" applyNumberFormat="1" applyFont="1" applyBorder="1" applyAlignment="1">
      <alignment horizontal="center"/>
    </xf>
    <xf numFmtId="4" fontId="2" fillId="0" borderId="40" xfId="0" applyNumberFormat="1" applyFont="1" applyBorder="1"/>
    <xf numFmtId="3" fontId="8" fillId="0" borderId="40" xfId="0" applyNumberFormat="1" applyFont="1" applyBorder="1" applyAlignment="1">
      <alignment horizontal="center" wrapText="1"/>
    </xf>
    <xf numFmtId="0" fontId="8" fillId="0" borderId="40" xfId="0" applyFont="1" applyBorder="1" applyAlignment="1">
      <alignment horizontal="center" wrapText="1"/>
    </xf>
    <xf numFmtId="170" fontId="2" fillId="0" borderId="40" xfId="0" applyNumberFormat="1" applyFont="1" applyBorder="1" applyAlignment="1">
      <alignment horizontal="center"/>
    </xf>
    <xf numFmtId="37" fontId="2" fillId="9" borderId="40" xfId="0" applyNumberFormat="1" applyFont="1" applyFill="1" applyBorder="1" applyAlignment="1">
      <alignment horizontal="center"/>
    </xf>
    <xf numFmtId="167" fontId="2" fillId="0" borderId="40" xfId="0" applyNumberFormat="1" applyFont="1" applyBorder="1" applyAlignment="1">
      <alignment horizontal="center"/>
    </xf>
    <xf numFmtId="170" fontId="8" fillId="0" borderId="40" xfId="0" applyNumberFormat="1" applyFont="1" applyBorder="1" applyAlignment="1">
      <alignment horizontal="center" wrapText="1"/>
    </xf>
    <xf numFmtId="0" fontId="8" fillId="0" borderId="42" xfId="0" applyFont="1" applyBorder="1" applyAlignment="1">
      <alignment horizontal="center" wrapText="1"/>
    </xf>
    <xf numFmtId="0" fontId="8" fillId="0" borderId="40" xfId="0" applyFont="1" applyBorder="1" applyAlignment="1">
      <alignment vertical="center"/>
    </xf>
    <xf numFmtId="167" fontId="8" fillId="0" borderId="40" xfId="0" applyNumberFormat="1" applyFont="1" applyBorder="1" applyAlignment="1">
      <alignment horizontal="center"/>
    </xf>
    <xf numFmtId="0" fontId="39" fillId="0" borderId="40" xfId="0" applyFont="1" applyBorder="1" applyAlignment="1">
      <alignment horizontal="left"/>
    </xf>
    <xf numFmtId="0" fontId="40" fillId="0" borderId="0" xfId="0" applyFont="1"/>
    <xf numFmtId="0" fontId="2" fillId="0" borderId="290" xfId="0" applyFont="1" applyBorder="1" applyAlignment="1">
      <alignment horizontal="left" vertical="top" wrapText="1"/>
    </xf>
    <xf numFmtId="0" fontId="8" fillId="0" borderId="279" xfId="0" applyFont="1" applyBorder="1" applyAlignment="1">
      <alignment horizontal="center" vertical="center" wrapText="1"/>
    </xf>
    <xf numFmtId="0" fontId="8" fillId="0" borderId="279" xfId="0" applyFont="1" applyBorder="1"/>
    <xf numFmtId="0" fontId="8" fillId="0" borderId="279" xfId="0" applyFont="1" applyBorder="1" applyAlignment="1">
      <alignment horizontal="center" wrapText="1"/>
    </xf>
    <xf numFmtId="0" fontId="2" fillId="0" borderId="279" xfId="0" applyFont="1" applyBorder="1" applyAlignment="1">
      <alignment vertical="center"/>
    </xf>
    <xf numFmtId="0" fontId="2" fillId="0" borderId="291" xfId="0" applyFont="1" applyBorder="1"/>
    <xf numFmtId="0" fontId="2" fillId="0" borderId="292" xfId="0" applyFont="1" applyBorder="1"/>
    <xf numFmtId="0" fontId="8" fillId="0" borderId="40" xfId="0" applyFont="1" applyBorder="1" applyAlignment="1">
      <alignment horizontal="center" vertical="center" wrapText="1"/>
    </xf>
    <xf numFmtId="10" fontId="2" fillId="0" borderId="40" xfId="0" applyNumberFormat="1" applyFont="1" applyBorder="1"/>
    <xf numFmtId="0" fontId="2" fillId="0" borderId="294" xfId="0" applyFont="1" applyBorder="1"/>
    <xf numFmtId="0" fontId="8" fillId="0" borderId="205" xfId="0" applyFont="1" applyBorder="1" applyAlignment="1">
      <alignment horizontal="center" vertical="center" wrapText="1"/>
    </xf>
    <xf numFmtId="10" fontId="2" fillId="0" borderId="205" xfId="0" applyNumberFormat="1" applyFont="1" applyBorder="1"/>
    <xf numFmtId="4" fontId="2" fillId="0" borderId="205" xfId="0" applyNumberFormat="1" applyFont="1" applyBorder="1"/>
    <xf numFmtId="0" fontId="8" fillId="0" borderId="7" xfId="0" applyFont="1" applyBorder="1"/>
    <xf numFmtId="0" fontId="8" fillId="0" borderId="108" xfId="0" applyFont="1" applyBorder="1"/>
    <xf numFmtId="184" fontId="2" fillId="0" borderId="37" xfId="0" applyNumberFormat="1" applyFont="1" applyBorder="1"/>
    <xf numFmtId="165" fontId="2" fillId="0" borderId="0" xfId="0" applyNumberFormat="1" applyFont="1"/>
    <xf numFmtId="178" fontId="2" fillId="0" borderId="0" xfId="0" applyNumberFormat="1" applyFont="1"/>
    <xf numFmtId="0" fontId="9" fillId="0" borderId="33" xfId="0" applyFont="1" applyBorder="1" applyAlignment="1">
      <alignment horizontal="left"/>
    </xf>
    <xf numFmtId="0" fontId="2" fillId="0" borderId="34" xfId="0" applyFont="1" applyBorder="1" applyAlignment="1">
      <alignment horizontal="left" vertical="top" wrapText="1"/>
    </xf>
    <xf numFmtId="167" fontId="2" fillId="0" borderId="29" xfId="0" applyNumberFormat="1" applyFont="1" applyBorder="1"/>
    <xf numFmtId="0" fontId="8" fillId="0" borderId="29" xfId="0" applyFont="1" applyBorder="1"/>
    <xf numFmtId="0" fontId="9" fillId="0" borderId="34" xfId="0" applyFont="1" applyBorder="1" applyAlignment="1">
      <alignment horizontal="left"/>
    </xf>
    <xf numFmtId="0" fontId="40" fillId="0" borderId="0" xfId="0" applyFont="1" applyAlignment="1">
      <alignment vertical="center"/>
    </xf>
    <xf numFmtId="0" fontId="8" fillId="0" borderId="229" xfId="0" applyFont="1" applyBorder="1" applyAlignment="1">
      <alignment horizontal="center" wrapText="1"/>
    </xf>
    <xf numFmtId="0" fontId="8" fillId="0" borderId="228" xfId="0" applyFont="1" applyBorder="1" applyAlignment="1">
      <alignment horizontal="center" wrapText="1"/>
    </xf>
    <xf numFmtId="0" fontId="8" fillId="0" borderId="229" xfId="0" applyFont="1" applyBorder="1" applyAlignment="1">
      <alignment horizontal="center"/>
    </xf>
    <xf numFmtId="1" fontId="8" fillId="0" borderId="0" xfId="0" applyNumberFormat="1" applyFont="1"/>
    <xf numFmtId="180" fontId="8" fillId="0" borderId="0" xfId="0" applyNumberFormat="1" applyFont="1"/>
    <xf numFmtId="10" fontId="8" fillId="0" borderId="0" xfId="0" applyNumberFormat="1" applyFont="1"/>
    <xf numFmtId="185" fontId="8" fillId="0" borderId="0" xfId="0" applyNumberFormat="1" applyFont="1"/>
    <xf numFmtId="169" fontId="8" fillId="0" borderId="228" xfId="0" applyNumberFormat="1" applyFont="1" applyBorder="1"/>
    <xf numFmtId="0" fontId="10" fillId="14" borderId="250" xfId="0" applyFont="1" applyFill="1" applyBorder="1" applyAlignment="1">
      <alignment vertical="center"/>
    </xf>
    <xf numFmtId="0" fontId="2" fillId="14" borderId="251" xfId="0" applyFont="1" applyFill="1" applyBorder="1"/>
    <xf numFmtId="9" fontId="8" fillId="0" borderId="0" xfId="0" applyNumberFormat="1" applyFont="1"/>
    <xf numFmtId="179" fontId="8" fillId="0" borderId="0" xfId="0" applyNumberFormat="1" applyFont="1"/>
    <xf numFmtId="204" fontId="8" fillId="0" borderId="0" xfId="0" applyNumberFormat="1" applyFont="1"/>
    <xf numFmtId="2" fontId="8" fillId="0" borderId="0" xfId="0" applyNumberFormat="1" applyFont="1"/>
    <xf numFmtId="0" fontId="8" fillId="0" borderId="228" xfId="0" applyFont="1" applyBorder="1"/>
    <xf numFmtId="0" fontId="2" fillId="0" borderId="0" xfId="0" applyFont="1" applyAlignment="1">
      <alignment horizontal="center" vertical="top" wrapText="1"/>
    </xf>
    <xf numFmtId="0" fontId="2" fillId="0" borderId="0" xfId="0" applyFont="1" applyAlignment="1">
      <alignment horizontal="center" vertical="top"/>
    </xf>
    <xf numFmtId="0" fontId="2" fillId="0" borderId="228" xfId="0" applyFont="1" applyBorder="1" applyAlignment="1">
      <alignment horizontal="center" vertical="top"/>
    </xf>
    <xf numFmtId="169" fontId="8" fillId="0" borderId="0" xfId="0" applyNumberFormat="1" applyFont="1" applyAlignment="1">
      <alignment horizontal="center"/>
    </xf>
    <xf numFmtId="187" fontId="8" fillId="0" borderId="228" xfId="0" applyNumberFormat="1" applyFont="1" applyBorder="1"/>
    <xf numFmtId="0" fontId="8" fillId="0" borderId="248" xfId="0" applyFont="1" applyBorder="1" applyAlignment="1">
      <alignment horizontal="center"/>
    </xf>
    <xf numFmtId="167" fontId="8" fillId="0" borderId="164" xfId="0" applyNumberFormat="1" applyFont="1" applyBorder="1"/>
    <xf numFmtId="0" fontId="8" fillId="0" borderId="164" xfId="0" applyFont="1" applyBorder="1" applyAlignment="1">
      <alignment horizontal="center"/>
    </xf>
    <xf numFmtId="171" fontId="8" fillId="0" borderId="164" xfId="0" applyNumberFormat="1" applyFont="1" applyBorder="1"/>
    <xf numFmtId="9" fontId="8" fillId="0" borderId="164" xfId="0" applyNumberFormat="1" applyFont="1" applyBorder="1"/>
    <xf numFmtId="2" fontId="8" fillId="0" borderId="164" xfId="0" applyNumberFormat="1" applyFont="1" applyBorder="1"/>
    <xf numFmtId="180" fontId="8" fillId="0" borderId="164" xfId="0" applyNumberFormat="1" applyFont="1" applyBorder="1"/>
    <xf numFmtId="167" fontId="8" fillId="0" borderId="164" xfId="0" applyNumberFormat="1" applyFont="1" applyBorder="1" applyAlignment="1">
      <alignment horizontal="center"/>
    </xf>
    <xf numFmtId="169" fontId="8" fillId="0" borderId="164" xfId="0" applyNumberFormat="1" applyFont="1" applyBorder="1"/>
    <xf numFmtId="185" fontId="8" fillId="0" borderId="164" xfId="0" applyNumberFormat="1" applyFont="1" applyBorder="1"/>
    <xf numFmtId="169" fontId="8" fillId="0" borderId="164" xfId="0" applyNumberFormat="1" applyFont="1" applyBorder="1" applyAlignment="1">
      <alignment horizontal="center"/>
    </xf>
    <xf numFmtId="187" fontId="8" fillId="0" borderId="249" xfId="0" applyNumberFormat="1" applyFont="1" applyBorder="1"/>
    <xf numFmtId="0" fontId="2" fillId="0" borderId="228" xfId="0" applyFont="1" applyBorder="1" applyAlignment="1">
      <alignment horizontal="center"/>
    </xf>
    <xf numFmtId="170" fontId="8" fillId="0" borderId="0" xfId="0" applyNumberFormat="1" applyFont="1"/>
    <xf numFmtId="167" fontId="8" fillId="0" borderId="0" xfId="0" applyNumberFormat="1" applyFont="1" applyAlignment="1">
      <alignment horizontal="left"/>
    </xf>
    <xf numFmtId="0" fontId="8" fillId="0" borderId="0" xfId="0" applyFont="1" applyAlignment="1">
      <alignment horizontal="right"/>
    </xf>
    <xf numFmtId="164" fontId="8" fillId="0" borderId="228" xfId="0" applyNumberFormat="1" applyFont="1" applyBorder="1"/>
    <xf numFmtId="0" fontId="8" fillId="0" borderId="35" xfId="0" applyFont="1" applyBorder="1"/>
    <xf numFmtId="187" fontId="27" fillId="0" borderId="0" xfId="0" applyNumberFormat="1" applyFont="1"/>
    <xf numFmtId="0" fontId="9" fillId="0" borderId="0" xfId="0" applyFont="1" applyAlignment="1">
      <alignment horizontal="left"/>
    </xf>
    <xf numFmtId="187" fontId="8" fillId="0" borderId="107" xfId="0" applyNumberFormat="1" applyFont="1" applyBorder="1"/>
    <xf numFmtId="205" fontId="2" fillId="0" borderId="0" xfId="0" applyNumberFormat="1" applyFont="1"/>
    <xf numFmtId="0" fontId="2" fillId="24" borderId="58" xfId="0" applyFont="1" applyFill="1" applyBorder="1"/>
    <xf numFmtId="0" fontId="2" fillId="24" borderId="59" xfId="0" applyFont="1" applyFill="1" applyBorder="1"/>
    <xf numFmtId="0" fontId="2" fillId="24" borderId="60" xfId="0" applyFont="1" applyFill="1" applyBorder="1"/>
    <xf numFmtId="0" fontId="8" fillId="14" borderId="40" xfId="0" applyFont="1" applyFill="1" applyBorder="1" applyAlignment="1">
      <alignment horizontal="center" wrapText="1"/>
    </xf>
    <xf numFmtId="0" fontId="8" fillId="14" borderId="40" xfId="0" applyFont="1" applyFill="1" applyBorder="1"/>
    <xf numFmtId="0" fontId="8" fillId="14" borderId="42" xfId="0" applyFont="1" applyFill="1" applyBorder="1" applyAlignment="1">
      <alignment horizontal="center" wrapText="1"/>
    </xf>
    <xf numFmtId="176" fontId="2" fillId="24" borderId="40" xfId="0" applyNumberFormat="1" applyFont="1" applyFill="1" applyBorder="1" applyAlignment="1">
      <alignment horizontal="center"/>
    </xf>
    <xf numFmtId="176" fontId="2" fillId="37" borderId="40" xfId="0" applyNumberFormat="1" applyFont="1" applyFill="1" applyBorder="1" applyAlignment="1">
      <alignment horizontal="center"/>
    </xf>
    <xf numFmtId="176" fontId="2" fillId="0" borderId="40" xfId="0" applyNumberFormat="1" applyFont="1" applyBorder="1" applyAlignment="1">
      <alignment horizontal="center"/>
    </xf>
    <xf numFmtId="0" fontId="8" fillId="14" borderId="61" xfId="0" applyFont="1" applyFill="1" applyBorder="1"/>
    <xf numFmtId="0" fontId="2" fillId="14" borderId="62" xfId="0" applyFont="1" applyFill="1" applyBorder="1" applyAlignment="1">
      <alignment horizontal="center"/>
    </xf>
    <xf numFmtId="167" fontId="8" fillId="14" borderId="62" xfId="0" applyNumberFormat="1" applyFont="1" applyFill="1" applyBorder="1"/>
    <xf numFmtId="0" fontId="8" fillId="14" borderId="62" xfId="0" applyFont="1" applyFill="1" applyBorder="1" applyAlignment="1">
      <alignment horizontal="center"/>
    </xf>
    <xf numFmtId="168" fontId="8" fillId="14" borderId="62" xfId="0" applyNumberFormat="1" applyFont="1" applyFill="1" applyBorder="1"/>
    <xf numFmtId="169" fontId="8" fillId="14" borderId="62" xfId="0" applyNumberFormat="1" applyFont="1" applyFill="1" applyBorder="1"/>
    <xf numFmtId="0" fontId="2" fillId="14" borderId="62" xfId="0" applyFont="1" applyFill="1" applyBorder="1"/>
    <xf numFmtId="169" fontId="8" fillId="14" borderId="63" xfId="0" applyNumberFormat="1" applyFont="1" applyFill="1" applyBorder="1"/>
    <xf numFmtId="167" fontId="8" fillId="0" borderId="35" xfId="0" applyNumberFormat="1" applyFont="1" applyBorder="1"/>
    <xf numFmtId="168" fontId="8" fillId="0" borderId="35" xfId="0" applyNumberFormat="1" applyFont="1" applyBorder="1"/>
    <xf numFmtId="169" fontId="8" fillId="0" borderId="35" xfId="0" applyNumberFormat="1" applyFont="1" applyBorder="1"/>
    <xf numFmtId="0" fontId="2" fillId="24" borderId="59" xfId="0" applyFont="1" applyFill="1" applyBorder="1" applyAlignment="1">
      <alignment horizontal="center"/>
    </xf>
    <xf numFmtId="167" fontId="8" fillId="24" borderId="59" xfId="0" applyNumberFormat="1" applyFont="1" applyFill="1" applyBorder="1"/>
    <xf numFmtId="0" fontId="8" fillId="24" borderId="59" xfId="0" applyFont="1" applyFill="1" applyBorder="1" applyAlignment="1">
      <alignment horizontal="center"/>
    </xf>
    <xf numFmtId="168" fontId="8" fillId="24" borderId="59" xfId="0" applyNumberFormat="1" applyFont="1" applyFill="1" applyBorder="1"/>
    <xf numFmtId="169" fontId="8" fillId="24" borderId="59" xfId="0" applyNumberFormat="1" applyFont="1" applyFill="1" applyBorder="1"/>
    <xf numFmtId="0" fontId="8" fillId="14" borderId="62" xfId="0" applyFont="1" applyFill="1" applyBorder="1" applyAlignment="1">
      <alignment horizontal="center" vertical="center" wrapText="1"/>
    </xf>
    <xf numFmtId="0" fontId="8" fillId="14" borderId="62" xfId="0" applyFont="1" applyFill="1" applyBorder="1" applyAlignment="1">
      <alignment vertical="center"/>
    </xf>
    <xf numFmtId="0" fontId="8" fillId="14" borderId="62" xfId="0" applyFont="1" applyFill="1" applyBorder="1" applyAlignment="1">
      <alignment horizontal="center" wrapText="1"/>
    </xf>
    <xf numFmtId="0" fontId="8" fillId="14" borderId="63" xfId="0" applyFont="1" applyFill="1" applyBorder="1" applyAlignment="1">
      <alignment horizontal="center" vertical="center" wrapText="1"/>
    </xf>
    <xf numFmtId="0" fontId="8" fillId="0" borderId="28" xfId="0" applyFont="1" applyBorder="1"/>
    <xf numFmtId="0" fontId="8" fillId="0" borderId="41" xfId="0" applyFont="1" applyBorder="1" applyAlignment="1">
      <alignment horizontal="center" vertical="center" wrapText="1"/>
    </xf>
    <xf numFmtId="0" fontId="2" fillId="0" borderId="41" xfId="0" applyFont="1" applyBorder="1" applyAlignment="1">
      <alignment vertical="center"/>
    </xf>
    <xf numFmtId="0" fontId="2" fillId="0" borderId="41" xfId="0" applyFont="1" applyBorder="1" applyAlignment="1">
      <alignment horizontal="center" vertical="center"/>
    </xf>
    <xf numFmtId="0" fontId="2" fillId="0" borderId="41" xfId="0" applyFont="1" applyBorder="1" applyAlignment="1">
      <alignment horizontal="center"/>
    </xf>
    <xf numFmtId="169" fontId="30" fillId="0" borderId="41" xfId="0" applyNumberFormat="1" applyFont="1" applyBorder="1" applyAlignment="1">
      <alignment horizontal="center" vertical="center" wrapText="1"/>
    </xf>
    <xf numFmtId="0" fontId="2" fillId="0" borderId="41" xfId="0" applyFont="1" applyBorder="1" applyAlignment="1">
      <alignment horizontal="center" vertical="center" wrapText="1"/>
    </xf>
    <xf numFmtId="0" fontId="8" fillId="0" borderId="313" xfId="0" applyFont="1" applyBorder="1" applyAlignment="1">
      <alignment horizontal="center" vertical="center" wrapText="1"/>
    </xf>
    <xf numFmtId="0" fontId="2" fillId="0" borderId="40" xfId="0" applyFont="1" applyBorder="1" applyAlignment="1">
      <alignment horizontal="center" vertical="center"/>
    </xf>
    <xf numFmtId="169" fontId="2" fillId="0" borderId="40" xfId="0" applyNumberFormat="1" applyFont="1" applyBorder="1" applyAlignment="1">
      <alignment horizontal="center" vertical="center"/>
    </xf>
    <xf numFmtId="169" fontId="2" fillId="0" borderId="40" xfId="0" applyNumberFormat="1" applyFont="1" applyBorder="1" applyAlignment="1">
      <alignment horizontal="right"/>
    </xf>
    <xf numFmtId="169" fontId="2" fillId="0" borderId="42" xfId="0" applyNumberFormat="1" applyFont="1" applyBorder="1" applyAlignment="1">
      <alignment horizontal="right"/>
    </xf>
    <xf numFmtId="3" fontId="2" fillId="24" borderId="40" xfId="0" applyNumberFormat="1" applyFont="1" applyFill="1" applyBorder="1" applyAlignment="1">
      <alignment horizontal="center"/>
    </xf>
    <xf numFmtId="193" fontId="2" fillId="0" borderId="40" xfId="0" applyNumberFormat="1" applyFont="1" applyBorder="1" applyAlignment="1">
      <alignment horizontal="center"/>
    </xf>
    <xf numFmtId="169" fontId="2" fillId="0" borderId="40" xfId="0" applyNumberFormat="1" applyFont="1" applyBorder="1" applyAlignment="1">
      <alignment horizontal="center"/>
    </xf>
    <xf numFmtId="3" fontId="33" fillId="24" borderId="40" xfId="0" applyNumberFormat="1" applyFont="1" applyFill="1" applyBorder="1" applyAlignment="1">
      <alignment horizontal="center"/>
    </xf>
    <xf numFmtId="0" fontId="33" fillId="2" borderId="40" xfId="0" applyFont="1" applyFill="1" applyBorder="1" applyAlignment="1">
      <alignment horizontal="center"/>
    </xf>
    <xf numFmtId="3" fontId="33" fillId="2" borderId="40" xfId="0" applyNumberFormat="1" applyFont="1" applyFill="1" applyBorder="1" applyAlignment="1">
      <alignment horizontal="center"/>
    </xf>
    <xf numFmtId="167" fontId="33" fillId="2" borderId="40" xfId="0" applyNumberFormat="1" applyFont="1" applyFill="1" applyBorder="1" applyAlignment="1">
      <alignment horizontal="center"/>
    </xf>
    <xf numFmtId="2" fontId="33" fillId="2" borderId="40" xfId="0" applyNumberFormat="1" applyFont="1" applyFill="1" applyBorder="1" applyAlignment="1">
      <alignment horizontal="center"/>
    </xf>
    <xf numFmtId="169" fontId="33" fillId="2" borderId="40" xfId="0" applyNumberFormat="1" applyFont="1" applyFill="1" applyBorder="1" applyAlignment="1">
      <alignment horizontal="center" vertical="center"/>
    </xf>
    <xf numFmtId="169" fontId="33" fillId="2" borderId="40" xfId="0" applyNumberFormat="1" applyFont="1" applyFill="1" applyBorder="1" applyAlignment="1">
      <alignment horizontal="right"/>
    </xf>
    <xf numFmtId="169" fontId="33" fillId="2" borderId="42" xfId="0" applyNumberFormat="1" applyFont="1" applyFill="1" applyBorder="1" applyAlignment="1">
      <alignment horizontal="right"/>
    </xf>
    <xf numFmtId="167" fontId="8" fillId="14" borderId="62" xfId="0" applyNumberFormat="1" applyFont="1" applyFill="1" applyBorder="1" applyAlignment="1">
      <alignment horizontal="center"/>
    </xf>
    <xf numFmtId="169" fontId="8" fillId="14" borderId="62" xfId="0" applyNumberFormat="1" applyFont="1" applyFill="1" applyBorder="1" applyAlignment="1">
      <alignment horizontal="right"/>
    </xf>
    <xf numFmtId="169" fontId="8" fillId="14" borderId="63" xfId="0" applyNumberFormat="1" applyFont="1" applyFill="1" applyBorder="1" applyAlignment="1">
      <alignment horizontal="right"/>
    </xf>
    <xf numFmtId="169" fontId="8" fillId="0" borderId="0" xfId="0" applyNumberFormat="1" applyFont="1" applyAlignment="1">
      <alignment horizontal="right"/>
    </xf>
    <xf numFmtId="176" fontId="8" fillId="14" borderId="40" xfId="0" applyNumberFormat="1" applyFont="1" applyFill="1" applyBorder="1" applyAlignment="1">
      <alignment horizontal="center" wrapText="1"/>
    </xf>
    <xf numFmtId="0" fontId="8" fillId="14" borderId="40" xfId="0" applyFont="1" applyFill="1" applyBorder="1" applyAlignment="1">
      <alignment vertical="center"/>
    </xf>
    <xf numFmtId="0" fontId="8" fillId="14" borderId="40" xfId="0" applyFont="1" applyFill="1" applyBorder="1" applyAlignment="1">
      <alignment horizontal="center"/>
    </xf>
    <xf numFmtId="176" fontId="8" fillId="0" borderId="40" xfId="0" applyNumberFormat="1" applyFont="1" applyBorder="1" applyAlignment="1">
      <alignment horizontal="center" vertical="center" wrapText="1"/>
    </xf>
    <xf numFmtId="0" fontId="2" fillId="0" borderId="40" xfId="0" applyFont="1" applyBorder="1" applyAlignment="1">
      <alignment vertical="center"/>
    </xf>
    <xf numFmtId="184" fontId="2" fillId="0" borderId="40" xfId="0" applyNumberFormat="1" applyFont="1" applyBorder="1" applyAlignment="1">
      <alignment horizontal="center"/>
    </xf>
    <xf numFmtId="184" fontId="2" fillId="0" borderId="42" xfId="0" applyNumberFormat="1" applyFont="1" applyBorder="1" applyAlignment="1">
      <alignment horizontal="center"/>
    </xf>
    <xf numFmtId="167" fontId="2" fillId="0" borderId="42" xfId="0" applyNumberFormat="1" applyFont="1" applyBorder="1" applyAlignment="1">
      <alignment horizontal="center"/>
    </xf>
    <xf numFmtId="176" fontId="33" fillId="2" borderId="40" xfId="0" applyNumberFormat="1" applyFont="1" applyFill="1" applyBorder="1" applyAlignment="1">
      <alignment horizontal="center"/>
    </xf>
    <xf numFmtId="0" fontId="33" fillId="2" borderId="40" xfId="0" applyFont="1" applyFill="1" applyBorder="1"/>
    <xf numFmtId="167" fontId="33" fillId="2" borderId="40" xfId="0" applyNumberFormat="1" applyFont="1" applyFill="1" applyBorder="1"/>
    <xf numFmtId="167" fontId="33" fillId="2" borderId="42" xfId="0" applyNumberFormat="1" applyFont="1" applyFill="1" applyBorder="1" applyAlignment="1">
      <alignment horizontal="center"/>
    </xf>
    <xf numFmtId="3" fontId="2" fillId="14" borderId="40" xfId="0" applyNumberFormat="1" applyFont="1" applyFill="1" applyBorder="1" applyAlignment="1">
      <alignment horizontal="center"/>
    </xf>
    <xf numFmtId="167" fontId="8" fillId="14" borderId="40" xfId="0" applyNumberFormat="1" applyFont="1" applyFill="1" applyBorder="1" applyAlignment="1">
      <alignment horizontal="center"/>
    </xf>
    <xf numFmtId="167" fontId="2" fillId="14" borderId="40" xfId="0" applyNumberFormat="1" applyFont="1" applyFill="1" applyBorder="1" applyAlignment="1">
      <alignment horizontal="center"/>
    </xf>
    <xf numFmtId="184" fontId="8" fillId="14" borderId="40" xfId="0" applyNumberFormat="1" applyFont="1" applyFill="1" applyBorder="1" applyAlignment="1">
      <alignment horizontal="center"/>
    </xf>
    <xf numFmtId="184" fontId="8" fillId="14" borderId="42" xfId="0" applyNumberFormat="1" applyFont="1" applyFill="1" applyBorder="1" applyAlignment="1">
      <alignment horizontal="center"/>
    </xf>
    <xf numFmtId="0" fontId="2" fillId="0" borderId="62" xfId="0" applyFont="1" applyBorder="1" applyAlignment="1">
      <alignment horizontal="center"/>
    </xf>
    <xf numFmtId="167" fontId="8" fillId="0" borderId="62" xfId="0" applyNumberFormat="1" applyFont="1" applyBorder="1"/>
    <xf numFmtId="168" fontId="8" fillId="0" borderId="62" xfId="0" applyNumberFormat="1" applyFont="1" applyBorder="1"/>
    <xf numFmtId="169" fontId="8" fillId="0" borderId="62" xfId="0" applyNumberFormat="1" applyFont="1" applyBorder="1"/>
    <xf numFmtId="0" fontId="2" fillId="24" borderId="199" xfId="0" applyFont="1" applyFill="1" applyBorder="1" applyAlignment="1">
      <alignment horizontal="left"/>
    </xf>
    <xf numFmtId="0" fontId="2" fillId="24" borderId="174" xfId="0" applyFont="1" applyFill="1" applyBorder="1" applyAlignment="1">
      <alignment horizontal="center"/>
    </xf>
    <xf numFmtId="0" fontId="2" fillId="24" borderId="196" xfId="0" applyFont="1" applyFill="1" applyBorder="1" applyAlignment="1">
      <alignment horizontal="center"/>
    </xf>
    <xf numFmtId="167" fontId="8" fillId="24" borderId="174" xfId="0" applyNumberFormat="1" applyFont="1" applyFill="1" applyBorder="1"/>
    <xf numFmtId="0" fontId="8" fillId="24" borderId="174" xfId="0" applyFont="1" applyFill="1" applyBorder="1" applyAlignment="1">
      <alignment horizontal="center"/>
    </xf>
    <xf numFmtId="168" fontId="8" fillId="24" borderId="174" xfId="0" applyNumberFormat="1" applyFont="1" applyFill="1" applyBorder="1"/>
    <xf numFmtId="169" fontId="8" fillId="24" borderId="174" xfId="0" applyNumberFormat="1" applyFont="1" applyFill="1" applyBorder="1"/>
    <xf numFmtId="0" fontId="2" fillId="24" borderId="174" xfId="0" applyFont="1" applyFill="1" applyBorder="1"/>
    <xf numFmtId="0" fontId="2" fillId="24" borderId="196" xfId="0" applyFont="1" applyFill="1" applyBorder="1"/>
    <xf numFmtId="179" fontId="2" fillId="0" borderId="35" xfId="0" applyNumberFormat="1" applyFont="1" applyBorder="1"/>
    <xf numFmtId="0" fontId="30" fillId="14" borderId="204" xfId="0" applyFont="1" applyFill="1" applyBorder="1" applyAlignment="1">
      <alignment wrapText="1"/>
    </xf>
    <xf numFmtId="0" fontId="8" fillId="14" borderId="80" xfId="0" applyFont="1" applyFill="1" applyBorder="1" applyAlignment="1">
      <alignment horizontal="center" wrapText="1"/>
    </xf>
    <xf numFmtId="0" fontId="8" fillId="14" borderId="80" xfId="0" applyFont="1" applyFill="1" applyBorder="1"/>
    <xf numFmtId="0" fontId="8" fillId="14" borderId="80" xfId="0" applyFont="1" applyFill="1" applyBorder="1" applyAlignment="1">
      <alignment horizontal="center"/>
    </xf>
    <xf numFmtId="0" fontId="2" fillId="14" borderId="80" xfId="0" applyFont="1" applyFill="1" applyBorder="1" applyAlignment="1">
      <alignment horizontal="center"/>
    </xf>
    <xf numFmtId="179" fontId="8" fillId="14" borderId="80" xfId="0" applyNumberFormat="1" applyFont="1" applyFill="1" applyBorder="1" applyAlignment="1">
      <alignment horizontal="center" wrapText="1"/>
    </xf>
    <xf numFmtId="0" fontId="8" fillId="14" borderId="206" xfId="0" applyFont="1" applyFill="1" applyBorder="1" applyAlignment="1">
      <alignment horizontal="center" wrapText="1"/>
    </xf>
    <xf numFmtId="0" fontId="2" fillId="0" borderId="58" xfId="0" applyFont="1" applyBorder="1" applyAlignment="1">
      <alignment vertical="center" wrapText="1"/>
    </xf>
    <xf numFmtId="0" fontId="2" fillId="0" borderId="59" xfId="0" applyFont="1" applyBorder="1" applyAlignment="1">
      <alignment horizontal="left" wrapText="1"/>
    </xf>
    <xf numFmtId="167" fontId="2" fillId="34" borderId="59" xfId="0" applyNumberFormat="1" applyFont="1" applyFill="1" applyBorder="1" applyAlignment="1">
      <alignment horizontal="center" vertical="center" wrapText="1"/>
    </xf>
    <xf numFmtId="0" fontId="8" fillId="0" borderId="59" xfId="0" applyFont="1" applyBorder="1" applyAlignment="1">
      <alignment wrapText="1"/>
    </xf>
    <xf numFmtId="168" fontId="2" fillId="0" borderId="59" xfId="0" applyNumberFormat="1" applyFont="1" applyBorder="1"/>
    <xf numFmtId="167" fontId="2" fillId="0" borderId="59" xfId="0" applyNumberFormat="1" applyFont="1" applyBorder="1" applyAlignment="1">
      <alignment horizontal="center"/>
    </xf>
    <xf numFmtId="167" fontId="8" fillId="0" borderId="59" xfId="0" applyNumberFormat="1" applyFont="1" applyBorder="1" applyAlignment="1">
      <alignment horizontal="center" wrapText="1"/>
    </xf>
    <xf numFmtId="0" fontId="8" fillId="14" borderId="59" xfId="0" applyFont="1" applyFill="1" applyBorder="1" applyAlignment="1">
      <alignment horizontal="right"/>
    </xf>
    <xf numFmtId="179" fontId="8" fillId="0" borderId="59" xfId="0" applyNumberFormat="1" applyFont="1" applyBorder="1" applyAlignment="1">
      <alignment horizontal="center"/>
    </xf>
    <xf numFmtId="182" fontId="8" fillId="0" borderId="59" xfId="0" applyNumberFormat="1" applyFont="1" applyBorder="1" applyAlignment="1">
      <alignment horizontal="center"/>
    </xf>
    <xf numFmtId="182" fontId="8" fillId="14" borderId="60" xfId="0" applyNumberFormat="1" applyFont="1" applyFill="1" applyBorder="1" applyAlignment="1">
      <alignment horizontal="center"/>
    </xf>
    <xf numFmtId="0" fontId="2" fillId="0" borderId="40" xfId="0" applyFont="1" applyBorder="1" applyAlignment="1">
      <alignment horizontal="left" wrapText="1"/>
    </xf>
    <xf numFmtId="167" fontId="2" fillId="34" borderId="40" xfId="0" applyNumberFormat="1" applyFont="1" applyFill="1" applyBorder="1" applyAlignment="1">
      <alignment horizontal="center" vertical="center"/>
    </xf>
    <xf numFmtId="0" fontId="8" fillId="14" borderId="40" xfId="0" applyFont="1" applyFill="1" applyBorder="1" applyAlignment="1">
      <alignment horizontal="right"/>
    </xf>
    <xf numFmtId="179" fontId="8" fillId="0" borderId="40" xfId="0" applyNumberFormat="1" applyFont="1" applyBorder="1" applyAlignment="1">
      <alignment horizontal="center"/>
    </xf>
    <xf numFmtId="182" fontId="8" fillId="14" borderId="42" xfId="0" applyNumberFormat="1" applyFont="1" applyFill="1" applyBorder="1" applyAlignment="1">
      <alignment horizontal="center"/>
    </xf>
    <xf numFmtId="167" fontId="2" fillId="34" borderId="40" xfId="0" applyNumberFormat="1" applyFont="1" applyFill="1" applyBorder="1" applyAlignment="1">
      <alignment horizontal="center" vertical="center" wrapText="1"/>
    </xf>
    <xf numFmtId="0" fontId="2" fillId="0" borderId="43" xfId="0" applyFont="1" applyBorder="1" applyAlignment="1">
      <alignment wrapText="1"/>
    </xf>
    <xf numFmtId="0" fontId="2" fillId="0" borderId="40" xfId="0" applyFont="1" applyBorder="1" applyAlignment="1">
      <alignment vertical="top" wrapText="1"/>
    </xf>
    <xf numFmtId="0" fontId="8" fillId="14" borderId="62" xfId="0" applyFont="1" applyFill="1" applyBorder="1"/>
    <xf numFmtId="167" fontId="8" fillId="14" borderId="62" xfId="0" applyNumberFormat="1" applyFont="1" applyFill="1" applyBorder="1" applyAlignment="1">
      <alignment horizontal="center" vertical="center"/>
    </xf>
    <xf numFmtId="0" fontId="8" fillId="14" borderId="62" xfId="0" applyFont="1" applyFill="1" applyBorder="1" applyAlignment="1">
      <alignment horizontal="center" vertical="center"/>
    </xf>
    <xf numFmtId="167" fontId="8" fillId="14" borderId="62" xfId="0" applyNumberFormat="1" applyFont="1" applyFill="1" applyBorder="1" applyAlignment="1">
      <alignment horizontal="center" vertical="center" wrapText="1"/>
    </xf>
    <xf numFmtId="179" fontId="2" fillId="14" borderId="62" xfId="0" applyNumberFormat="1" applyFont="1" applyFill="1" applyBorder="1"/>
    <xf numFmtId="0" fontId="2" fillId="14" borderId="63" xfId="0" applyFont="1" applyFill="1" applyBorder="1"/>
    <xf numFmtId="167" fontId="8" fillId="0" borderId="0" xfId="0" applyNumberFormat="1" applyFont="1" applyAlignment="1">
      <alignment horizontal="center" vertical="center"/>
    </xf>
    <xf numFmtId="167" fontId="8" fillId="0" borderId="0" xfId="0" applyNumberFormat="1" applyFont="1" applyAlignment="1">
      <alignment horizontal="center" vertical="center" wrapText="1"/>
    </xf>
    <xf numFmtId="0" fontId="8" fillId="4" borderId="87" xfId="0" applyFont="1" applyFill="1" applyBorder="1" applyAlignment="1">
      <alignment vertical="center"/>
    </xf>
    <xf numFmtId="1" fontId="8" fillId="4" borderId="106" xfId="0" applyNumberFormat="1" applyFont="1" applyFill="1" applyBorder="1" applyAlignment="1">
      <alignment horizontal="center"/>
    </xf>
    <xf numFmtId="0" fontId="8" fillId="14" borderId="58" xfId="0" applyFont="1" applyFill="1" applyBorder="1" applyAlignment="1">
      <alignment horizontal="left" vertical="center"/>
    </xf>
    <xf numFmtId="167" fontId="8" fillId="14" borderId="59" xfId="0" applyNumberFormat="1" applyFont="1" applyFill="1" applyBorder="1" applyAlignment="1">
      <alignment horizontal="center" vertical="center" wrapText="1"/>
    </xf>
    <xf numFmtId="167" fontId="8" fillId="14" borderId="60" xfId="0" applyNumberFormat="1" applyFont="1" applyFill="1" applyBorder="1" applyAlignment="1">
      <alignment horizontal="center" vertical="center" wrapText="1"/>
    </xf>
    <xf numFmtId="167" fontId="8" fillId="14" borderId="314" xfId="0" applyNumberFormat="1" applyFont="1" applyFill="1" applyBorder="1" applyAlignment="1">
      <alignment horizontal="center" vertical="center" wrapText="1"/>
    </xf>
    <xf numFmtId="0" fontId="8" fillId="14" borderId="59" xfId="0" applyFont="1" applyFill="1" applyBorder="1" applyAlignment="1">
      <alignment horizontal="center" vertical="center" wrapText="1"/>
    </xf>
    <xf numFmtId="0" fontId="2" fillId="14" borderId="59" xfId="0" applyFont="1" applyFill="1" applyBorder="1" applyAlignment="1">
      <alignment vertical="center"/>
    </xf>
    <xf numFmtId="0" fontId="2" fillId="14" borderId="59" xfId="0" applyFont="1" applyFill="1" applyBorder="1" applyAlignment="1">
      <alignment vertical="center" wrapText="1"/>
    </xf>
    <xf numFmtId="0" fontId="8" fillId="14" borderId="59" xfId="0" applyFont="1" applyFill="1" applyBorder="1" applyAlignment="1">
      <alignment horizontal="left" vertical="center" wrapText="1"/>
    </xf>
    <xf numFmtId="179" fontId="8" fillId="14" borderId="59" xfId="0" applyNumberFormat="1" applyFont="1" applyFill="1" applyBorder="1" applyAlignment="1">
      <alignment horizontal="center" vertical="center" wrapText="1"/>
    </xf>
    <xf numFmtId="0" fontId="8" fillId="14" borderId="60" xfId="0" applyFont="1" applyFill="1" applyBorder="1" applyAlignment="1">
      <alignment horizontal="center" vertical="center" wrapText="1"/>
    </xf>
    <xf numFmtId="0" fontId="8" fillId="0" borderId="43" xfId="0" applyFont="1" applyBorder="1" applyAlignment="1">
      <alignment horizontal="left" wrapText="1"/>
    </xf>
    <xf numFmtId="167" fontId="2" fillId="34" borderId="40" xfId="0" applyNumberFormat="1" applyFont="1" applyFill="1" applyBorder="1"/>
    <xf numFmtId="167" fontId="27" fillId="0" borderId="42" xfId="0" applyNumberFormat="1" applyFont="1" applyBorder="1" applyAlignment="1">
      <alignment horizontal="center"/>
    </xf>
    <xf numFmtId="167" fontId="2" fillId="0" borderId="3" xfId="0" applyNumberFormat="1" applyFont="1" applyBorder="1"/>
    <xf numFmtId="9" fontId="2" fillId="0" borderId="40" xfId="0" applyNumberFormat="1" applyFont="1" applyBorder="1" applyAlignment="1">
      <alignment horizontal="center"/>
    </xf>
    <xf numFmtId="167" fontId="2" fillId="0" borderId="40" xfId="0" applyNumberFormat="1" applyFont="1" applyBorder="1" applyAlignment="1">
      <alignment horizontal="center" wrapText="1"/>
    </xf>
    <xf numFmtId="0" fontId="2" fillId="0" borderId="40" xfId="0" applyFont="1" applyBorder="1" applyAlignment="1">
      <alignment horizontal="center" wrapText="1"/>
    </xf>
    <xf numFmtId="184" fontId="8" fillId="0" borderId="40" xfId="0" applyNumberFormat="1" applyFont="1" applyBorder="1" applyAlignment="1">
      <alignment horizontal="center"/>
    </xf>
    <xf numFmtId="184" fontId="2" fillId="0" borderId="40" xfId="0" applyNumberFormat="1" applyFont="1" applyBorder="1" applyAlignment="1">
      <alignment horizontal="center" wrapText="1"/>
    </xf>
    <xf numFmtId="182" fontId="8" fillId="14" borderId="40" xfId="0" applyNumberFormat="1" applyFont="1" applyFill="1" applyBorder="1" applyAlignment="1">
      <alignment horizontal="center"/>
    </xf>
    <xf numFmtId="167" fontId="2" fillId="0" borderId="315" xfId="0" applyNumberFormat="1" applyFont="1" applyBorder="1" applyAlignment="1">
      <alignment horizontal="center"/>
    </xf>
    <xf numFmtId="9" fontId="2" fillId="0" borderId="62" xfId="0" applyNumberFormat="1" applyFont="1" applyBorder="1" applyAlignment="1">
      <alignment horizontal="center"/>
    </xf>
    <xf numFmtId="167" fontId="2" fillId="0" borderId="62" xfId="0" applyNumberFormat="1" applyFont="1" applyBorder="1" applyAlignment="1">
      <alignment horizontal="center" wrapText="1"/>
    </xf>
    <xf numFmtId="0" fontId="2" fillId="0" borderId="62" xfId="0" applyFont="1" applyBorder="1" applyAlignment="1">
      <alignment horizontal="center" wrapText="1"/>
    </xf>
    <xf numFmtId="9" fontId="2" fillId="0" borderId="0" xfId="0" applyNumberFormat="1" applyFont="1" applyAlignment="1">
      <alignment horizontal="center"/>
    </xf>
    <xf numFmtId="0" fontId="9" fillId="0" borderId="43" xfId="0" applyFont="1" applyBorder="1"/>
    <xf numFmtId="9" fontId="27" fillId="0" borderId="42" xfId="0" applyNumberFormat="1" applyFont="1" applyBorder="1"/>
    <xf numFmtId="167" fontId="27" fillId="0" borderId="42" xfId="0" applyNumberFormat="1" applyFont="1" applyBorder="1"/>
    <xf numFmtId="0" fontId="8" fillId="4" borderId="204" xfId="0" applyFont="1" applyFill="1" applyBorder="1" applyAlignment="1">
      <alignment vertical="center"/>
    </xf>
    <xf numFmtId="1" fontId="8" fillId="4" borderId="206" xfId="0" applyNumberFormat="1" applyFont="1" applyFill="1" applyBorder="1" applyAlignment="1">
      <alignment horizontal="center"/>
    </xf>
    <xf numFmtId="0" fontId="2" fillId="0" borderId="3" xfId="0" applyFont="1" applyBorder="1" applyAlignment="1">
      <alignment horizontal="center"/>
    </xf>
    <xf numFmtId="0" fontId="2" fillId="0" borderId="42" xfId="0" applyFont="1" applyBorder="1" applyAlignment="1">
      <alignment horizontal="center"/>
    </xf>
    <xf numFmtId="0" fontId="8" fillId="0" borderId="28" xfId="0" applyFont="1" applyBorder="1" applyAlignment="1">
      <alignment horizontal="left" vertical="center"/>
    </xf>
    <xf numFmtId="167" fontId="8" fillId="0" borderId="41" xfId="0" applyNumberFormat="1" applyFont="1" applyBorder="1" applyAlignment="1">
      <alignment horizontal="center" vertical="center" wrapText="1"/>
    </xf>
    <xf numFmtId="167" fontId="8" fillId="0" borderId="40" xfId="0" applyNumberFormat="1" applyFont="1" applyBorder="1" applyAlignment="1">
      <alignment horizontal="center" vertical="center" wrapText="1"/>
    </xf>
    <xf numFmtId="167" fontId="8" fillId="0" borderId="42" xfId="0" applyNumberFormat="1" applyFont="1" applyBorder="1" applyAlignment="1">
      <alignment horizontal="center" wrapText="1"/>
    </xf>
    <xf numFmtId="0" fontId="9" fillId="0" borderId="61" xfId="0" applyFont="1" applyBorder="1"/>
    <xf numFmtId="0" fontId="2" fillId="24" borderId="94" xfId="0" applyFont="1" applyFill="1" applyBorder="1" applyAlignment="1">
      <alignment horizontal="left"/>
    </xf>
    <xf numFmtId="0" fontId="2" fillId="24" borderId="95" xfId="0" applyFont="1" applyFill="1" applyBorder="1" applyAlignment="1">
      <alignment horizontal="center"/>
    </xf>
    <xf numFmtId="167" fontId="8" fillId="24" borderId="95" xfId="0" applyNumberFormat="1" applyFont="1" applyFill="1" applyBorder="1"/>
    <xf numFmtId="0" fontId="2" fillId="0" borderId="7" xfId="0" applyFont="1" applyBorder="1" applyAlignment="1">
      <alignment horizontal="left"/>
    </xf>
    <xf numFmtId="0" fontId="2" fillId="14" borderId="199" xfId="0" applyFont="1" applyFill="1" applyBorder="1"/>
    <xf numFmtId="0" fontId="2" fillId="14" borderId="174" xfId="0" applyFont="1" applyFill="1" applyBorder="1"/>
    <xf numFmtId="0" fontId="8" fillId="14" borderId="174" xfId="0" applyFont="1" applyFill="1" applyBorder="1" applyAlignment="1">
      <alignment horizontal="center"/>
    </xf>
    <xf numFmtId="0" fontId="8" fillId="14" borderId="196" xfId="0" applyFont="1" applyFill="1" applyBorder="1" applyAlignment="1">
      <alignment horizontal="center"/>
    </xf>
    <xf numFmtId="0" fontId="8" fillId="0" borderId="107" xfId="0" applyFont="1" applyBorder="1" applyAlignment="1">
      <alignment horizontal="center"/>
    </xf>
    <xf numFmtId="0" fontId="8" fillId="14" borderId="204" xfId="0" applyFont="1" applyFill="1" applyBorder="1" applyAlignment="1">
      <alignment horizontal="center"/>
    </xf>
    <xf numFmtId="0" fontId="2" fillId="14" borderId="206" xfId="0" applyFont="1" applyFill="1" applyBorder="1"/>
    <xf numFmtId="0" fontId="2" fillId="0" borderId="108" xfId="0" applyFont="1" applyBorder="1"/>
    <xf numFmtId="206" fontId="2" fillId="0" borderId="0" xfId="0" applyNumberFormat="1" applyFont="1" applyAlignment="1">
      <alignment horizontal="left"/>
    </xf>
    <xf numFmtId="0" fontId="2" fillId="0" borderId="316" xfId="0" applyFont="1" applyBorder="1" applyAlignment="1">
      <alignment horizontal="center" wrapText="1"/>
    </xf>
    <xf numFmtId="167" fontId="8" fillId="0" borderId="130" xfId="0" applyNumberFormat="1" applyFont="1" applyBorder="1" applyAlignment="1">
      <alignment horizontal="center" wrapText="1"/>
    </xf>
    <xf numFmtId="0" fontId="8" fillId="0" borderId="130" xfId="0" applyFont="1" applyBorder="1" applyAlignment="1">
      <alignment horizontal="center" wrapText="1"/>
    </xf>
    <xf numFmtId="0" fontId="2" fillId="0" borderId="317" xfId="0" applyFont="1" applyBorder="1" applyAlignment="1">
      <alignment horizontal="center" wrapText="1"/>
    </xf>
    <xf numFmtId="0" fontId="8" fillId="14" borderId="204" xfId="0" applyFont="1" applyFill="1" applyBorder="1" applyAlignment="1">
      <alignment horizontal="center" wrapText="1"/>
    </xf>
    <xf numFmtId="0" fontId="2" fillId="14" borderId="80" xfId="0" applyFont="1" applyFill="1" applyBorder="1" applyAlignment="1">
      <alignment horizontal="center" wrapText="1"/>
    </xf>
    <xf numFmtId="0" fontId="2" fillId="0" borderId="318" xfId="0" applyFont="1" applyBorder="1" applyAlignment="1">
      <alignment horizontal="center" wrapText="1"/>
    </xf>
    <xf numFmtId="0" fontId="2" fillId="0" borderId="130" xfId="0" applyFont="1" applyBorder="1" applyAlignment="1">
      <alignment horizontal="center" wrapText="1"/>
    </xf>
    <xf numFmtId="0" fontId="2" fillId="0" borderId="319" xfId="0" applyFont="1" applyBorder="1"/>
    <xf numFmtId="0" fontId="8" fillId="0" borderId="0" xfId="0" applyFont="1" applyAlignment="1">
      <alignment horizontal="center" vertical="top" wrapText="1"/>
    </xf>
    <xf numFmtId="0" fontId="8" fillId="0" borderId="59" xfId="0" applyFont="1" applyBorder="1" applyAlignment="1">
      <alignment horizontal="center" vertical="center" wrapText="1"/>
    </xf>
    <xf numFmtId="0" fontId="2" fillId="0" borderId="59" xfId="0" applyFont="1" applyBorder="1" applyAlignment="1">
      <alignment horizontal="center" wrapText="1"/>
    </xf>
    <xf numFmtId="0" fontId="2" fillId="0" borderId="59" xfId="0" applyFont="1" applyBorder="1" applyAlignment="1">
      <alignment horizontal="left"/>
    </xf>
    <xf numFmtId="0" fontId="2" fillId="0" borderId="41" xfId="0" applyFont="1" applyBorder="1" applyAlignment="1">
      <alignment horizontal="center" wrapText="1"/>
    </xf>
    <xf numFmtId="0" fontId="2" fillId="0" borderId="41" xfId="0" applyFont="1" applyBorder="1" applyAlignment="1">
      <alignment horizontal="left"/>
    </xf>
    <xf numFmtId="0" fontId="2" fillId="0" borderId="313" xfId="0" applyFont="1" applyBorder="1" applyAlignment="1">
      <alignment horizontal="center" wrapText="1"/>
    </xf>
    <xf numFmtId="0" fontId="2" fillId="0" borderId="28" xfId="0" applyFont="1" applyBorder="1" applyAlignment="1">
      <alignment horizontal="center" wrapText="1"/>
    </xf>
    <xf numFmtId="9" fontId="8" fillId="0" borderId="271" xfId="0" applyNumberFormat="1" applyFont="1" applyBorder="1" applyAlignment="1">
      <alignment horizontal="left" wrapText="1"/>
    </xf>
    <xf numFmtId="9" fontId="8" fillId="0" borderId="272" xfId="0" applyNumberFormat="1" applyFont="1" applyBorder="1" applyAlignment="1">
      <alignment horizontal="center" wrapText="1"/>
    </xf>
    <xf numFmtId="9" fontId="8" fillId="0" borderId="322" xfId="0" applyNumberFormat="1" applyFont="1" applyBorder="1" applyAlignment="1">
      <alignment horizontal="center" wrapText="1"/>
    </xf>
    <xf numFmtId="0" fontId="8" fillId="0" borderId="271" xfId="0" applyFont="1" applyBorder="1" applyAlignment="1">
      <alignment horizontal="center" wrapText="1"/>
    </xf>
    <xf numFmtId="9" fontId="8" fillId="0" borderId="271" xfId="0" applyNumberFormat="1" applyFont="1" applyBorder="1" applyAlignment="1">
      <alignment horizontal="center" wrapText="1"/>
    </xf>
    <xf numFmtId="0" fontId="8" fillId="0" borderId="67" xfId="0" applyFont="1" applyBorder="1" applyAlignment="1">
      <alignment horizontal="center" wrapText="1"/>
    </xf>
    <xf numFmtId="0" fontId="8" fillId="0" borderId="272" xfId="0" applyFont="1" applyBorder="1" applyAlignment="1">
      <alignment horizontal="center" wrapText="1"/>
    </xf>
    <xf numFmtId="0" fontId="8" fillId="0" borderId="322" xfId="0" applyFont="1" applyBorder="1" applyAlignment="1">
      <alignment horizontal="center" wrapText="1"/>
    </xf>
    <xf numFmtId="0" fontId="8" fillId="0" borderId="272" xfId="0" applyFont="1" applyBorder="1" applyAlignment="1">
      <alignment horizontal="center" vertical="center" wrapText="1"/>
    </xf>
    <xf numFmtId="0" fontId="8" fillId="0" borderId="322" xfId="0" applyFont="1" applyBorder="1" applyAlignment="1">
      <alignment horizontal="center" vertical="center" wrapText="1"/>
    </xf>
    <xf numFmtId="0" fontId="8" fillId="0" borderId="173" xfId="0" applyFont="1" applyBorder="1" applyAlignment="1">
      <alignment horizontal="center" wrapText="1"/>
    </xf>
    <xf numFmtId="0" fontId="8" fillId="0" borderId="190" xfId="0" applyFont="1" applyBorder="1" applyAlignment="1">
      <alignment horizontal="center" wrapText="1"/>
    </xf>
    <xf numFmtId="0" fontId="8" fillId="0" borderId="191" xfId="0" applyFont="1" applyBorder="1" applyAlignment="1">
      <alignment horizontal="center" wrapText="1"/>
    </xf>
    <xf numFmtId="191" fontId="27" fillId="0" borderId="43" xfId="0" applyNumberFormat="1" applyFont="1" applyBorder="1" applyAlignment="1">
      <alignment horizontal="left"/>
    </xf>
    <xf numFmtId="9" fontId="2" fillId="0" borderId="257" xfId="0" applyNumberFormat="1" applyFont="1" applyBorder="1" applyAlignment="1">
      <alignment horizontal="left" vertical="top" wrapText="1"/>
    </xf>
    <xf numFmtId="9" fontId="2" fillId="0" borderId="256" xfId="0" applyNumberFormat="1" applyFont="1" applyBorder="1" applyAlignment="1">
      <alignment horizontal="center"/>
    </xf>
    <xf numFmtId="9" fontId="2" fillId="0" borderId="323" xfId="0" applyNumberFormat="1" applyFont="1" applyBorder="1" applyAlignment="1">
      <alignment horizontal="center"/>
    </xf>
    <xf numFmtId="10" fontId="2" fillId="0" borderId="323" xfId="0" applyNumberFormat="1" applyFont="1" applyBorder="1" applyAlignment="1">
      <alignment horizontal="center"/>
    </xf>
    <xf numFmtId="9" fontId="2" fillId="0" borderId="256" xfId="0" applyNumberFormat="1" applyFont="1" applyBorder="1" applyAlignment="1">
      <alignment horizontal="center" vertical="top" wrapText="1"/>
    </xf>
    <xf numFmtId="0" fontId="2" fillId="0" borderId="257" xfId="0" applyFont="1" applyBorder="1" applyAlignment="1">
      <alignment horizontal="center"/>
    </xf>
    <xf numFmtId="9" fontId="2" fillId="0" borderId="167" xfId="0" applyNumberFormat="1" applyFont="1" applyBorder="1"/>
    <xf numFmtId="9" fontId="2" fillId="0" borderId="256" xfId="0" applyNumberFormat="1" applyFont="1" applyBorder="1"/>
    <xf numFmtId="9" fontId="2" fillId="0" borderId="323" xfId="0" applyNumberFormat="1" applyFont="1" applyBorder="1"/>
    <xf numFmtId="167" fontId="2" fillId="0" borderId="110" xfId="0" applyNumberFormat="1" applyFont="1" applyBorder="1" applyAlignment="1">
      <alignment horizontal="right"/>
    </xf>
    <xf numFmtId="179" fontId="2" fillId="0" borderId="40" xfId="0" applyNumberFormat="1" applyFont="1" applyBorder="1" applyAlignment="1">
      <alignment horizontal="center"/>
    </xf>
    <xf numFmtId="167" fontId="8" fillId="14" borderId="80" xfId="0" applyNumberFormat="1" applyFont="1" applyFill="1" applyBorder="1" applyAlignment="1">
      <alignment horizontal="right"/>
    </xf>
    <xf numFmtId="0" fontId="2" fillId="0" borderId="40" xfId="0" applyFont="1" applyBorder="1" applyAlignment="1">
      <alignment horizontal="right"/>
    </xf>
    <xf numFmtId="167" fontId="2" fillId="0" borderId="41" xfId="0" applyNumberFormat="1" applyFont="1" applyBorder="1" applyAlignment="1">
      <alignment horizontal="right"/>
    </xf>
    <xf numFmtId="0" fontId="2" fillId="0" borderId="313" xfId="0" applyFont="1" applyBorder="1"/>
    <xf numFmtId="167" fontId="2" fillId="0" borderId="126" xfId="0" applyNumberFormat="1" applyFont="1" applyBorder="1" applyAlignment="1">
      <alignment horizontal="right"/>
    </xf>
    <xf numFmtId="0" fontId="2" fillId="0" borderId="296" xfId="0" applyFont="1" applyBorder="1"/>
    <xf numFmtId="9" fontId="2" fillId="0" borderId="122" xfId="0" applyNumberFormat="1" applyFont="1" applyBorder="1"/>
    <xf numFmtId="179" fontId="2" fillId="24" borderId="40" xfId="0" applyNumberFormat="1" applyFont="1" applyFill="1" applyBorder="1" applyAlignment="1">
      <alignment horizontal="center"/>
    </xf>
    <xf numFmtId="9" fontId="2" fillId="0" borderId="0" xfId="0" applyNumberFormat="1" applyFont="1"/>
    <xf numFmtId="0" fontId="2" fillId="0" borderId="37" xfId="0" applyFont="1" applyBorder="1" applyAlignment="1">
      <alignment horizontal="left"/>
    </xf>
    <xf numFmtId="0" fontId="8" fillId="0" borderId="37" xfId="0" applyFont="1" applyBorder="1" applyAlignment="1">
      <alignment horizontal="left"/>
    </xf>
    <xf numFmtId="167" fontId="2" fillId="14" borderId="62" xfId="0" applyNumberFormat="1" applyFont="1" applyFill="1" applyBorder="1" applyAlignment="1">
      <alignment horizontal="center"/>
    </xf>
    <xf numFmtId="3" fontId="8" fillId="14" borderId="62" xfId="0" applyNumberFormat="1" applyFont="1" applyFill="1" applyBorder="1" applyAlignment="1">
      <alignment horizontal="center"/>
    </xf>
    <xf numFmtId="167" fontId="8" fillId="14" borderId="63" xfId="0" applyNumberFormat="1" applyFont="1" applyFill="1" applyBorder="1" applyAlignment="1">
      <alignment horizontal="center"/>
    </xf>
    <xf numFmtId="0" fontId="8" fillId="0" borderId="324" xfId="0" applyFont="1" applyBorder="1"/>
    <xf numFmtId="167" fontId="2" fillId="0" borderId="126" xfId="0" applyNumberFormat="1" applyFont="1" applyBorder="1" applyAlignment="1">
      <alignment horizontal="center"/>
    </xf>
    <xf numFmtId="0" fontId="8" fillId="4" borderId="204" xfId="0" applyFont="1" applyFill="1" applyBorder="1"/>
    <xf numFmtId="167" fontId="2" fillId="4" borderId="80" xfId="0" applyNumberFormat="1" applyFont="1" applyFill="1" applyBorder="1"/>
    <xf numFmtId="0" fontId="8" fillId="4" borderId="80" xfId="0" applyFont="1" applyFill="1" applyBorder="1" applyAlignment="1">
      <alignment horizontal="center"/>
    </xf>
    <xf numFmtId="0" fontId="2" fillId="4" borderId="206" xfId="0" applyFont="1" applyFill="1" applyBorder="1"/>
    <xf numFmtId="0" fontId="2" fillId="0" borderId="28" xfId="0" applyFont="1" applyBorder="1"/>
    <xf numFmtId="167" fontId="8" fillId="0" borderId="41" xfId="0" applyNumberFormat="1" applyFont="1" applyBorder="1" applyAlignment="1">
      <alignment horizontal="center" vertical="center"/>
    </xf>
    <xf numFmtId="0" fontId="8" fillId="0" borderId="41" xfId="0" applyFont="1" applyBorder="1" applyAlignment="1">
      <alignment horizontal="center" vertical="center"/>
    </xf>
    <xf numFmtId="0" fontId="8" fillId="14" borderId="241" xfId="0" applyFont="1" applyFill="1" applyBorder="1" applyAlignment="1">
      <alignment horizontal="center" vertical="center" wrapText="1"/>
    </xf>
    <xf numFmtId="0" fontId="8" fillId="14" borderId="241" xfId="0" applyFont="1" applyFill="1" applyBorder="1"/>
    <xf numFmtId="0" fontId="8" fillId="14" borderId="325" xfId="0" applyFont="1" applyFill="1" applyBorder="1" applyAlignment="1">
      <alignment horizontal="center"/>
    </xf>
    <xf numFmtId="0" fontId="8" fillId="14" borderId="131" xfId="0" applyFont="1" applyFill="1" applyBorder="1" applyAlignment="1">
      <alignment horizontal="center" vertical="center" wrapText="1"/>
    </xf>
    <xf numFmtId="0" fontId="8" fillId="14" borderId="52" xfId="0" applyFont="1" applyFill="1" applyBorder="1" applyAlignment="1">
      <alignment horizontal="center"/>
    </xf>
    <xf numFmtId="0" fontId="8" fillId="14" borderId="105" xfId="0" applyFont="1" applyFill="1" applyBorder="1" applyAlignment="1">
      <alignment horizontal="center" vertical="center" wrapText="1"/>
    </xf>
    <xf numFmtId="0" fontId="30" fillId="0" borderId="40" xfId="0" applyFont="1" applyBorder="1" applyAlignment="1">
      <alignment horizontal="center"/>
    </xf>
    <xf numFmtId="167" fontId="30" fillId="0" borderId="40" xfId="0" applyNumberFormat="1" applyFont="1" applyBorder="1" applyAlignment="1">
      <alignment horizontal="center"/>
    </xf>
    <xf numFmtId="0" fontId="30" fillId="0" borderId="40" xfId="0" applyFont="1" applyBorder="1"/>
    <xf numFmtId="184" fontId="30" fillId="0" borderId="40" xfId="0" applyNumberFormat="1" applyFont="1" applyBorder="1" applyAlignment="1">
      <alignment horizontal="center"/>
    </xf>
    <xf numFmtId="0" fontId="30" fillId="0" borderId="50" xfId="0" applyFont="1" applyBorder="1" applyAlignment="1">
      <alignment horizontal="right" vertical="center"/>
    </xf>
    <xf numFmtId="0" fontId="8" fillId="0" borderId="40" xfId="0" applyFont="1" applyBorder="1" applyAlignment="1">
      <alignment horizontal="right"/>
    </xf>
    <xf numFmtId="0" fontId="2" fillId="0" borderId="50" xfId="0" applyFont="1" applyBorder="1" applyAlignment="1">
      <alignment horizontal="right"/>
    </xf>
    <xf numFmtId="0" fontId="29" fillId="0" borderId="40" xfId="0" applyFont="1" applyBorder="1" applyAlignment="1">
      <alignment horizontal="center"/>
    </xf>
    <xf numFmtId="0" fontId="8" fillId="0" borderId="61" xfId="0" applyFont="1" applyBorder="1" applyAlignment="1">
      <alignment horizontal="left" wrapText="1"/>
    </xf>
    <xf numFmtId="0" fontId="8" fillId="0" borderId="62" xfId="0" applyFont="1" applyBorder="1" applyAlignment="1">
      <alignment horizontal="right" wrapText="1"/>
    </xf>
    <xf numFmtId="167" fontId="8" fillId="0" borderId="62" xfId="0" applyNumberFormat="1" applyFont="1" applyBorder="1" applyAlignment="1">
      <alignment horizontal="center"/>
    </xf>
    <xf numFmtId="184" fontId="8" fillId="0" borderId="62" xfId="0" applyNumberFormat="1" applyFont="1" applyBorder="1" applyAlignment="1">
      <alignment horizontal="center"/>
    </xf>
    <xf numFmtId="0" fontId="2" fillId="0" borderId="201" xfId="0" applyFont="1" applyBorder="1"/>
    <xf numFmtId="0" fontId="8" fillId="0" borderId="0" xfId="0" applyFont="1" applyAlignment="1">
      <alignment horizontal="left" wrapText="1"/>
    </xf>
    <xf numFmtId="0" fontId="8" fillId="0" borderId="0" xfId="0" applyFont="1" applyAlignment="1">
      <alignment horizontal="right" wrapText="1"/>
    </xf>
    <xf numFmtId="184" fontId="8" fillId="0" borderId="0" xfId="0" applyNumberFormat="1" applyFont="1" applyAlignment="1">
      <alignment horizontal="center"/>
    </xf>
    <xf numFmtId="0" fontId="2" fillId="24" borderId="209" xfId="0" applyFont="1" applyFill="1" applyBorder="1"/>
    <xf numFmtId="0" fontId="8" fillId="14" borderId="43" xfId="0" applyFont="1" applyFill="1" applyBorder="1" applyAlignment="1">
      <alignment horizontal="left"/>
    </xf>
    <xf numFmtId="167" fontId="8" fillId="14" borderId="40" xfId="0" applyNumberFormat="1" applyFont="1" applyFill="1" applyBorder="1" applyAlignment="1">
      <alignment horizontal="center" wrapText="1"/>
    </xf>
    <xf numFmtId="0" fontId="8" fillId="14" borderId="326" xfId="0" applyFont="1" applyFill="1" applyBorder="1" applyAlignment="1">
      <alignment horizontal="center" wrapText="1"/>
    </xf>
    <xf numFmtId="182" fontId="2" fillId="0" borderId="40" xfId="0" applyNumberFormat="1" applyFont="1" applyBorder="1" applyAlignment="1">
      <alignment horizontal="center"/>
    </xf>
    <xf numFmtId="203" fontId="2" fillId="0" borderId="40" xfId="0" applyNumberFormat="1" applyFont="1" applyBorder="1" applyAlignment="1">
      <alignment horizontal="center"/>
    </xf>
    <xf numFmtId="203" fontId="2" fillId="0" borderId="50" xfId="0" applyNumberFormat="1" applyFont="1" applyBorder="1" applyAlignment="1">
      <alignment horizontal="center"/>
    </xf>
    <xf numFmtId="179" fontId="2" fillId="40" borderId="40" xfId="0" applyNumberFormat="1" applyFont="1" applyFill="1" applyBorder="1"/>
    <xf numFmtId="171" fontId="2" fillId="40" borderId="40" xfId="0" applyNumberFormat="1" applyFont="1" applyFill="1" applyBorder="1"/>
    <xf numFmtId="2" fontId="2" fillId="40" borderId="40" xfId="0" applyNumberFormat="1" applyFont="1" applyFill="1" applyBorder="1" applyAlignment="1">
      <alignment horizontal="center"/>
    </xf>
    <xf numFmtId="169" fontId="2" fillId="40" borderId="40" xfId="0" applyNumberFormat="1" applyFont="1" applyFill="1" applyBorder="1"/>
    <xf numFmtId="180" fontId="2" fillId="40" borderId="40" xfId="0" applyNumberFormat="1" applyFont="1" applyFill="1" applyBorder="1"/>
    <xf numFmtId="182" fontId="2" fillId="40" borderId="40" xfId="0" applyNumberFormat="1" applyFont="1" applyFill="1" applyBorder="1" applyAlignment="1">
      <alignment horizontal="center"/>
    </xf>
    <xf numFmtId="169" fontId="8" fillId="14" borderId="327" xfId="0" applyNumberFormat="1" applyFont="1" applyFill="1" applyBorder="1"/>
    <xf numFmtId="0" fontId="2" fillId="24" borderId="314" xfId="0" applyFont="1" applyFill="1" applyBorder="1"/>
    <xf numFmtId="0" fontId="33" fillId="0" borderId="37" xfId="0" applyFont="1" applyBorder="1"/>
    <xf numFmtId="0" fontId="8" fillId="14" borderId="155" xfId="0" applyFont="1" applyFill="1" applyBorder="1" applyAlignment="1">
      <alignment horizontal="left"/>
    </xf>
    <xf numFmtId="0" fontId="2" fillId="0" borderId="3" xfId="0" applyFont="1" applyBorder="1" applyAlignment="1">
      <alignment horizontal="left"/>
    </xf>
    <xf numFmtId="167" fontId="2" fillId="24" borderId="40" xfId="0" applyNumberFormat="1" applyFont="1" applyFill="1" applyBorder="1" applyAlignment="1">
      <alignment horizontal="center"/>
    </xf>
    <xf numFmtId="183" fontId="2" fillId="0" borderId="40" xfId="0" applyNumberFormat="1" applyFont="1" applyBorder="1"/>
    <xf numFmtId="167" fontId="2" fillId="2" borderId="40" xfId="0" applyNumberFormat="1" applyFont="1" applyFill="1" applyBorder="1" applyAlignment="1">
      <alignment horizontal="center"/>
    </xf>
    <xf numFmtId="0" fontId="8" fillId="0" borderId="3" xfId="0" applyFont="1" applyBorder="1"/>
    <xf numFmtId="0" fontId="8" fillId="14" borderId="155" xfId="0" applyFont="1" applyFill="1" applyBorder="1"/>
    <xf numFmtId="0" fontId="2" fillId="14" borderId="40" xfId="0" applyFont="1" applyFill="1" applyBorder="1" applyAlignment="1">
      <alignment horizontal="center"/>
    </xf>
    <xf numFmtId="180" fontId="8" fillId="14" borderId="40" xfId="0" applyNumberFormat="1" applyFont="1" applyFill="1" applyBorder="1"/>
    <xf numFmtId="178" fontId="8" fillId="14" borderId="40" xfId="0" applyNumberFormat="1" applyFont="1" applyFill="1" applyBorder="1"/>
    <xf numFmtId="178" fontId="8" fillId="14" borderId="42" xfId="0" applyNumberFormat="1" applyFont="1" applyFill="1" applyBorder="1"/>
    <xf numFmtId="0" fontId="8" fillId="0" borderId="315" xfId="0" applyFont="1" applyBorder="1"/>
    <xf numFmtId="0" fontId="8" fillId="14" borderId="290" xfId="0" applyFont="1" applyFill="1" applyBorder="1"/>
    <xf numFmtId="0" fontId="8" fillId="14" borderId="279" xfId="0" applyFont="1" applyFill="1" applyBorder="1" applyAlignment="1">
      <alignment horizontal="center" wrapText="1"/>
    </xf>
    <xf numFmtId="0" fontId="2" fillId="14" borderId="279" xfId="0" applyFont="1" applyFill="1" applyBorder="1"/>
    <xf numFmtId="0" fontId="8" fillId="14" borderId="298" xfId="0" applyFont="1" applyFill="1" applyBorder="1" applyAlignment="1">
      <alignment horizontal="center" vertical="center" wrapText="1"/>
    </xf>
    <xf numFmtId="169" fontId="2" fillId="0" borderId="42" xfId="0" applyNumberFormat="1" applyFont="1" applyBorder="1" applyAlignment="1">
      <alignment horizontal="center"/>
    </xf>
    <xf numFmtId="0" fontId="8" fillId="14" borderId="292" xfId="0" applyFont="1" applyFill="1" applyBorder="1"/>
    <xf numFmtId="169" fontId="8" fillId="14" borderId="42" xfId="0" applyNumberFormat="1" applyFont="1" applyFill="1" applyBorder="1" applyAlignment="1">
      <alignment horizontal="center"/>
    </xf>
    <xf numFmtId="0" fontId="8" fillId="14" borderId="292" xfId="0" applyFont="1" applyFill="1" applyBorder="1" applyAlignment="1">
      <alignment wrapText="1"/>
    </xf>
    <xf numFmtId="0" fontId="8" fillId="14" borderId="42" xfId="0" applyFont="1" applyFill="1" applyBorder="1" applyAlignment="1">
      <alignment horizontal="center" vertical="center" wrapText="1"/>
    </xf>
    <xf numFmtId="180" fontId="8" fillId="0" borderId="40" xfId="0" applyNumberFormat="1" applyFont="1" applyBorder="1"/>
    <xf numFmtId="169" fontId="8" fillId="0" borderId="42" xfId="0" applyNumberFormat="1" applyFont="1" applyBorder="1" applyAlignment="1">
      <alignment horizontal="center"/>
    </xf>
    <xf numFmtId="0" fontId="2" fillId="0" borderId="292" xfId="0" applyFont="1" applyBorder="1" applyAlignment="1">
      <alignment horizontal="left"/>
    </xf>
    <xf numFmtId="0" fontId="8" fillId="0" borderId="292" xfId="0" applyFont="1" applyBorder="1" applyAlignment="1">
      <alignment horizontal="left"/>
    </xf>
    <xf numFmtId="0" fontId="8" fillId="14" borderId="42" xfId="0" applyFont="1" applyFill="1" applyBorder="1"/>
    <xf numFmtId="167" fontId="8" fillId="0" borderId="42" xfId="0" applyNumberFormat="1" applyFont="1" applyBorder="1"/>
    <xf numFmtId="179" fontId="2" fillId="0" borderId="42" xfId="0" applyNumberFormat="1" applyFont="1" applyBorder="1"/>
    <xf numFmtId="0" fontId="9" fillId="0" borderId="292" xfId="0" applyFont="1" applyBorder="1" applyAlignment="1">
      <alignment horizontal="left"/>
    </xf>
    <xf numFmtId="0" fontId="8" fillId="14" borderId="328" xfId="0" applyFont="1" applyFill="1" applyBorder="1"/>
    <xf numFmtId="167" fontId="8" fillId="0" borderId="63" xfId="0" applyNumberFormat="1" applyFont="1" applyBorder="1"/>
    <xf numFmtId="0" fontId="3" fillId="0" borderId="37" xfId="0" applyFont="1" applyBorder="1"/>
    <xf numFmtId="0" fontId="41" fillId="13" borderId="79" xfId="0" applyFont="1" applyFill="1" applyBorder="1"/>
    <xf numFmtId="0" fontId="3" fillId="13" borderId="79" xfId="0" applyFont="1" applyFill="1" applyBorder="1"/>
    <xf numFmtId="0" fontId="3" fillId="0" borderId="41" xfId="0" applyFont="1" applyBorder="1"/>
    <xf numFmtId="0" fontId="42" fillId="12" borderId="3" xfId="0" applyFont="1" applyFill="1" applyBorder="1" applyAlignment="1">
      <alignment horizontal="center" wrapText="1"/>
    </xf>
    <xf numFmtId="0" fontId="3" fillId="12" borderId="40" xfId="0" applyFont="1" applyFill="1" applyBorder="1"/>
    <xf numFmtId="0" fontId="42" fillId="12" borderId="40" xfId="0" applyFont="1" applyFill="1" applyBorder="1" applyAlignment="1">
      <alignment horizontal="center" wrapText="1"/>
    </xf>
    <xf numFmtId="0" fontId="3" fillId="12" borderId="3" xfId="0" applyFont="1" applyFill="1" applyBorder="1"/>
    <xf numFmtId="0" fontId="3" fillId="0" borderId="3" xfId="0" applyFont="1" applyBorder="1"/>
    <xf numFmtId="0" fontId="3" fillId="0" borderId="40" xfId="0" applyFont="1" applyBorder="1"/>
    <xf numFmtId="0" fontId="43" fillId="0" borderId="3" xfId="0" applyFont="1" applyBorder="1" applyAlignment="1">
      <alignment horizontal="right" wrapText="1"/>
    </xf>
    <xf numFmtId="3" fontId="19" fillId="40" borderId="40" xfId="0" applyNumberFormat="1" applyFont="1" applyFill="1" applyBorder="1" applyAlignment="1">
      <alignment horizontal="center" wrapText="1"/>
    </xf>
    <xf numFmtId="0" fontId="13" fillId="0" borderId="40" xfId="0" applyFont="1" applyBorder="1" applyAlignment="1">
      <alignment horizontal="right" wrapText="1"/>
    </xf>
    <xf numFmtId="4" fontId="13" fillId="0" borderId="40" xfId="0" applyNumberFormat="1" applyFont="1" applyBorder="1" applyAlignment="1">
      <alignment horizontal="center" wrapText="1"/>
    </xf>
    <xf numFmtId="175" fontId="44" fillId="0" borderId="40" xfId="0" applyNumberFormat="1" applyFont="1" applyBorder="1" applyAlignment="1">
      <alignment horizontal="center" wrapText="1"/>
    </xf>
    <xf numFmtId="0" fontId="46" fillId="12" borderId="71" xfId="0" applyFont="1" applyFill="1" applyBorder="1"/>
    <xf numFmtId="0" fontId="3" fillId="12" borderId="71" xfId="0" applyFont="1" applyFill="1" applyBorder="1"/>
    <xf numFmtId="0" fontId="21" fillId="15" borderId="4" xfId="0" applyFont="1" applyFill="1" applyBorder="1" applyAlignment="1">
      <alignment horizontal="center" wrapText="1"/>
    </xf>
    <xf numFmtId="0" fontId="3" fillId="15" borderId="41" xfId="0" applyFont="1" applyFill="1" applyBorder="1"/>
    <xf numFmtId="0" fontId="21" fillId="15" borderId="41" xfId="0" applyFont="1" applyFill="1" applyBorder="1" applyAlignment="1">
      <alignment horizontal="center" wrapText="1"/>
    </xf>
    <xf numFmtId="0" fontId="3" fillId="15" borderId="3" xfId="0" applyFont="1" applyFill="1" applyBorder="1"/>
    <xf numFmtId="0" fontId="3" fillId="15" borderId="40" xfId="0" applyFont="1" applyFill="1" applyBorder="1"/>
    <xf numFmtId="0" fontId="21" fillId="15" borderId="40" xfId="0" applyFont="1" applyFill="1" applyBorder="1" applyAlignment="1">
      <alignment horizontal="center" wrapText="1"/>
    </xf>
    <xf numFmtId="175" fontId="3" fillId="0" borderId="40" xfId="0" applyNumberFormat="1" applyFont="1" applyBorder="1"/>
    <xf numFmtId="0" fontId="21" fillId="0" borderId="3" xfId="0" applyFont="1" applyBorder="1" applyAlignment="1">
      <alignment horizontal="right" wrapText="1"/>
    </xf>
    <xf numFmtId="0" fontId="21" fillId="0" borderId="40" xfId="0" applyFont="1" applyBorder="1" applyAlignment="1">
      <alignment wrapText="1"/>
    </xf>
    <xf numFmtId="0" fontId="13" fillId="7" borderId="40" xfId="0" applyFont="1" applyFill="1" applyBorder="1" applyAlignment="1">
      <alignment horizontal="right" wrapText="1"/>
    </xf>
    <xf numFmtId="3" fontId="13" fillId="0" borderId="40" xfId="0" applyNumberFormat="1" applyFont="1" applyBorder="1" applyAlignment="1">
      <alignment horizontal="right" wrapText="1"/>
    </xf>
    <xf numFmtId="175" fontId="13" fillId="0" borderId="40" xfId="0" applyNumberFormat="1" applyFont="1" applyBorder="1" applyAlignment="1">
      <alignment horizontal="center" wrapText="1"/>
    </xf>
    <xf numFmtId="0" fontId="47" fillId="0" borderId="0" xfId="0" applyFont="1"/>
    <xf numFmtId="0" fontId="8" fillId="4" borderId="104" xfId="0" applyFont="1" applyFill="1" applyBorder="1"/>
    <xf numFmtId="0" fontId="2" fillId="4" borderId="12" xfId="0" applyFont="1" applyFill="1" applyBorder="1"/>
    <xf numFmtId="0" fontId="2" fillId="4" borderId="105" xfId="0" applyFont="1" applyFill="1" applyBorder="1"/>
    <xf numFmtId="0" fontId="8" fillId="0" borderId="330" xfId="0" applyFont="1" applyBorder="1"/>
    <xf numFmtId="164" fontId="13" fillId="0" borderId="0" xfId="0" applyNumberFormat="1" applyFont="1"/>
    <xf numFmtId="164" fontId="8" fillId="4" borderId="12" xfId="0" applyNumberFormat="1" applyFont="1" applyFill="1" applyBorder="1" applyAlignment="1">
      <alignment horizontal="left"/>
    </xf>
    <xf numFmtId="164" fontId="2" fillId="4" borderId="12" xfId="0" applyNumberFormat="1" applyFont="1" applyFill="1" applyBorder="1"/>
    <xf numFmtId="164" fontId="2" fillId="0" borderId="21" xfId="0" applyNumberFormat="1" applyFont="1" applyBorder="1" applyAlignment="1">
      <alignment horizontal="right"/>
    </xf>
    <xf numFmtId="0" fontId="2" fillId="4" borderId="13" xfId="0" applyFont="1" applyFill="1" applyBorder="1"/>
    <xf numFmtId="0" fontId="2" fillId="4" borderId="92" xfId="0" applyFont="1" applyFill="1" applyBorder="1"/>
    <xf numFmtId="0" fontId="8" fillId="4" borderId="13" xfId="0" applyFont="1" applyFill="1" applyBorder="1"/>
    <xf numFmtId="0" fontId="8" fillId="4" borderId="92" xfId="0" applyFont="1" applyFill="1" applyBorder="1"/>
    <xf numFmtId="0" fontId="48" fillId="0" borderId="0" xfId="0" applyFont="1" applyAlignment="1">
      <alignment horizontal="left"/>
    </xf>
    <xf numFmtId="171" fontId="2" fillId="0" borderId="21" xfId="0" applyNumberFormat="1" applyFont="1" applyBorder="1" applyAlignment="1">
      <alignment horizontal="center"/>
    </xf>
    <xf numFmtId="0" fontId="8" fillId="4" borderId="105" xfId="0" applyFont="1" applyFill="1" applyBorder="1"/>
    <xf numFmtId="0" fontId="30" fillId="4" borderId="13" xfId="0" applyFont="1" applyFill="1" applyBorder="1"/>
    <xf numFmtId="164" fontId="30" fillId="4" borderId="13" xfId="0" applyNumberFormat="1" applyFont="1" applyFill="1" applyBorder="1"/>
    <xf numFmtId="0" fontId="30" fillId="4" borderId="92" xfId="0" applyFont="1" applyFill="1" applyBorder="1"/>
    <xf numFmtId="0" fontId="8" fillId="0" borderId="331" xfId="0" applyFont="1" applyBorder="1"/>
    <xf numFmtId="0" fontId="9" fillId="0" borderId="332" xfId="0" applyFont="1" applyBorder="1"/>
    <xf numFmtId="164" fontId="2" fillId="4" borderId="13" xfId="0" applyNumberFormat="1" applyFont="1" applyFill="1" applyBorder="1" applyAlignment="1">
      <alignment horizontal="center"/>
    </xf>
    <xf numFmtId="0" fontId="8" fillId="0" borderId="17" xfId="0" applyFont="1" applyBorder="1"/>
    <xf numFmtId="0" fontId="8" fillId="0" borderId="19" xfId="0" applyFont="1" applyBorder="1"/>
    <xf numFmtId="0" fontId="8" fillId="0" borderId="22" xfId="0" applyFont="1" applyBorder="1"/>
    <xf numFmtId="0" fontId="8" fillId="0" borderId="333" xfId="0" applyFont="1" applyBorder="1"/>
    <xf numFmtId="0" fontId="9" fillId="0" borderId="334" xfId="0" applyFont="1" applyBorder="1"/>
    <xf numFmtId="0" fontId="13" fillId="0" borderId="29" xfId="0" applyFont="1" applyBorder="1"/>
    <xf numFmtId="0" fontId="13" fillId="0" borderId="37" xfId="0" applyFont="1" applyBorder="1"/>
    <xf numFmtId="0" fontId="2" fillId="14" borderId="103" xfId="0" applyFont="1" applyFill="1" applyBorder="1"/>
    <xf numFmtId="1" fontId="8" fillId="14" borderId="103" xfId="0" applyNumberFormat="1" applyFont="1" applyFill="1" applyBorder="1" applyAlignment="1">
      <alignment horizontal="center"/>
    </xf>
    <xf numFmtId="164" fontId="2" fillId="0" borderId="40" xfId="0" applyNumberFormat="1" applyFont="1" applyBorder="1"/>
    <xf numFmtId="164" fontId="2" fillId="0" borderId="42" xfId="0" applyNumberFormat="1" applyFont="1" applyBorder="1"/>
    <xf numFmtId="43" fontId="2" fillId="0" borderId="40" xfId="0" applyNumberFormat="1" applyFont="1" applyBorder="1"/>
    <xf numFmtId="43" fontId="2" fillId="0" borderId="42" xfId="0" applyNumberFormat="1" applyFont="1" applyBorder="1"/>
    <xf numFmtId="2" fontId="2" fillId="0" borderId="42" xfId="0" applyNumberFormat="1" applyFont="1" applyBorder="1"/>
    <xf numFmtId="2" fontId="2" fillId="0" borderId="62" xfId="0" applyNumberFormat="1" applyFont="1" applyBorder="1"/>
    <xf numFmtId="2" fontId="2" fillId="0" borderId="63" xfId="0" applyNumberFormat="1" applyFont="1" applyBorder="1"/>
    <xf numFmtId="0" fontId="44" fillId="0" borderId="0" xfId="0" applyFont="1"/>
    <xf numFmtId="3" fontId="2" fillId="0" borderId="63" xfId="0" applyNumberFormat="1" applyFont="1" applyBorder="1"/>
    <xf numFmtId="0" fontId="31" fillId="31" borderId="79" xfId="0" applyFont="1" applyFill="1" applyBorder="1"/>
    <xf numFmtId="0" fontId="49" fillId="0" borderId="0" xfId="0" applyFont="1"/>
    <xf numFmtId="0" fontId="50" fillId="31" borderId="199" xfId="0" applyFont="1" applyFill="1" applyBorder="1"/>
    <xf numFmtId="0" fontId="13" fillId="31" borderId="174" xfId="0" applyFont="1" applyFill="1" applyBorder="1"/>
    <xf numFmtId="0" fontId="13" fillId="31" borderId="196" xfId="0" applyFont="1" applyFill="1" applyBorder="1"/>
    <xf numFmtId="0" fontId="51" fillId="0" borderId="290" xfId="0" applyFont="1" applyBorder="1"/>
    <xf numFmtId="0" fontId="51" fillId="0" borderId="279" xfId="0" applyFont="1" applyBorder="1"/>
    <xf numFmtId="0" fontId="51" fillId="0" borderId="335" xfId="0" applyFont="1" applyBorder="1"/>
    <xf numFmtId="0" fontId="51" fillId="0" borderId="291" xfId="0" applyFont="1" applyBorder="1"/>
    <xf numFmtId="0" fontId="13" fillId="0" borderId="292" xfId="0" applyFont="1" applyBorder="1"/>
    <xf numFmtId="0" fontId="13" fillId="0" borderId="40" xfId="0" applyFont="1" applyBorder="1"/>
    <xf numFmtId="172" fontId="13" fillId="0" borderId="40" xfId="0" applyNumberFormat="1" applyFont="1" applyBorder="1"/>
    <xf numFmtId="172" fontId="13" fillId="0" borderId="50" xfId="0" applyNumberFormat="1" applyFont="1" applyBorder="1"/>
    <xf numFmtId="167" fontId="13" fillId="0" borderId="293" xfId="0" applyNumberFormat="1" applyFont="1" applyBorder="1"/>
    <xf numFmtId="0" fontId="13" fillId="0" borderId="294" xfId="0" applyFont="1" applyBorder="1"/>
    <xf numFmtId="0" fontId="13" fillId="0" borderId="205" xfId="0" applyFont="1" applyBorder="1"/>
    <xf numFmtId="172" fontId="13" fillId="0" borderId="205" xfId="0" applyNumberFormat="1" applyFont="1" applyBorder="1"/>
    <xf numFmtId="172" fontId="13" fillId="0" borderId="336" xfId="0" applyNumberFormat="1" applyFont="1" applyBorder="1"/>
    <xf numFmtId="0" fontId="13" fillId="0" borderId="208" xfId="0" applyFont="1" applyBorder="1"/>
    <xf numFmtId="0" fontId="114" fillId="0" borderId="0" xfId="0" applyFont="1"/>
    <xf numFmtId="0" fontId="0" fillId="0" borderId="220" xfId="0" applyBorder="1"/>
    <xf numFmtId="0" fontId="3" fillId="0" borderId="220" xfId="0" applyFont="1" applyBorder="1" applyAlignment="1">
      <alignment horizontal="center"/>
    </xf>
    <xf numFmtId="0" fontId="2" fillId="0" borderId="220" xfId="0" applyFont="1" applyBorder="1"/>
    <xf numFmtId="0" fontId="6" fillId="0" borderId="220" xfId="0" applyFont="1" applyBorder="1" applyAlignment="1">
      <alignment horizontal="left"/>
    </xf>
    <xf numFmtId="0" fontId="3" fillId="0" borderId="220" xfId="0" applyFont="1" applyBorder="1"/>
    <xf numFmtId="0" fontId="6" fillId="0" borderId="220" xfId="0" applyFont="1" applyBorder="1" applyAlignment="1">
      <alignment horizontal="right"/>
    </xf>
    <xf numFmtId="3" fontId="6" fillId="0" borderId="220" xfId="0" applyNumberFormat="1" applyFont="1" applyBorder="1" applyAlignment="1">
      <alignment horizontal="right"/>
    </xf>
    <xf numFmtId="0" fontId="4" fillId="0" borderId="220" xfId="0" applyFont="1" applyBorder="1" applyAlignment="1">
      <alignment horizontal="right"/>
    </xf>
    <xf numFmtId="0" fontId="4" fillId="0" borderId="223" xfId="0" applyFont="1" applyBorder="1" applyAlignment="1">
      <alignment horizontal="right"/>
    </xf>
    <xf numFmtId="164" fontId="4" fillId="0" borderId="337" xfId="0" applyNumberFormat="1" applyFont="1" applyBorder="1" applyAlignment="1">
      <alignment horizontal="center"/>
    </xf>
    <xf numFmtId="0" fontId="4" fillId="0" borderId="337" xfId="0" applyFont="1" applyBorder="1" applyAlignment="1">
      <alignment horizontal="center"/>
    </xf>
    <xf numFmtId="3" fontId="4" fillId="0" borderId="337" xfId="0" applyNumberFormat="1" applyFont="1" applyBorder="1" applyAlignment="1">
      <alignment horizontal="center"/>
    </xf>
    <xf numFmtId="0" fontId="12" fillId="11" borderId="337" xfId="0" applyFont="1" applyFill="1" applyBorder="1" applyAlignment="1">
      <alignment horizontal="center" wrapText="1"/>
    </xf>
    <xf numFmtId="0" fontId="12" fillId="0" borderId="0" xfId="0" applyFont="1" applyAlignment="1">
      <alignment horizontal="center"/>
    </xf>
    <xf numFmtId="0" fontId="4" fillId="0" borderId="0" xfId="0" applyFont="1" applyAlignment="1">
      <alignment horizontal="center"/>
    </xf>
    <xf numFmtId="173" fontId="17" fillId="0" borderId="0" xfId="0" applyNumberFormat="1" applyFont="1" applyAlignment="1">
      <alignment horizontal="right"/>
    </xf>
    <xf numFmtId="173" fontId="3" fillId="0" borderId="0" xfId="0" applyNumberFormat="1" applyFont="1"/>
    <xf numFmtId="173" fontId="19" fillId="0" borderId="0" xfId="0" applyNumberFormat="1" applyFont="1" applyAlignment="1">
      <alignment horizontal="right"/>
    </xf>
    <xf numFmtId="0" fontId="11" fillId="0" borderId="0" xfId="0" applyFont="1"/>
    <xf numFmtId="0" fontId="20" fillId="0" borderId="0" xfId="0" applyFont="1" applyAlignment="1">
      <alignment horizontal="right"/>
    </xf>
    <xf numFmtId="0" fontId="21" fillId="0" borderId="0" xfId="0" applyFont="1" applyAlignment="1">
      <alignment horizontal="right"/>
    </xf>
    <xf numFmtId="0" fontId="11" fillId="0" borderId="0" xfId="0" applyFont="1" applyAlignment="1">
      <alignment horizontal="center"/>
    </xf>
    <xf numFmtId="0" fontId="3" fillId="0" borderId="0" xfId="0" applyFont="1" applyAlignment="1">
      <alignment horizontal="center"/>
    </xf>
    <xf numFmtId="3" fontId="3" fillId="0" borderId="0" xfId="0" applyNumberFormat="1" applyFont="1" applyAlignment="1">
      <alignment horizontal="center"/>
    </xf>
    <xf numFmtId="9" fontId="3" fillId="0" borderId="0" xfId="0" applyNumberFormat="1" applyFont="1" applyAlignment="1">
      <alignment horizontal="center"/>
    </xf>
    <xf numFmtId="9" fontId="3" fillId="0" borderId="0" xfId="0" applyNumberFormat="1" applyFont="1"/>
    <xf numFmtId="175" fontId="11" fillId="0" borderId="0" xfId="0" applyNumberFormat="1" applyFont="1" applyAlignment="1">
      <alignment horizontal="center"/>
    </xf>
    <xf numFmtId="175" fontId="3" fillId="0" borderId="0" xfId="0" applyNumberFormat="1" applyFont="1"/>
    <xf numFmtId="176" fontId="11" fillId="0" borderId="0" xfId="0" applyNumberFormat="1" applyFont="1" applyAlignment="1">
      <alignment horizontal="center"/>
    </xf>
    <xf numFmtId="176" fontId="3" fillId="0" borderId="0" xfId="0" applyNumberFormat="1" applyFont="1"/>
    <xf numFmtId="176" fontId="3" fillId="0" borderId="0" xfId="0" applyNumberFormat="1" applyFont="1" applyAlignment="1">
      <alignment horizontal="center"/>
    </xf>
    <xf numFmtId="175" fontId="3" fillId="0" borderId="0" xfId="0" applyNumberFormat="1" applyFont="1" applyAlignment="1">
      <alignment horizontal="center"/>
    </xf>
    <xf numFmtId="0" fontId="20" fillId="0" borderId="0" xfId="0" applyFont="1" applyAlignment="1">
      <alignment horizontal="center"/>
    </xf>
    <xf numFmtId="3" fontId="4" fillId="0" borderId="0" xfId="0" applyNumberFormat="1" applyFont="1" applyAlignment="1">
      <alignment horizontal="right" wrapText="1"/>
    </xf>
    <xf numFmtId="177" fontId="12" fillId="0" borderId="0" xfId="0" applyNumberFormat="1" applyFont="1" applyAlignment="1">
      <alignment horizontal="right" wrapText="1"/>
    </xf>
    <xf numFmtId="177" fontId="3" fillId="0" borderId="0" xfId="0" applyNumberFormat="1" applyFont="1"/>
    <xf numFmtId="177" fontId="4" fillId="0" borderId="0" xfId="0" applyNumberFormat="1" applyFont="1" applyAlignment="1">
      <alignment horizontal="right" wrapText="1"/>
    </xf>
    <xf numFmtId="0" fontId="22" fillId="0" borderId="0" xfId="0" applyFont="1"/>
    <xf numFmtId="3" fontId="115" fillId="0" borderId="4" xfId="0" applyNumberFormat="1" applyFont="1" applyBorder="1" applyAlignment="1">
      <alignment horizontal="center"/>
    </xf>
    <xf numFmtId="0" fontId="123" fillId="0" borderId="0" xfId="0" applyFont="1"/>
    <xf numFmtId="1" fontId="122" fillId="4" borderId="340" xfId="0" applyNumberFormat="1" applyFont="1" applyFill="1" applyBorder="1" applyAlignment="1">
      <alignment horizontal="center"/>
    </xf>
    <xf numFmtId="178" fontId="121" fillId="4" borderId="342" xfId="0" applyNumberFormat="1" applyFont="1" applyFill="1" applyBorder="1" applyAlignment="1">
      <alignment horizontal="center"/>
    </xf>
    <xf numFmtId="0" fontId="122" fillId="0" borderId="343" xfId="0" applyFont="1" applyBorder="1"/>
    <xf numFmtId="0" fontId="121" fillId="0" borderId="344" xfId="0" applyFont="1" applyBorder="1"/>
    <xf numFmtId="178" fontId="122" fillId="4" borderId="342" xfId="0" applyNumberFormat="1" applyFont="1" applyFill="1" applyBorder="1" applyAlignment="1">
      <alignment horizontal="center"/>
    </xf>
    <xf numFmtId="0" fontId="121" fillId="0" borderId="345" xfId="0" applyFont="1" applyBorder="1"/>
    <xf numFmtId="0" fontId="121" fillId="0" borderId="326" xfId="0" applyFont="1" applyBorder="1"/>
    <xf numFmtId="0" fontId="121" fillId="0" borderId="346" xfId="0" applyFont="1" applyBorder="1"/>
    <xf numFmtId="0" fontId="125" fillId="0" borderId="326" xfId="0" applyFont="1" applyBorder="1"/>
    <xf numFmtId="0" fontId="121" fillId="0" borderId="326" xfId="0" applyFont="1" applyBorder="1" applyAlignment="1">
      <alignment horizontal="left" indent="2"/>
    </xf>
    <xf numFmtId="178" fontId="121" fillId="0" borderId="342" xfId="0" applyNumberFormat="1" applyFont="1" applyBorder="1" applyAlignment="1">
      <alignment horizontal="center"/>
    </xf>
    <xf numFmtId="0" fontId="121" fillId="0" borderId="347" xfId="0" applyFont="1" applyBorder="1"/>
    <xf numFmtId="0" fontId="121" fillId="0" borderId="326" xfId="0" applyFont="1" applyBorder="1" applyAlignment="1">
      <alignment horizontal="left"/>
    </xf>
    <xf numFmtId="0" fontId="122" fillId="0" borderId="344" xfId="0" applyFont="1" applyBorder="1"/>
    <xf numFmtId="178" fontId="122" fillId="4" borderId="342" xfId="0" applyNumberFormat="1" applyFont="1" applyFill="1" applyBorder="1" applyAlignment="1">
      <alignment horizontal="center" wrapText="1"/>
    </xf>
    <xf numFmtId="0" fontId="122" fillId="0" borderId="348" xfId="0" applyFont="1" applyBorder="1"/>
    <xf numFmtId="0" fontId="122" fillId="0" borderId="326" xfId="0" applyFont="1" applyBorder="1"/>
    <xf numFmtId="0" fontId="122" fillId="0" borderId="349" xfId="0" applyFont="1" applyBorder="1"/>
    <xf numFmtId="0" fontId="125" fillId="0" borderId="92" xfId="0" applyFont="1" applyBorder="1"/>
    <xf numFmtId="10" fontId="126" fillId="0" borderId="342" xfId="0" applyNumberFormat="1" applyFont="1" applyBorder="1"/>
    <xf numFmtId="178" fontId="126" fillId="0" borderId="342" xfId="0" applyNumberFormat="1" applyFont="1" applyBorder="1" applyAlignment="1">
      <alignment horizontal="center"/>
    </xf>
    <xf numFmtId="178" fontId="121" fillId="43" borderId="342" xfId="0" applyNumberFormat="1" applyFont="1" applyFill="1" applyBorder="1" applyAlignment="1">
      <alignment horizontal="center"/>
    </xf>
    <xf numFmtId="165" fontId="121" fillId="0" borderId="350" xfId="0" applyNumberFormat="1" applyFont="1" applyBorder="1"/>
    <xf numFmtId="0" fontId="122" fillId="0" borderId="351" xfId="0" applyFont="1" applyBorder="1"/>
    <xf numFmtId="0" fontId="125" fillId="0" borderId="352" xfId="0" applyFont="1" applyBorder="1"/>
    <xf numFmtId="0" fontId="121" fillId="0" borderId="0" xfId="0" applyFont="1"/>
    <xf numFmtId="0" fontId="115" fillId="0" borderId="353" xfId="0" applyFont="1" applyBorder="1"/>
    <xf numFmtId="0" fontId="127" fillId="5" borderId="354" xfId="0" applyFont="1" applyFill="1" applyBorder="1" applyAlignment="1">
      <alignment horizontal="center"/>
    </xf>
    <xf numFmtId="0" fontId="127" fillId="5" borderId="355" xfId="0" applyFont="1" applyFill="1" applyBorder="1" applyAlignment="1">
      <alignment horizontal="center"/>
    </xf>
    <xf numFmtId="0" fontId="115" fillId="0" borderId="356" xfId="0" applyFont="1" applyBorder="1"/>
    <xf numFmtId="178" fontId="115" fillId="0" borderId="337" xfId="0" applyNumberFormat="1" applyFont="1" applyBorder="1" applyAlignment="1">
      <alignment horizontal="center"/>
    </xf>
    <xf numFmtId="178" fontId="115" fillId="0" borderId="357" xfId="0" applyNumberFormat="1" applyFont="1" applyBorder="1" applyAlignment="1">
      <alignment horizontal="center"/>
    </xf>
    <xf numFmtId="0" fontId="115" fillId="0" borderId="358" xfId="0" applyFont="1" applyBorder="1"/>
    <xf numFmtId="178" fontId="115" fillId="0" borderId="359" xfId="0" applyNumberFormat="1" applyFont="1" applyBorder="1" applyAlignment="1">
      <alignment horizontal="center"/>
    </xf>
    <xf numFmtId="0" fontId="128" fillId="0" borderId="0" xfId="0" applyFont="1" applyAlignment="1">
      <alignment horizontal="left"/>
    </xf>
    <xf numFmtId="0" fontId="128" fillId="0" borderId="0" xfId="0" applyFont="1" applyAlignment="1">
      <alignment horizontal="right"/>
    </xf>
    <xf numFmtId="178" fontId="0" fillId="0" borderId="0" xfId="0" applyNumberFormat="1"/>
    <xf numFmtId="171" fontId="2" fillId="0" borderId="220" xfId="0" applyNumberFormat="1" applyFont="1" applyBorder="1"/>
    <xf numFmtId="0" fontId="129" fillId="0" borderId="0" xfId="0" applyFont="1"/>
    <xf numFmtId="178" fontId="115" fillId="0" borderId="360" xfId="0" applyNumberFormat="1" applyFont="1" applyBorder="1" applyAlignment="1">
      <alignment horizontal="center"/>
    </xf>
    <xf numFmtId="0" fontId="122" fillId="0" borderId="348" xfId="0" applyFont="1" applyBorder="1"/>
    <xf numFmtId="0" fontId="118" fillId="0" borderId="169" xfId="0" applyFont="1" applyBorder="1"/>
    <xf numFmtId="0" fontId="122" fillId="0" borderId="349" xfId="0" applyFont="1" applyBorder="1"/>
    <xf numFmtId="0" fontId="118" fillId="0" borderId="92" xfId="0" applyFont="1" applyBorder="1"/>
    <xf numFmtId="0" fontId="4" fillId="2" borderId="337" xfId="0" applyFont="1" applyFill="1" applyBorder="1" applyAlignment="1">
      <alignment horizontal="center"/>
    </xf>
    <xf numFmtId="3" fontId="4" fillId="0" borderId="337" xfId="0" applyNumberFormat="1" applyFont="1" applyBorder="1" applyAlignment="1">
      <alignment horizontal="center"/>
    </xf>
    <xf numFmtId="0" fontId="116" fillId="3" borderId="338" xfId="0" applyFont="1" applyFill="1" applyBorder="1"/>
    <xf numFmtId="0" fontId="118" fillId="0" borderId="339" xfId="0" applyFont="1" applyBorder="1"/>
    <xf numFmtId="0" fontId="121" fillId="0" borderId="341" xfId="0" applyFont="1" applyBorder="1"/>
    <xf numFmtId="0" fontId="118" fillId="0" borderId="96" xfId="0" applyFont="1" applyBorder="1"/>
    <xf numFmtId="0" fontId="32" fillId="25" borderId="177" xfId="0" applyFont="1" applyFill="1" applyBorder="1"/>
    <xf numFmtId="0" fontId="5" fillId="0" borderId="178" xfId="0" applyFont="1" applyBorder="1"/>
    <xf numFmtId="0" fontId="3" fillId="2" borderId="38" xfId="0" applyFont="1" applyFill="1" applyBorder="1" applyAlignment="1">
      <alignment horizontal="center"/>
    </xf>
    <xf numFmtId="0" fontId="5" fillId="0" borderId="39" xfId="0" applyFont="1" applyBorder="1"/>
    <xf numFmtId="0" fontId="8" fillId="0" borderId="10" xfId="0" applyFont="1" applyBorder="1" applyAlignment="1">
      <alignment horizontal="center"/>
    </xf>
    <xf numFmtId="0" fontId="5" fillId="0" borderId="11" xfId="0" applyFont="1" applyBorder="1"/>
    <xf numFmtId="0" fontId="5" fillId="0" borderId="53" xfId="0" applyFont="1" applyBorder="1"/>
    <xf numFmtId="0" fontId="8" fillId="0" borderId="0" xfId="0" applyFont="1" applyAlignment="1">
      <alignment horizontal="center"/>
    </xf>
    <xf numFmtId="0" fontId="0" fillId="0" borderId="0" xfId="0"/>
    <xf numFmtId="0" fontId="8" fillId="0" borderId="0" xfId="0" applyFont="1"/>
    <xf numFmtId="0" fontId="2" fillId="0" borderId="0" xfId="0" applyFont="1" applyAlignment="1">
      <alignment wrapText="1"/>
    </xf>
    <xf numFmtId="0" fontId="29" fillId="0" borderId="0" xfId="0" applyFont="1" applyAlignment="1">
      <alignment horizontal="left" wrapText="1"/>
    </xf>
    <xf numFmtId="0" fontId="2" fillId="0" borderId="35" xfId="0" applyFont="1" applyBorder="1"/>
    <xf numFmtId="0" fontId="5" fillId="0" borderId="35" xfId="0" applyFont="1" applyBorder="1"/>
    <xf numFmtId="0" fontId="2" fillId="0" borderId="33" xfId="0" applyFont="1" applyBorder="1"/>
    <xf numFmtId="0" fontId="5" fillId="0" borderId="37" xfId="0" applyFont="1" applyBorder="1"/>
    <xf numFmtId="0" fontId="2" fillId="0" borderId="215" xfId="0" applyFont="1" applyBorder="1"/>
    <xf numFmtId="0" fontId="5" fillId="0" borderId="27" xfId="0" applyFont="1" applyBorder="1"/>
    <xf numFmtId="0" fontId="2" fillId="14" borderId="221" xfId="0" applyFont="1" applyFill="1" applyBorder="1"/>
    <xf numFmtId="0" fontId="5" fillId="0" borderId="222" xfId="0" applyFont="1" applyBorder="1"/>
    <xf numFmtId="0" fontId="2" fillId="0" borderId="7" xfId="0" applyFont="1" applyBorder="1"/>
    <xf numFmtId="0" fontId="5" fillId="0" borderId="108" xfId="0" applyFont="1" applyBorder="1"/>
    <xf numFmtId="0" fontId="8" fillId="0" borderId="67" xfId="0" applyFont="1" applyBorder="1"/>
    <xf numFmtId="0" fontId="8" fillId="8" borderId="216" xfId="0" applyFont="1" applyFill="1" applyBorder="1"/>
    <xf numFmtId="0" fontId="5" fillId="0" borderId="223" xfId="0" applyFont="1" applyBorder="1"/>
    <xf numFmtId="0" fontId="5" fillId="0" borderId="217" xfId="0" applyFont="1" applyBorder="1"/>
    <xf numFmtId="0" fontId="5" fillId="0" borderId="29" xfId="0" applyFont="1" applyBorder="1"/>
    <xf numFmtId="190" fontId="8" fillId="0" borderId="34" xfId="0" applyNumberFormat="1" applyFont="1" applyBorder="1"/>
    <xf numFmtId="0" fontId="2" fillId="0" borderId="30" xfId="0" applyFont="1" applyBorder="1"/>
    <xf numFmtId="0" fontId="5" fillId="0" borderId="36" xfId="0" applyFont="1" applyBorder="1"/>
    <xf numFmtId="190" fontId="2" fillId="0" borderId="30" xfId="0" applyNumberFormat="1" applyFont="1" applyBorder="1" applyAlignment="1">
      <alignment horizontal="left"/>
    </xf>
    <xf numFmtId="190" fontId="2" fillId="0" borderId="33" xfId="0" applyNumberFormat="1" applyFont="1" applyBorder="1" applyAlignment="1">
      <alignment horizontal="left"/>
    </xf>
    <xf numFmtId="0" fontId="2" fillId="0" borderId="67" xfId="0" applyFont="1" applyBorder="1"/>
    <xf numFmtId="0" fontId="8" fillId="0" borderId="152" xfId="0" applyFont="1" applyBorder="1"/>
    <xf numFmtId="167" fontId="2" fillId="0" borderId="33" xfId="0" applyNumberFormat="1" applyFont="1" applyBorder="1"/>
    <xf numFmtId="167" fontId="2" fillId="0" borderId="7" xfId="0" applyNumberFormat="1" applyFont="1" applyBorder="1"/>
    <xf numFmtId="190" fontId="8" fillId="14" borderId="221" xfId="0" applyNumberFormat="1" applyFont="1" applyFill="1" applyBorder="1" applyAlignment="1">
      <alignment horizontal="left"/>
    </xf>
    <xf numFmtId="0" fontId="5" fillId="0" borderId="219" xfId="0" applyFont="1" applyBorder="1"/>
    <xf numFmtId="190" fontId="2" fillId="0" borderId="7" xfId="0" applyNumberFormat="1" applyFont="1" applyBorder="1" applyAlignment="1">
      <alignment horizontal="left"/>
    </xf>
    <xf numFmtId="0" fontId="8" fillId="34" borderId="218" xfId="0" applyFont="1" applyFill="1" applyBorder="1"/>
    <xf numFmtId="0" fontId="5" fillId="0" borderId="220" xfId="0" applyFont="1" applyBorder="1"/>
    <xf numFmtId="190" fontId="2" fillId="0" borderId="215" xfId="0" applyNumberFormat="1" applyFont="1" applyBorder="1" applyAlignment="1">
      <alignment horizontal="left"/>
    </xf>
    <xf numFmtId="0" fontId="29" fillId="14" borderId="216" xfId="0" applyFont="1" applyFill="1" applyBorder="1"/>
    <xf numFmtId="190" fontId="29" fillId="0" borderId="34" xfId="0" applyNumberFormat="1" applyFont="1" applyBorder="1" applyAlignment="1">
      <alignment horizontal="left"/>
    </xf>
    <xf numFmtId="0" fontId="8" fillId="0" borderId="107" xfId="0" applyFont="1" applyBorder="1"/>
    <xf numFmtId="0" fontId="5" fillId="0" borderId="107" xfId="0" applyFont="1" applyBorder="1"/>
    <xf numFmtId="0" fontId="2" fillId="0" borderId="21" xfId="0" applyFont="1" applyBorder="1" applyAlignment="1">
      <alignment horizontal="center" wrapText="1"/>
    </xf>
    <xf numFmtId="0" fontId="5" fillId="0" borderId="32" xfId="0" applyFont="1" applyBorder="1"/>
    <xf numFmtId="0" fontId="8" fillId="2" borderId="320" xfId="0" applyFont="1" applyFill="1" applyBorder="1" applyAlignment="1">
      <alignment horizontal="center" vertical="top" wrapText="1"/>
    </xf>
    <xf numFmtId="0" fontId="5" fillId="0" borderId="321" xfId="0" applyFont="1" applyBorder="1"/>
    <xf numFmtId="0" fontId="30" fillId="0" borderId="50" xfId="0" applyFont="1" applyBorder="1" applyAlignment="1">
      <alignment horizontal="right" wrapText="1"/>
    </xf>
    <xf numFmtId="0" fontId="5" fillId="0" borderId="2" xfId="0" applyFont="1" applyBorder="1"/>
    <xf numFmtId="0" fontId="5" fillId="0" borderId="3" xfId="0" applyFont="1" applyBorder="1"/>
    <xf numFmtId="0" fontId="2" fillId="0" borderId="0" xfId="0" applyFont="1"/>
    <xf numFmtId="9" fontId="8" fillId="0" borderId="116" xfId="0" applyNumberFormat="1" applyFont="1" applyBorder="1" applyAlignment="1">
      <alignment horizontal="center"/>
    </xf>
    <xf numFmtId="0" fontId="5" fillId="0" borderId="116" xfId="0" applyFont="1" applyBorder="1"/>
    <xf numFmtId="0" fontId="8" fillId="0" borderId="116" xfId="0" applyFont="1" applyBorder="1" applyAlignment="1">
      <alignment horizontal="center" vertical="top" wrapText="1"/>
    </xf>
    <xf numFmtId="0" fontId="8" fillId="0" borderId="0" xfId="0" applyFont="1" applyAlignment="1">
      <alignment horizontal="center" vertical="top" wrapText="1"/>
    </xf>
    <xf numFmtId="0" fontId="45" fillId="31" borderId="329" xfId="0" applyFont="1" applyFill="1" applyBorder="1" applyAlignment="1">
      <alignment wrapText="1"/>
    </xf>
    <xf numFmtId="0" fontId="5" fillId="0" borderId="329" xfId="0" applyFont="1" applyBorder="1"/>
    <xf numFmtId="0" fontId="5" fillId="0" borderId="212" xfId="0" applyFont="1" applyBorder="1"/>
    <xf numFmtId="3" fontId="8" fillId="41" borderId="50" xfId="0" applyNumberFormat="1" applyFont="1" applyFill="1" applyBorder="1"/>
    <xf numFmtId="0" fontId="8" fillId="39" borderId="303" xfId="0" applyFont="1" applyFill="1" applyBorder="1"/>
    <xf numFmtId="0" fontId="5" fillId="0" borderId="272" xfId="0" applyFont="1" applyBorder="1"/>
    <xf numFmtId="0" fontId="5" fillId="0" borderId="304" xfId="0" applyFont="1" applyBorder="1"/>
    <xf numFmtId="0" fontId="8" fillId="37" borderId="73" xfId="0" applyFont="1" applyFill="1" applyBorder="1"/>
    <xf numFmtId="3" fontId="8" fillId="38" borderId="50" xfId="0" applyNumberFormat="1" applyFont="1" applyFill="1" applyBorder="1"/>
    <xf numFmtId="0" fontId="8" fillId="30" borderId="73" xfId="0" applyFont="1" applyFill="1" applyBorder="1"/>
    <xf numFmtId="0" fontId="8" fillId="40" borderId="73" xfId="0" applyFont="1" applyFill="1" applyBorder="1"/>
    <xf numFmtId="0" fontId="10" fillId="14" borderId="310" xfId="0" applyFont="1" applyFill="1" applyBorder="1" applyAlignment="1">
      <alignment vertical="center"/>
    </xf>
    <xf numFmtId="0" fontId="5" fillId="0" borderId="311" xfId="0" applyFont="1" applyBorder="1"/>
    <xf numFmtId="0" fontId="5" fillId="0" borderId="312" xfId="0" applyFont="1" applyBorder="1"/>
    <xf numFmtId="0" fontId="2" fillId="0" borderId="0" xfId="0" applyFont="1" applyAlignment="1">
      <alignment horizontal="left" wrapText="1"/>
    </xf>
    <xf numFmtId="0" fontId="12" fillId="16" borderId="50" xfId="0" applyFont="1" applyFill="1" applyBorder="1" applyAlignment="1">
      <alignment horizontal="center"/>
    </xf>
    <xf numFmtId="0" fontId="12" fillId="20" borderId="6" xfId="0" applyFont="1" applyFill="1" applyBorder="1" applyAlignment="1">
      <alignment horizontal="center"/>
    </xf>
    <xf numFmtId="0" fontId="5" fillId="0" borderId="6" xfId="0" applyFont="1" applyBorder="1"/>
    <xf numFmtId="0" fontId="12" fillId="21" borderId="6" xfId="0" applyFont="1" applyFill="1" applyBorder="1" applyAlignment="1">
      <alignment horizontal="center"/>
    </xf>
    <xf numFmtId="0" fontId="5" fillId="0" borderId="4" xfId="0" applyFont="1" applyBorder="1"/>
    <xf numFmtId="0" fontId="12" fillId="19" borderId="6" xfId="0" applyFont="1" applyFill="1" applyBorder="1" applyAlignment="1">
      <alignment horizontal="center"/>
    </xf>
    <xf numFmtId="0" fontId="12" fillId="20" borderId="11" xfId="0" applyFont="1" applyFill="1" applyBorder="1" applyAlignment="1">
      <alignment horizontal="center"/>
    </xf>
    <xf numFmtId="0" fontId="12" fillId="22" borderId="11" xfId="0" applyFont="1" applyFill="1" applyBorder="1" applyAlignment="1">
      <alignment horizontal="center"/>
    </xf>
    <xf numFmtId="0" fontId="5" fillId="0" borderId="51" xfId="0" applyFont="1" applyBorder="1"/>
    <xf numFmtId="0" fontId="4" fillId="0" borderId="6" xfId="0" applyFont="1" applyBorder="1"/>
    <xf numFmtId="0" fontId="12" fillId="11" borderId="6" xfId="0" applyFont="1" applyFill="1" applyBorder="1"/>
    <xf numFmtId="0" fontId="11" fillId="0" borderId="6" xfId="0" applyFont="1" applyBorder="1"/>
    <xf numFmtId="0" fontId="11" fillId="7" borderId="50" xfId="0" applyFont="1" applyFill="1" applyBorder="1" applyAlignment="1">
      <alignment horizontal="center"/>
    </xf>
    <xf numFmtId="0" fontId="12" fillId="0" borderId="6" xfId="0" applyFont="1" applyBorder="1"/>
    <xf numFmtId="0" fontId="119" fillId="5" borderId="326" xfId="0" applyFont="1" applyFill="1" applyBorder="1"/>
    <xf numFmtId="0" fontId="120" fillId="0" borderId="2" xfId="0" applyFont="1" applyBorder="1"/>
    <xf numFmtId="0" fontId="120" fillId="0" borderId="155" xfId="0" applyFont="1" applyBorder="1"/>
    <xf numFmtId="0" fontId="3" fillId="2" borderId="6" xfId="0" applyFont="1" applyFill="1" applyBorder="1" applyAlignment="1">
      <alignment horizontal="center"/>
    </xf>
    <xf numFmtId="0" fontId="16" fillId="0" borderId="0" xfId="0" applyFont="1"/>
    <xf numFmtId="0" fontId="9" fillId="0" borderId="0" xfId="0" applyFont="1"/>
    <xf numFmtId="0" fontId="7" fillId="3" borderId="7" xfId="0" applyFont="1" applyFill="1" applyBorder="1"/>
    <xf numFmtId="0" fontId="5" fillId="0" borderId="8" xfId="0" applyFont="1" applyBorder="1"/>
    <xf numFmtId="0" fontId="8" fillId="0" borderId="10" xfId="0" applyFont="1" applyBorder="1"/>
    <xf numFmtId="0" fontId="8" fillId="0" borderId="215" xfId="0" applyFont="1" applyBorder="1"/>
  </cellXfs>
  <cellStyles count="1">
    <cellStyle name="Normal" xfId="0" builtinId="0"/>
  </cellStyles>
  <dxfs count="2">
    <dxf>
      <fill>
        <patternFill patternType="solid">
          <fgColor rgb="FFFFFF99"/>
          <bgColor rgb="FFFFFF99"/>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sz="1200" b="1" i="0">
                <a:solidFill>
                  <a:srgbClr val="000000"/>
                </a:solidFill>
                <a:latin typeface="+mn-lt"/>
              </a:rPr>
              <a:t>2006, 2011 &amp; 2020 GHG Inventory</a:t>
            </a:r>
          </a:p>
        </c:rich>
      </c:tx>
      <c:overlay val="0"/>
    </c:title>
    <c:autoTitleDeleted val="0"/>
    <c:plotArea>
      <c:layout/>
      <c:barChart>
        <c:barDir val="col"/>
        <c:grouping val="clustered"/>
        <c:varyColors val="1"/>
        <c:ser>
          <c:idx val="0"/>
          <c:order val="0"/>
          <c:tx>
            <c:v>2006</c:v>
          </c:tx>
          <c:spPr>
            <a:solidFill>
              <a:srgbClr val="9999FF"/>
            </a:solidFill>
            <a:ln cmpd="sng">
              <a:solidFill>
                <a:srgbClr val="000000"/>
              </a:solidFill>
            </a:ln>
          </c:spPr>
          <c:invertIfNegative val="1"/>
          <c:cat>
            <c:strRef>
              <c:f>Graphs!$C$177:$C$184</c:f>
              <c:strCache>
                <c:ptCount val="8"/>
                <c:pt idx="0">
                  <c:v>Electricity Use (Consumption)</c:v>
                </c:pt>
                <c:pt idx="1">
                  <c:v>RCI Fuel Use</c:v>
                </c:pt>
                <c:pt idx="2">
                  <c:v>Transportation - Onroad</c:v>
                </c:pt>
                <c:pt idx="3">
                  <c:v>Transportation - Nonroad</c:v>
                </c:pt>
                <c:pt idx="4">
                  <c:v>Fossil Fuel Industry</c:v>
                </c:pt>
                <c:pt idx="5">
                  <c:v>Industrial Processes</c:v>
                </c:pt>
                <c:pt idx="6">
                  <c:v>Agriculture</c:v>
                </c:pt>
                <c:pt idx="7">
                  <c:v>Waste Management</c:v>
                </c:pt>
              </c:strCache>
            </c:strRef>
          </c:cat>
          <c:val>
            <c:numRef>
              <c:f>Graphs!$D$177:$D$184</c:f>
              <c:numCache>
                <c:formatCode>General</c:formatCode>
                <c:ptCount val="8"/>
                <c:pt idx="0">
                  <c:v>42.475674553317035</c:v>
                </c:pt>
                <c:pt idx="1">
                  <c:v>16.870796954329833</c:v>
                </c:pt>
                <c:pt idx="2">
                  <c:v>29.669799999999999</c:v>
                </c:pt>
                <c:pt idx="3">
                  <c:v>5.8017938791854329</c:v>
                </c:pt>
                <c:pt idx="4">
                  <c:v>0.94188463845227166</c:v>
                </c:pt>
                <c:pt idx="5">
                  <c:v>7.4410423344781096</c:v>
                </c:pt>
                <c:pt idx="6">
                  <c:v>1.7714261577852335</c:v>
                </c:pt>
                <c:pt idx="7">
                  <c:v>2.2571179512006849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858-4E63-A90B-59C44056C77E}"/>
            </c:ext>
          </c:extLst>
        </c:ser>
        <c:ser>
          <c:idx val="1"/>
          <c:order val="1"/>
          <c:tx>
            <c:v>2011</c:v>
          </c:tx>
          <c:spPr>
            <a:solidFill>
              <a:srgbClr val="993366"/>
            </a:solidFill>
            <a:ln cmpd="sng">
              <a:solidFill>
                <a:srgbClr val="000000"/>
              </a:solidFill>
            </a:ln>
          </c:spPr>
          <c:invertIfNegative val="1"/>
          <c:cat>
            <c:strRef>
              <c:f>Graphs!$C$177:$C$184</c:f>
              <c:strCache>
                <c:ptCount val="8"/>
                <c:pt idx="0">
                  <c:v>Electricity Use (Consumption)</c:v>
                </c:pt>
                <c:pt idx="1">
                  <c:v>RCI Fuel Use</c:v>
                </c:pt>
                <c:pt idx="2">
                  <c:v>Transportation - Onroad</c:v>
                </c:pt>
                <c:pt idx="3">
                  <c:v>Transportation - Nonroad</c:v>
                </c:pt>
                <c:pt idx="4">
                  <c:v>Fossil Fuel Industry</c:v>
                </c:pt>
                <c:pt idx="5">
                  <c:v>Industrial Processes</c:v>
                </c:pt>
                <c:pt idx="6">
                  <c:v>Agriculture</c:v>
                </c:pt>
                <c:pt idx="7">
                  <c:v>Waste Management</c:v>
                </c:pt>
              </c:strCache>
            </c:strRef>
          </c:cat>
          <c:val>
            <c:numRef>
              <c:f>Graphs!$E$177:$E$184</c:f>
              <c:numCache>
                <c:formatCode>0.000000</c:formatCode>
                <c:ptCount val="8"/>
                <c:pt idx="0">
                  <c:v>37.860129294372811</c:v>
                </c:pt>
                <c:pt idx="1">
                  <c:v>17.000425590955349</c:v>
                </c:pt>
                <c:pt idx="2">
                  <c:v>28.24707569993187</c:v>
                </c:pt>
                <c:pt idx="3">
                  <c:v>7.022468457280195</c:v>
                </c:pt>
                <c:pt idx="4">
                  <c:v>0.83609220289311492</c:v>
                </c:pt>
                <c:pt idx="5">
                  <c:v>4.3985727448193961</c:v>
                </c:pt>
                <c:pt idx="6">
                  <c:v>1.6619477356257877</c:v>
                </c:pt>
                <c:pt idx="7">
                  <c:v>2.2571179512006849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858-4E63-A90B-59C44056C77E}"/>
            </c:ext>
          </c:extLst>
        </c:ser>
        <c:ser>
          <c:idx val="2"/>
          <c:order val="2"/>
          <c:tx>
            <c:v>2020</c:v>
          </c:tx>
          <c:spPr>
            <a:solidFill>
              <a:srgbClr val="FFFFCC"/>
            </a:solidFill>
            <a:ln cmpd="sng">
              <a:solidFill>
                <a:srgbClr val="000000"/>
              </a:solidFill>
            </a:ln>
          </c:spPr>
          <c:invertIfNegative val="1"/>
          <c:cat>
            <c:strRef>
              <c:f>Graphs!$C$177:$C$184</c:f>
              <c:strCache>
                <c:ptCount val="8"/>
                <c:pt idx="0">
                  <c:v>Electricity Use (Consumption)</c:v>
                </c:pt>
                <c:pt idx="1">
                  <c:v>RCI Fuel Use</c:v>
                </c:pt>
                <c:pt idx="2">
                  <c:v>Transportation - Onroad</c:v>
                </c:pt>
                <c:pt idx="3">
                  <c:v>Transportation - Nonroad</c:v>
                </c:pt>
                <c:pt idx="4">
                  <c:v>Fossil Fuel Industry</c:v>
                </c:pt>
                <c:pt idx="5">
                  <c:v>Industrial Processes</c:v>
                </c:pt>
                <c:pt idx="6">
                  <c:v>Agriculture</c:v>
                </c:pt>
                <c:pt idx="7">
                  <c:v>Waste Management</c:v>
                </c:pt>
              </c:strCache>
            </c:strRef>
          </c:cat>
          <c:val>
            <c:numRef>
              <c:f>Graphs!$F$177:$F$184</c:f>
              <c:numCache>
                <c:formatCode>General</c:formatCode>
                <c:ptCount val="8"/>
                <c:pt idx="0">
                  <c:v>58.792780404291136</c:v>
                </c:pt>
                <c:pt idx="1">
                  <c:v>18.84224894318902</c:v>
                </c:pt>
                <c:pt idx="2">
                  <c:v>38.589753745791242</c:v>
                </c:pt>
                <c:pt idx="3">
                  <c:v>8.1941357079120607</c:v>
                </c:pt>
                <c:pt idx="4">
                  <c:v>0.92368868344346611</c:v>
                </c:pt>
                <c:pt idx="5">
                  <c:v>10.244740524234293</c:v>
                </c:pt>
                <c:pt idx="6">
                  <c:v>1.8593377996177092</c:v>
                </c:pt>
                <c:pt idx="7">
                  <c:v>2.6028767109984461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858-4E63-A90B-59C44056C77E}"/>
            </c:ext>
          </c:extLst>
        </c:ser>
        <c:dLbls>
          <c:showLegendKey val="0"/>
          <c:showVal val="0"/>
          <c:showCatName val="0"/>
          <c:showSerName val="0"/>
          <c:showPercent val="0"/>
          <c:showBubbleSize val="0"/>
        </c:dLbls>
        <c:gapWidth val="150"/>
        <c:axId val="559851430"/>
        <c:axId val="1242171196"/>
      </c:barChart>
      <c:catAx>
        <c:axId val="559851430"/>
        <c:scaling>
          <c:orientation val="minMax"/>
        </c:scaling>
        <c:delete val="0"/>
        <c:axPos val="b"/>
        <c:title>
          <c:tx>
            <c:rich>
              <a:bodyPr/>
              <a:lstStyle/>
              <a:p>
                <a:pPr lvl="0">
                  <a:defRPr sz="1000" b="1" i="0">
                    <a:solidFill>
                      <a:srgbClr val="000000"/>
                    </a:solidFill>
                    <a:latin typeface="+mn-lt"/>
                  </a:defRPr>
                </a:pPr>
                <a:r>
                  <a:rPr sz="1000" b="1" i="0">
                    <a:solidFill>
                      <a:srgbClr val="000000"/>
                    </a:solidFill>
                    <a:latin typeface="+mn-lt"/>
                  </a:rPr>
                  <a:t>Source Sectors</a:t>
                </a: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242171196"/>
        <c:crosses val="autoZero"/>
        <c:auto val="1"/>
        <c:lblAlgn val="ctr"/>
        <c:lblOffset val="100"/>
        <c:noMultiLvlLbl val="1"/>
      </c:catAx>
      <c:valAx>
        <c:axId val="1242171196"/>
        <c:scaling>
          <c:orientation val="minMax"/>
        </c:scaling>
        <c:delete val="0"/>
        <c:axPos val="l"/>
        <c:majorGridlines>
          <c:spPr>
            <a:ln>
              <a:solidFill>
                <a:srgbClr val="B7B7B7"/>
              </a:solidFill>
            </a:ln>
          </c:spPr>
        </c:majorGridlines>
        <c:title>
          <c:tx>
            <c:rich>
              <a:bodyPr/>
              <a:lstStyle/>
              <a:p>
                <a:pPr lvl="0">
                  <a:defRPr sz="1000" b="1" i="0">
                    <a:solidFill>
                      <a:srgbClr val="000000"/>
                    </a:solidFill>
                    <a:latin typeface="+mn-lt"/>
                  </a:defRPr>
                </a:pPr>
                <a:r>
                  <a:rPr sz="1000" b="1" i="0">
                    <a:solidFill>
                      <a:srgbClr val="000000"/>
                    </a:solidFill>
                    <a:latin typeface="+mn-lt"/>
                  </a:rPr>
                  <a:t>MMTCO2E</a:t>
                </a:r>
              </a:p>
            </c:rich>
          </c:tx>
          <c:overlay val="0"/>
        </c:title>
        <c:numFmt formatCode="General" sourceLinked="1"/>
        <c:majorTickMark val="none"/>
        <c:minorTickMark val="none"/>
        <c:tickLblPos val="nextTo"/>
        <c:spPr>
          <a:ln/>
        </c:spPr>
        <c:txPr>
          <a:bodyPr/>
          <a:lstStyle/>
          <a:p>
            <a:pPr lvl="0">
              <a:defRPr b="0" i="0">
                <a:solidFill>
                  <a:srgbClr val="000000"/>
                </a:solidFill>
                <a:latin typeface="+mn-lt"/>
              </a:defRPr>
            </a:pPr>
            <a:endParaRPr lang="en-US"/>
          </a:p>
        </c:txPr>
        <c:crossAx val="559851430"/>
        <c:crosses val="autoZero"/>
        <c:crossBetween val="between"/>
      </c:valAx>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sz="1200" b="1" i="0">
                <a:solidFill>
                  <a:srgbClr val="000000"/>
                </a:solidFill>
                <a:latin typeface="+mn-lt"/>
              </a:rPr>
              <a:t>2011 GHG Emissions By Sector</a:t>
            </a:r>
          </a:p>
        </c:rich>
      </c:tx>
      <c:overlay val="0"/>
    </c:title>
    <c:autoTitleDeleted val="0"/>
    <c:plotArea>
      <c:layout/>
      <c:pieChart>
        <c:varyColors val="1"/>
        <c:ser>
          <c:idx val="0"/>
          <c:order val="0"/>
          <c:tx>
            <c:strRef>
              <c:f>Graphs!$E$176</c:f>
              <c:strCache>
                <c:ptCount val="1"/>
                <c:pt idx="0">
                  <c:v>2011</c:v>
                </c:pt>
              </c:strCache>
            </c:strRef>
          </c:tx>
          <c:dPt>
            <c:idx val="0"/>
            <c:bubble3D val="0"/>
            <c:spPr>
              <a:solidFill>
                <a:srgbClr val="9999FF"/>
              </a:solidFill>
            </c:spPr>
            <c:extLst>
              <c:ext xmlns:c16="http://schemas.microsoft.com/office/drawing/2014/chart" uri="{C3380CC4-5D6E-409C-BE32-E72D297353CC}">
                <c16:uniqueId val="{00000001-CCE4-4C32-88EB-729284F069F5}"/>
              </c:ext>
            </c:extLst>
          </c:dPt>
          <c:dPt>
            <c:idx val="1"/>
            <c:bubble3D val="0"/>
            <c:spPr>
              <a:solidFill>
                <a:srgbClr val="993366"/>
              </a:solidFill>
            </c:spPr>
            <c:extLst>
              <c:ext xmlns:c16="http://schemas.microsoft.com/office/drawing/2014/chart" uri="{C3380CC4-5D6E-409C-BE32-E72D297353CC}">
                <c16:uniqueId val="{00000003-CCE4-4C32-88EB-729284F069F5}"/>
              </c:ext>
            </c:extLst>
          </c:dPt>
          <c:dPt>
            <c:idx val="2"/>
            <c:bubble3D val="0"/>
            <c:spPr>
              <a:solidFill>
                <a:srgbClr val="FFFFCC"/>
              </a:solidFill>
            </c:spPr>
            <c:extLst>
              <c:ext xmlns:c16="http://schemas.microsoft.com/office/drawing/2014/chart" uri="{C3380CC4-5D6E-409C-BE32-E72D297353CC}">
                <c16:uniqueId val="{00000005-CCE4-4C32-88EB-729284F069F5}"/>
              </c:ext>
            </c:extLst>
          </c:dPt>
          <c:dPt>
            <c:idx val="3"/>
            <c:bubble3D val="0"/>
            <c:spPr>
              <a:solidFill>
                <a:srgbClr val="CCFFFF"/>
              </a:solidFill>
            </c:spPr>
            <c:extLst>
              <c:ext xmlns:c16="http://schemas.microsoft.com/office/drawing/2014/chart" uri="{C3380CC4-5D6E-409C-BE32-E72D297353CC}">
                <c16:uniqueId val="{00000007-CCE4-4C32-88EB-729284F069F5}"/>
              </c:ext>
            </c:extLst>
          </c:dPt>
          <c:dPt>
            <c:idx val="4"/>
            <c:bubble3D val="0"/>
            <c:spPr>
              <a:solidFill>
                <a:srgbClr val="660066"/>
              </a:solidFill>
            </c:spPr>
            <c:extLst>
              <c:ext xmlns:c16="http://schemas.microsoft.com/office/drawing/2014/chart" uri="{C3380CC4-5D6E-409C-BE32-E72D297353CC}">
                <c16:uniqueId val="{00000009-CCE4-4C32-88EB-729284F069F5}"/>
              </c:ext>
            </c:extLst>
          </c:dPt>
          <c:dPt>
            <c:idx val="5"/>
            <c:bubble3D val="0"/>
            <c:spPr>
              <a:solidFill>
                <a:srgbClr val="FF8080"/>
              </a:solidFill>
            </c:spPr>
            <c:extLst>
              <c:ext xmlns:c16="http://schemas.microsoft.com/office/drawing/2014/chart" uri="{C3380CC4-5D6E-409C-BE32-E72D297353CC}">
                <c16:uniqueId val="{0000000B-CCE4-4C32-88EB-729284F069F5}"/>
              </c:ext>
            </c:extLst>
          </c:dPt>
          <c:dPt>
            <c:idx val="6"/>
            <c:bubble3D val="0"/>
            <c:spPr>
              <a:solidFill>
                <a:srgbClr val="0066CC"/>
              </a:solidFill>
            </c:spPr>
            <c:extLst>
              <c:ext xmlns:c16="http://schemas.microsoft.com/office/drawing/2014/chart" uri="{C3380CC4-5D6E-409C-BE32-E72D297353CC}">
                <c16:uniqueId val="{0000000D-CCE4-4C32-88EB-729284F069F5}"/>
              </c:ext>
            </c:extLst>
          </c:dPt>
          <c:dPt>
            <c:idx val="7"/>
            <c:bubble3D val="0"/>
            <c:spPr>
              <a:solidFill>
                <a:srgbClr val="CCCCFF"/>
              </a:solidFill>
            </c:spPr>
            <c:extLst>
              <c:ext xmlns:c16="http://schemas.microsoft.com/office/drawing/2014/chart" uri="{C3380CC4-5D6E-409C-BE32-E72D297353CC}">
                <c16:uniqueId val="{0000000F-CCE4-4C32-88EB-729284F069F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Graphs!$C$177:$C$184</c:f>
              <c:strCache>
                <c:ptCount val="8"/>
                <c:pt idx="0">
                  <c:v>Electricity Use (Consumption)</c:v>
                </c:pt>
                <c:pt idx="1">
                  <c:v>RCI Fuel Use</c:v>
                </c:pt>
                <c:pt idx="2">
                  <c:v>Transportation - Onroad</c:v>
                </c:pt>
                <c:pt idx="3">
                  <c:v>Transportation - Nonroad</c:v>
                </c:pt>
                <c:pt idx="4">
                  <c:v>Fossil Fuel Industry</c:v>
                </c:pt>
                <c:pt idx="5">
                  <c:v>Industrial Processes</c:v>
                </c:pt>
                <c:pt idx="6">
                  <c:v>Agriculture</c:v>
                </c:pt>
                <c:pt idx="7">
                  <c:v>Waste Management</c:v>
                </c:pt>
              </c:strCache>
            </c:strRef>
          </c:cat>
          <c:val>
            <c:numRef>
              <c:f>Graphs!$E$177:$E$184</c:f>
              <c:numCache>
                <c:formatCode>0.000000</c:formatCode>
                <c:ptCount val="8"/>
                <c:pt idx="0">
                  <c:v>37.860129294372811</c:v>
                </c:pt>
                <c:pt idx="1">
                  <c:v>17.000425590955349</c:v>
                </c:pt>
                <c:pt idx="2">
                  <c:v>28.24707569993187</c:v>
                </c:pt>
                <c:pt idx="3">
                  <c:v>7.022468457280195</c:v>
                </c:pt>
                <c:pt idx="4">
                  <c:v>0.83609220289311492</c:v>
                </c:pt>
                <c:pt idx="5">
                  <c:v>4.3985727448193961</c:v>
                </c:pt>
                <c:pt idx="6">
                  <c:v>1.6619477356257877</c:v>
                </c:pt>
                <c:pt idx="7">
                  <c:v>2.2571179512006849</c:v>
                </c:pt>
              </c:numCache>
            </c:numRef>
          </c:val>
          <c:extLst>
            <c:ext xmlns:c16="http://schemas.microsoft.com/office/drawing/2014/chart" uri="{C3380CC4-5D6E-409C-BE32-E72D297353CC}">
              <c16:uniqueId val="{00000010-CCE4-4C32-88EB-729284F069F5}"/>
            </c:ext>
          </c:extLst>
        </c:ser>
        <c:dLbls>
          <c:showLegendKey val="0"/>
          <c:showVal val="0"/>
          <c:showCatName val="0"/>
          <c:showSerName val="0"/>
          <c:showPercent val="0"/>
          <c:showBubbleSize val="0"/>
          <c:showLeaderLines val="1"/>
        </c:dLbls>
        <c:firstSliceAng val="0"/>
      </c:pieChart>
    </c:plotArea>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sz="1200" b="1" i="0">
                <a:solidFill>
                  <a:srgbClr val="000000"/>
                </a:solidFill>
                <a:latin typeface="+mn-lt"/>
              </a:rPr>
              <a:t>Figure ES-3</a:t>
            </a:r>
          </a:p>
        </c:rich>
      </c:tx>
      <c:overlay val="0"/>
    </c:title>
    <c:autoTitleDeleted val="0"/>
    <c:plotArea>
      <c:layout/>
      <c:areaChart>
        <c:grouping val="stacked"/>
        <c:varyColors val="1"/>
        <c:ser>
          <c:idx val="0"/>
          <c:order val="0"/>
          <c:tx>
            <c:v>Electricity Use (Consumption)</c:v>
          </c:tx>
          <c:spPr>
            <a:solidFill>
              <a:srgbClr val="9999FF">
                <a:alpha val="30000"/>
              </a:srgbClr>
            </a:solidFill>
            <a:ln cmpd="sng">
              <a:solidFill>
                <a:srgbClr val="9999FF"/>
              </a:solidFill>
            </a:ln>
          </c:spPr>
          <c:cat>
            <c:numRef>
              <c:f>Graphs!$I$176:$W$176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Graphs!$I$177:$W$177</c:f>
              <c:numCache>
                <c:formatCode>0.000000</c:formatCode>
                <c:ptCount val="15"/>
                <c:pt idx="0">
                  <c:v>42.179744588914474</c:v>
                </c:pt>
                <c:pt idx="1">
                  <c:v>50.159633983674567</c:v>
                </c:pt>
                <c:pt idx="2">
                  <c:v>50.485323301676758</c:v>
                </c:pt>
                <c:pt idx="3">
                  <c:v>49.045730065705428</c:v>
                </c:pt>
                <c:pt idx="4">
                  <c:v>51.921441838508308</c:v>
                </c:pt>
                <c:pt idx="5">
                  <c:v>37.860129294372811</c:v>
                </c:pt>
                <c:pt idx="6">
                  <c:v>54.163190510478508</c:v>
                </c:pt>
                <c:pt idx="7">
                  <c:v>54.587157573028939</c:v>
                </c:pt>
                <c:pt idx="8">
                  <c:v>54.964527636444579</c:v>
                </c:pt>
                <c:pt idx="9">
                  <c:v>55.276924419376485</c:v>
                </c:pt>
                <c:pt idx="10">
                  <c:v>56.281792817111608</c:v>
                </c:pt>
                <c:pt idx="11">
                  <c:v>56.885584918576626</c:v>
                </c:pt>
                <c:pt idx="12">
                  <c:v>57.496596273428729</c:v>
                </c:pt>
                <c:pt idx="13">
                  <c:v>58.133859458779312</c:v>
                </c:pt>
                <c:pt idx="14">
                  <c:v>58.792780404291136</c:v>
                </c:pt>
              </c:numCache>
            </c:numRef>
          </c:val>
          <c:extLst>
            <c:ext xmlns:c16="http://schemas.microsoft.com/office/drawing/2014/chart" uri="{C3380CC4-5D6E-409C-BE32-E72D297353CC}">
              <c16:uniqueId val="{00000000-5D53-4B4B-B0B8-21C234B9E68E}"/>
            </c:ext>
          </c:extLst>
        </c:ser>
        <c:ser>
          <c:idx val="1"/>
          <c:order val="1"/>
          <c:tx>
            <c:v>RCI Fuel Use</c:v>
          </c:tx>
          <c:spPr>
            <a:solidFill>
              <a:srgbClr val="993366">
                <a:alpha val="30000"/>
              </a:srgbClr>
            </a:solidFill>
            <a:ln cmpd="sng">
              <a:solidFill>
                <a:srgbClr val="993366"/>
              </a:solidFill>
            </a:ln>
          </c:spPr>
          <c:cat>
            <c:numRef>
              <c:f>Graphs!$I$176:$W$176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Graphs!$I$178:$W$178</c:f>
              <c:numCache>
                <c:formatCode>0.000000</c:formatCode>
                <c:ptCount val="15"/>
                <c:pt idx="0">
                  <c:v>16.870796954329833</c:v>
                </c:pt>
                <c:pt idx="1">
                  <c:v>16.793814891553112</c:v>
                </c:pt>
                <c:pt idx="2">
                  <c:v>16.943946237574483</c:v>
                </c:pt>
                <c:pt idx="3">
                  <c:v>17.094077583595816</c:v>
                </c:pt>
                <c:pt idx="4">
                  <c:v>17.244208929617187</c:v>
                </c:pt>
                <c:pt idx="5">
                  <c:v>17.000425590955349</c:v>
                </c:pt>
                <c:pt idx="6">
                  <c:v>17.573780781280004</c:v>
                </c:pt>
                <c:pt idx="7">
                  <c:v>17.738566707111389</c:v>
                </c:pt>
                <c:pt idx="8">
                  <c:v>17.903352632942809</c:v>
                </c:pt>
                <c:pt idx="9">
                  <c:v>18.068138558774205</c:v>
                </c:pt>
                <c:pt idx="10">
                  <c:v>18.222960635657177</c:v>
                </c:pt>
                <c:pt idx="11">
                  <c:v>18.377782712540121</c:v>
                </c:pt>
                <c:pt idx="12">
                  <c:v>18.532604789423097</c:v>
                </c:pt>
                <c:pt idx="13">
                  <c:v>18.687426866306048</c:v>
                </c:pt>
                <c:pt idx="14">
                  <c:v>18.84224894318902</c:v>
                </c:pt>
              </c:numCache>
            </c:numRef>
          </c:val>
          <c:extLst>
            <c:ext xmlns:c16="http://schemas.microsoft.com/office/drawing/2014/chart" uri="{C3380CC4-5D6E-409C-BE32-E72D297353CC}">
              <c16:uniqueId val="{00000001-5D53-4B4B-B0B8-21C234B9E68E}"/>
            </c:ext>
          </c:extLst>
        </c:ser>
        <c:ser>
          <c:idx val="2"/>
          <c:order val="2"/>
          <c:tx>
            <c:v>Transportation - Onroad</c:v>
          </c:tx>
          <c:spPr>
            <a:solidFill>
              <a:srgbClr val="FFFFCC">
                <a:alpha val="30000"/>
              </a:srgbClr>
            </a:solidFill>
            <a:ln cmpd="sng">
              <a:solidFill>
                <a:srgbClr val="FFFFCC"/>
              </a:solidFill>
            </a:ln>
          </c:spPr>
          <c:cat>
            <c:numRef>
              <c:f>Graphs!$I$176:$W$176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Graphs!$I$179:$W$179</c:f>
              <c:numCache>
                <c:formatCode>_(* #,##0.00_);_(* \(#,##0.00\);_(* "-"??_);_(@_)</c:formatCode>
                <c:ptCount val="15"/>
                <c:pt idx="0">
                  <c:v>29.669799999999999</c:v>
                </c:pt>
                <c:pt idx="1">
                  <c:v>30.306939553270801</c:v>
                </c:pt>
                <c:pt idx="2">
                  <c:v>30.944079106541608</c:v>
                </c:pt>
                <c:pt idx="3">
                  <c:v>31.581218659812407</c:v>
                </c:pt>
                <c:pt idx="4">
                  <c:v>32.218358213083214</c:v>
                </c:pt>
                <c:pt idx="5">
                  <c:v>28.24707569993187</c:v>
                </c:pt>
                <c:pt idx="6">
                  <c:v>33.492637319624819</c:v>
                </c:pt>
                <c:pt idx="7">
                  <c:v>34.129776872895626</c:v>
                </c:pt>
                <c:pt idx="8">
                  <c:v>34.766916426166425</c:v>
                </c:pt>
                <c:pt idx="9">
                  <c:v>35.404055979437231</c:v>
                </c:pt>
                <c:pt idx="10">
                  <c:v>36.041195532708038</c:v>
                </c:pt>
                <c:pt idx="11">
                  <c:v>36.678335085978837</c:v>
                </c:pt>
                <c:pt idx="12">
                  <c:v>37.315474639249643</c:v>
                </c:pt>
                <c:pt idx="13">
                  <c:v>37.952614192520436</c:v>
                </c:pt>
                <c:pt idx="14">
                  <c:v>38.589753745791242</c:v>
                </c:pt>
              </c:numCache>
            </c:numRef>
          </c:val>
          <c:extLst>
            <c:ext xmlns:c16="http://schemas.microsoft.com/office/drawing/2014/chart" uri="{C3380CC4-5D6E-409C-BE32-E72D297353CC}">
              <c16:uniqueId val="{00000002-5D53-4B4B-B0B8-21C234B9E68E}"/>
            </c:ext>
          </c:extLst>
        </c:ser>
        <c:ser>
          <c:idx val="3"/>
          <c:order val="3"/>
          <c:tx>
            <c:v>Transportation - Nonroad</c:v>
          </c:tx>
          <c:spPr>
            <a:solidFill>
              <a:srgbClr val="CCFFFF">
                <a:alpha val="30000"/>
              </a:srgbClr>
            </a:solidFill>
            <a:ln cmpd="sng">
              <a:solidFill>
                <a:srgbClr val="CCFFFF"/>
              </a:solidFill>
            </a:ln>
          </c:spPr>
          <c:cat>
            <c:numRef>
              <c:f>Graphs!$I$176:$W$176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Graphs!$I$180:$W$180</c:f>
              <c:numCache>
                <c:formatCode>_(* #,##0.00_);_(* \(#,##0.00\);_(* "-"??_);_(@_)</c:formatCode>
                <c:ptCount val="15"/>
                <c:pt idx="0">
                  <c:v>5.8017938791854329</c:v>
                </c:pt>
                <c:pt idx="1">
                  <c:v>5.9280910316434721</c:v>
                </c:pt>
                <c:pt idx="2">
                  <c:v>6.123583602931391</c:v>
                </c:pt>
                <c:pt idx="3">
                  <c:v>6.2804537908531035</c:v>
                </c:pt>
                <c:pt idx="4">
                  <c:v>6.4398682903296738</c:v>
                </c:pt>
                <c:pt idx="5">
                  <c:v>7.022468457280195</c:v>
                </c:pt>
                <c:pt idx="6">
                  <c:v>6.7666726243195656</c:v>
                </c:pt>
                <c:pt idx="7">
                  <c:v>6.934241056217024</c:v>
                </c:pt>
                <c:pt idx="8">
                  <c:v>7.1047113981067058</c:v>
                </c:pt>
                <c:pt idx="9">
                  <c:v>7.2781800446502132</c:v>
                </c:pt>
                <c:pt idx="10">
                  <c:v>7.4547480436026419</c:v>
                </c:pt>
                <c:pt idx="11">
                  <c:v>7.6345184755157991</c:v>
                </c:pt>
                <c:pt idx="12">
                  <c:v>7.8175988729916597</c:v>
                </c:pt>
                <c:pt idx="13">
                  <c:v>8.0041000114670702</c:v>
                </c:pt>
                <c:pt idx="14">
                  <c:v>8.1941357079120607</c:v>
                </c:pt>
              </c:numCache>
            </c:numRef>
          </c:val>
          <c:extLst>
            <c:ext xmlns:c16="http://schemas.microsoft.com/office/drawing/2014/chart" uri="{C3380CC4-5D6E-409C-BE32-E72D297353CC}">
              <c16:uniqueId val="{00000003-5D53-4B4B-B0B8-21C234B9E68E}"/>
            </c:ext>
          </c:extLst>
        </c:ser>
        <c:ser>
          <c:idx val="4"/>
          <c:order val="4"/>
          <c:tx>
            <c:v>Fossil Fuel Industry</c:v>
          </c:tx>
          <c:spPr>
            <a:solidFill>
              <a:srgbClr val="660066">
                <a:alpha val="30000"/>
              </a:srgbClr>
            </a:solidFill>
            <a:ln cmpd="sng">
              <a:solidFill>
                <a:srgbClr val="660066"/>
              </a:solidFill>
            </a:ln>
          </c:spPr>
          <c:cat>
            <c:numRef>
              <c:f>Graphs!$I$176:$W$176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Graphs!$I$181:$W$181</c:f>
              <c:numCache>
                <c:formatCode>0.00</c:formatCode>
                <c:ptCount val="15"/>
                <c:pt idx="0">
                  <c:v>0.94188463845198123</c:v>
                </c:pt>
                <c:pt idx="1">
                  <c:v>0.78746263901343827</c:v>
                </c:pt>
                <c:pt idx="2">
                  <c:v>0.79794156550805639</c:v>
                </c:pt>
                <c:pt idx="3">
                  <c:v>0.80842049200267452</c:v>
                </c:pt>
                <c:pt idx="4">
                  <c:v>0.81889941849728998</c:v>
                </c:pt>
                <c:pt idx="5">
                  <c:v>0.83609220289311492</c:v>
                </c:pt>
                <c:pt idx="6">
                  <c:v>0.83985727148652622</c:v>
                </c:pt>
                <c:pt idx="7">
                  <c:v>0.85033619798114457</c:v>
                </c:pt>
                <c:pt idx="8">
                  <c:v>0.86081512447575981</c:v>
                </c:pt>
                <c:pt idx="9">
                  <c:v>0.87129405097037793</c:v>
                </c:pt>
                <c:pt idx="10">
                  <c:v>0.88177297746499628</c:v>
                </c:pt>
                <c:pt idx="11">
                  <c:v>0.8922519039596144</c:v>
                </c:pt>
                <c:pt idx="12">
                  <c:v>0.90273083045422964</c:v>
                </c:pt>
                <c:pt idx="13">
                  <c:v>0.91320975694884776</c:v>
                </c:pt>
                <c:pt idx="14">
                  <c:v>0.92368868344346611</c:v>
                </c:pt>
              </c:numCache>
            </c:numRef>
          </c:val>
          <c:extLst>
            <c:ext xmlns:c16="http://schemas.microsoft.com/office/drawing/2014/chart" uri="{C3380CC4-5D6E-409C-BE32-E72D297353CC}">
              <c16:uniqueId val="{00000004-5D53-4B4B-B0B8-21C234B9E68E}"/>
            </c:ext>
          </c:extLst>
        </c:ser>
        <c:ser>
          <c:idx val="5"/>
          <c:order val="5"/>
          <c:tx>
            <c:v>Industrial Processes</c:v>
          </c:tx>
          <c:spPr>
            <a:solidFill>
              <a:srgbClr val="FF8080">
                <a:alpha val="30000"/>
              </a:srgbClr>
            </a:solidFill>
            <a:ln cmpd="sng">
              <a:solidFill>
                <a:srgbClr val="FF8080"/>
              </a:solidFill>
            </a:ln>
          </c:spPr>
          <c:cat>
            <c:numRef>
              <c:f>Graphs!$I$176:$W$176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Graphs!$I$182:$W$182</c:f>
              <c:numCache>
                <c:formatCode>0.00</c:formatCode>
                <c:ptCount val="15"/>
                <c:pt idx="0">
                  <c:v>7.4410424236811288</c:v>
                </c:pt>
                <c:pt idx="1">
                  <c:v>7.6103215182007062</c:v>
                </c:pt>
                <c:pt idx="2">
                  <c:v>7.5629247285501258</c:v>
                </c:pt>
                <c:pt idx="3">
                  <c:v>8.0111768983214837</c:v>
                </c:pt>
                <c:pt idx="4">
                  <c:v>8.2113527537241051</c:v>
                </c:pt>
                <c:pt idx="5">
                  <c:v>4.3985727448193961</c:v>
                </c:pt>
                <c:pt idx="6">
                  <c:v>8.6117044645292697</c:v>
                </c:pt>
                <c:pt idx="7">
                  <c:v>8.811880319931868</c:v>
                </c:pt>
                <c:pt idx="8">
                  <c:v>9.0120561753344894</c:v>
                </c:pt>
                <c:pt idx="9">
                  <c:v>9.2122320307370913</c:v>
                </c:pt>
                <c:pt idx="10">
                  <c:v>9.4124078861397127</c:v>
                </c:pt>
                <c:pt idx="11">
                  <c:v>9.6125837415423181</c:v>
                </c:pt>
                <c:pt idx="12">
                  <c:v>9.8127595969449324</c:v>
                </c:pt>
                <c:pt idx="13">
                  <c:v>10.027485226517665</c:v>
                </c:pt>
                <c:pt idx="14">
                  <c:v>10.244740524234293</c:v>
                </c:pt>
              </c:numCache>
            </c:numRef>
          </c:val>
          <c:extLst>
            <c:ext xmlns:c16="http://schemas.microsoft.com/office/drawing/2014/chart" uri="{C3380CC4-5D6E-409C-BE32-E72D297353CC}">
              <c16:uniqueId val="{00000005-5D53-4B4B-B0B8-21C234B9E68E}"/>
            </c:ext>
          </c:extLst>
        </c:ser>
        <c:ser>
          <c:idx val="6"/>
          <c:order val="6"/>
          <c:tx>
            <c:v>Agriculture</c:v>
          </c:tx>
          <c:spPr>
            <a:solidFill>
              <a:srgbClr val="0066CC">
                <a:alpha val="30000"/>
              </a:srgbClr>
            </a:solidFill>
            <a:ln cmpd="sng">
              <a:solidFill>
                <a:srgbClr val="0066CC"/>
              </a:solidFill>
            </a:ln>
          </c:spPr>
          <c:cat>
            <c:numRef>
              <c:f>Graphs!$I$176:$W$176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Graphs!$I$183:$W$183</c:f>
              <c:numCache>
                <c:formatCode>0.00</c:formatCode>
                <c:ptCount val="15"/>
                <c:pt idx="0">
                  <c:v>1.7714261577852333</c:v>
                </c:pt>
                <c:pt idx="1">
                  <c:v>1.5139029807623536</c:v>
                </c:pt>
                <c:pt idx="2">
                  <c:v>1.8456153540664655</c:v>
                </c:pt>
                <c:pt idx="3">
                  <c:v>1.7870513192900073</c:v>
                </c:pt>
                <c:pt idx="4">
                  <c:v>1.8484423382290367</c:v>
                </c:pt>
                <c:pt idx="5">
                  <c:v>1.6619477356257877</c:v>
                </c:pt>
                <c:pt idx="6">
                  <c:v>1.8498712898730012</c:v>
                </c:pt>
                <c:pt idx="7">
                  <c:v>1.7880680909904909</c:v>
                </c:pt>
                <c:pt idx="8">
                  <c:v>1.8511187465206678</c:v>
                </c:pt>
                <c:pt idx="9">
                  <c:v>1.7883742254687578</c:v>
                </c:pt>
                <c:pt idx="10">
                  <c:v>1.8526808785947622</c:v>
                </c:pt>
                <c:pt idx="11">
                  <c:v>1.7891893303721129</c:v>
                </c:pt>
                <c:pt idx="12">
                  <c:v>1.8551844921729721</c:v>
                </c:pt>
                <c:pt idx="13">
                  <c:v>1.7911286974967606</c:v>
                </c:pt>
                <c:pt idx="14">
                  <c:v>1.8593377996177092</c:v>
                </c:pt>
              </c:numCache>
            </c:numRef>
          </c:val>
          <c:extLst>
            <c:ext xmlns:c16="http://schemas.microsoft.com/office/drawing/2014/chart" uri="{C3380CC4-5D6E-409C-BE32-E72D297353CC}">
              <c16:uniqueId val="{00000006-5D53-4B4B-B0B8-21C234B9E68E}"/>
            </c:ext>
          </c:extLst>
        </c:ser>
        <c:ser>
          <c:idx val="7"/>
          <c:order val="7"/>
          <c:tx>
            <c:v>Waste Management</c:v>
          </c:tx>
          <c:spPr>
            <a:solidFill>
              <a:srgbClr val="CCCCFF">
                <a:alpha val="30000"/>
              </a:srgbClr>
            </a:solidFill>
            <a:ln cmpd="sng">
              <a:solidFill>
                <a:srgbClr val="CCCCFF"/>
              </a:solidFill>
            </a:ln>
          </c:spPr>
          <c:cat>
            <c:numRef>
              <c:f>Graphs!$I$176:$W$176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Graphs!$I$184:$W$184</c:f>
              <c:numCache>
                <c:formatCode>0.00</c:formatCode>
                <c:ptCount val="15"/>
                <c:pt idx="0">
                  <c:v>2.2571179512006849</c:v>
                </c:pt>
                <c:pt idx="1">
                  <c:v>2.2757751464297691</c:v>
                </c:pt>
                <c:pt idx="2">
                  <c:v>2.2981771806560092</c:v>
                </c:pt>
                <c:pt idx="3">
                  <c:v>2.3205792148822502</c:v>
                </c:pt>
                <c:pt idx="4">
                  <c:v>2.3429812491084907</c:v>
                </c:pt>
                <c:pt idx="5">
                  <c:v>2.2571179512006849</c:v>
                </c:pt>
                <c:pt idx="6">
                  <c:v>2.3978286853693773</c:v>
                </c:pt>
                <c:pt idx="7">
                  <c:v>2.4257104100909164</c:v>
                </c:pt>
                <c:pt idx="8">
                  <c:v>2.453592134812455</c:v>
                </c:pt>
                <c:pt idx="9">
                  <c:v>2.4814738595339949</c:v>
                </c:pt>
                <c:pt idx="10">
                  <c:v>2.5062526777248353</c:v>
                </c:pt>
                <c:pt idx="11">
                  <c:v>2.5304086860432382</c:v>
                </c:pt>
                <c:pt idx="12">
                  <c:v>2.5545646943616407</c:v>
                </c:pt>
                <c:pt idx="13">
                  <c:v>2.5787207026800432</c:v>
                </c:pt>
                <c:pt idx="14">
                  <c:v>2.6028767109984461</c:v>
                </c:pt>
              </c:numCache>
            </c:numRef>
          </c:val>
          <c:extLst>
            <c:ext xmlns:c16="http://schemas.microsoft.com/office/drawing/2014/chart" uri="{C3380CC4-5D6E-409C-BE32-E72D297353CC}">
              <c16:uniqueId val="{00000007-5D53-4B4B-B0B8-21C234B9E68E}"/>
            </c:ext>
          </c:extLst>
        </c:ser>
        <c:dLbls>
          <c:showLegendKey val="0"/>
          <c:showVal val="0"/>
          <c:showCatName val="0"/>
          <c:showSerName val="0"/>
          <c:showPercent val="0"/>
          <c:showBubbleSize val="0"/>
        </c:dLbls>
        <c:axId val="571254170"/>
        <c:axId val="436762313"/>
      </c:areaChart>
      <c:catAx>
        <c:axId val="571254170"/>
        <c:scaling>
          <c:orientation val="minMax"/>
        </c:scaling>
        <c:delete val="0"/>
        <c:axPos val="b"/>
        <c:title>
          <c:tx>
            <c:rich>
              <a:bodyPr/>
              <a:lstStyle/>
              <a:p>
                <a:pPr lvl="0">
                  <a:defRPr sz="1200" b="1" i="0">
                    <a:solidFill>
                      <a:srgbClr val="000000"/>
                    </a:solidFill>
                    <a:latin typeface="+mn-lt"/>
                  </a:defRPr>
                </a:pPr>
                <a:r>
                  <a:rPr sz="1200" b="1" i="0">
                    <a:solidFill>
                      <a:srgbClr val="000000"/>
                    </a:solidFill>
                    <a:latin typeface="+mn-lt"/>
                  </a:rPr>
                  <a:t>Year</a:t>
                </a: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436762313"/>
        <c:crosses val="autoZero"/>
        <c:auto val="1"/>
        <c:lblAlgn val="ctr"/>
        <c:lblOffset val="100"/>
        <c:noMultiLvlLbl val="1"/>
      </c:catAx>
      <c:valAx>
        <c:axId val="436762313"/>
        <c:scaling>
          <c:orientation val="minMax"/>
        </c:scaling>
        <c:delete val="0"/>
        <c:axPos val="l"/>
        <c:majorGridlines>
          <c:spPr>
            <a:ln>
              <a:solidFill>
                <a:srgbClr val="B7B7B7"/>
              </a:solidFill>
            </a:ln>
          </c:spPr>
        </c:majorGridlines>
        <c:title>
          <c:tx>
            <c:rich>
              <a:bodyPr/>
              <a:lstStyle/>
              <a:p>
                <a:pPr lvl="0">
                  <a:defRPr sz="1200" b="1" i="0">
                    <a:solidFill>
                      <a:srgbClr val="000000"/>
                    </a:solidFill>
                    <a:latin typeface="+mn-lt"/>
                  </a:defRPr>
                </a:pPr>
                <a:r>
                  <a:rPr sz="1200" b="1" i="0">
                    <a:solidFill>
                      <a:srgbClr val="000000"/>
                    </a:solidFill>
                    <a:latin typeface="+mn-lt"/>
                  </a:rPr>
                  <a:t>MMTCO2E</a:t>
                </a:r>
              </a:p>
            </c:rich>
          </c:tx>
          <c:overlay val="0"/>
        </c:title>
        <c:numFmt formatCode="0.000000" sourceLinked="1"/>
        <c:majorTickMark val="none"/>
        <c:minorTickMark val="none"/>
        <c:tickLblPos val="nextTo"/>
        <c:spPr>
          <a:ln/>
        </c:spPr>
        <c:txPr>
          <a:bodyPr/>
          <a:lstStyle/>
          <a:p>
            <a:pPr lvl="0">
              <a:defRPr b="0" i="0">
                <a:solidFill>
                  <a:srgbClr val="000000"/>
                </a:solidFill>
                <a:latin typeface="+mn-lt"/>
              </a:defRPr>
            </a:pPr>
            <a:endParaRPr lang="en-US"/>
          </a:p>
        </c:txPr>
        <c:crossAx val="571254170"/>
        <c:crosses val="autoZero"/>
        <c:crossBetween val="midCat"/>
      </c:valAx>
    </c:plotArea>
    <c:legend>
      <c:legendPos val="t"/>
      <c:overlay val="0"/>
      <c:txPr>
        <a:bodyPr/>
        <a:lstStyle/>
        <a:p>
          <a:pPr lvl="0">
            <a:defRPr b="0" i="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sz="1200" b="1" i="0">
                <a:solidFill>
                  <a:srgbClr val="000000"/>
                </a:solidFill>
                <a:latin typeface="+mn-lt"/>
              </a:rPr>
              <a:t>Figure ES-3</a:t>
            </a:r>
          </a:p>
        </c:rich>
      </c:tx>
      <c:overlay val="0"/>
    </c:title>
    <c:autoTitleDeleted val="0"/>
    <c:plotArea>
      <c:layout/>
      <c:areaChart>
        <c:grouping val="stacked"/>
        <c:varyColors val="1"/>
        <c:ser>
          <c:idx val="0"/>
          <c:order val="0"/>
          <c:tx>
            <c:v>Electricity Use (Consumption)</c:v>
          </c:tx>
          <c:spPr>
            <a:solidFill>
              <a:srgbClr val="9999FF">
                <a:alpha val="30000"/>
              </a:srgbClr>
            </a:solidFill>
            <a:ln cmpd="sng">
              <a:solidFill>
                <a:srgbClr val="9999FF"/>
              </a:solidFill>
            </a:ln>
          </c:spPr>
          <c:cat>
            <c:numRef>
              <c:f>Graphs!$I$186:$W$186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Graphs!$I$187:$W$187</c:f>
              <c:numCache>
                <c:formatCode>0.000000</c:formatCode>
                <c:ptCount val="15"/>
                <c:pt idx="0">
                  <c:v>42.179744588914474</c:v>
                </c:pt>
                <c:pt idx="1">
                  <c:v>50.159633983674567</c:v>
                </c:pt>
                <c:pt idx="2">
                  <c:v>50.485323301676758</c:v>
                </c:pt>
                <c:pt idx="3">
                  <c:v>49.045730065705428</c:v>
                </c:pt>
                <c:pt idx="4">
                  <c:v>51.921441838508308</c:v>
                </c:pt>
                <c:pt idx="5">
                  <c:v>37.860129294372811</c:v>
                </c:pt>
                <c:pt idx="6">
                  <c:v>54.163190510478508</c:v>
                </c:pt>
                <c:pt idx="7">
                  <c:v>54.587157573028939</c:v>
                </c:pt>
                <c:pt idx="8">
                  <c:v>54.964527636444579</c:v>
                </c:pt>
                <c:pt idx="9">
                  <c:v>55.276924419376485</c:v>
                </c:pt>
                <c:pt idx="10">
                  <c:v>56.281792817111608</c:v>
                </c:pt>
                <c:pt idx="11">
                  <c:v>56.885584918576626</c:v>
                </c:pt>
                <c:pt idx="12">
                  <c:v>57.496596273428729</c:v>
                </c:pt>
                <c:pt idx="13">
                  <c:v>58.133859458779312</c:v>
                </c:pt>
                <c:pt idx="14">
                  <c:v>58.792780404291136</c:v>
                </c:pt>
              </c:numCache>
            </c:numRef>
          </c:val>
          <c:extLst>
            <c:ext xmlns:c16="http://schemas.microsoft.com/office/drawing/2014/chart" uri="{C3380CC4-5D6E-409C-BE32-E72D297353CC}">
              <c16:uniqueId val="{00000000-EDF3-4476-8493-9624405A45ED}"/>
            </c:ext>
          </c:extLst>
        </c:ser>
        <c:ser>
          <c:idx val="1"/>
          <c:order val="1"/>
          <c:tx>
            <c:v>RCI Fuel Use</c:v>
          </c:tx>
          <c:spPr>
            <a:solidFill>
              <a:srgbClr val="993366">
                <a:alpha val="30000"/>
              </a:srgbClr>
            </a:solidFill>
            <a:ln cmpd="sng">
              <a:solidFill>
                <a:srgbClr val="993366"/>
              </a:solidFill>
            </a:ln>
          </c:spPr>
          <c:cat>
            <c:numRef>
              <c:f>Graphs!$I$186:$W$186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Graphs!$I$188:$W$188</c:f>
              <c:numCache>
                <c:formatCode>0.000000</c:formatCode>
                <c:ptCount val="15"/>
                <c:pt idx="0">
                  <c:v>16.870796954329833</c:v>
                </c:pt>
                <c:pt idx="1">
                  <c:v>16.793814891553112</c:v>
                </c:pt>
                <c:pt idx="2">
                  <c:v>16.943946237574483</c:v>
                </c:pt>
                <c:pt idx="3">
                  <c:v>17.094077583595816</c:v>
                </c:pt>
                <c:pt idx="4">
                  <c:v>17.244208929617187</c:v>
                </c:pt>
                <c:pt idx="5">
                  <c:v>17.000425590955349</c:v>
                </c:pt>
                <c:pt idx="6">
                  <c:v>17.573780781280004</c:v>
                </c:pt>
                <c:pt idx="7">
                  <c:v>17.738566707111389</c:v>
                </c:pt>
                <c:pt idx="8">
                  <c:v>17.903352632942809</c:v>
                </c:pt>
                <c:pt idx="9">
                  <c:v>18.068138558774205</c:v>
                </c:pt>
                <c:pt idx="10">
                  <c:v>18.222960635657177</c:v>
                </c:pt>
                <c:pt idx="11">
                  <c:v>18.377782712540121</c:v>
                </c:pt>
                <c:pt idx="12">
                  <c:v>18.532604789423097</c:v>
                </c:pt>
                <c:pt idx="13">
                  <c:v>18.687426866306048</c:v>
                </c:pt>
                <c:pt idx="14">
                  <c:v>18.84224894318902</c:v>
                </c:pt>
              </c:numCache>
            </c:numRef>
          </c:val>
          <c:extLst>
            <c:ext xmlns:c16="http://schemas.microsoft.com/office/drawing/2014/chart" uri="{C3380CC4-5D6E-409C-BE32-E72D297353CC}">
              <c16:uniqueId val="{00000001-EDF3-4476-8493-9624405A45ED}"/>
            </c:ext>
          </c:extLst>
        </c:ser>
        <c:ser>
          <c:idx val="2"/>
          <c:order val="2"/>
          <c:tx>
            <c:v>16.870797</c:v>
          </c:tx>
          <c:spPr>
            <a:solidFill>
              <a:srgbClr val="FFFFCC">
                <a:alpha val="30000"/>
              </a:srgbClr>
            </a:solidFill>
            <a:ln cmpd="sng">
              <a:solidFill>
                <a:srgbClr val="FFFFCC"/>
              </a:solidFill>
            </a:ln>
          </c:spPr>
          <c:cat>
            <c:numRef>
              <c:f>Graphs!$I$186:$W$186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Graphs!$J$188:$W$188</c:f>
              <c:numCache>
                <c:formatCode>0.000000</c:formatCode>
                <c:ptCount val="14"/>
                <c:pt idx="0">
                  <c:v>16.793814891553112</c:v>
                </c:pt>
                <c:pt idx="1">
                  <c:v>16.943946237574483</c:v>
                </c:pt>
                <c:pt idx="2">
                  <c:v>17.094077583595816</c:v>
                </c:pt>
                <c:pt idx="3">
                  <c:v>17.244208929617187</c:v>
                </c:pt>
                <c:pt idx="4">
                  <c:v>17.000425590955349</c:v>
                </c:pt>
                <c:pt idx="5">
                  <c:v>17.573780781280004</c:v>
                </c:pt>
                <c:pt idx="6">
                  <c:v>17.738566707111389</c:v>
                </c:pt>
                <c:pt idx="7">
                  <c:v>17.903352632942809</c:v>
                </c:pt>
                <c:pt idx="8">
                  <c:v>18.068138558774205</c:v>
                </c:pt>
                <c:pt idx="9">
                  <c:v>18.222960635657177</c:v>
                </c:pt>
                <c:pt idx="10">
                  <c:v>18.377782712540121</c:v>
                </c:pt>
                <c:pt idx="11">
                  <c:v>18.532604789423097</c:v>
                </c:pt>
                <c:pt idx="12">
                  <c:v>18.687426866306048</c:v>
                </c:pt>
                <c:pt idx="13">
                  <c:v>18.84224894318902</c:v>
                </c:pt>
              </c:numCache>
            </c:numRef>
          </c:val>
          <c:extLst>
            <c:ext xmlns:c16="http://schemas.microsoft.com/office/drawing/2014/chart" uri="{C3380CC4-5D6E-409C-BE32-E72D297353CC}">
              <c16:uniqueId val="{00000002-EDF3-4476-8493-9624405A45ED}"/>
            </c:ext>
          </c:extLst>
        </c:ser>
        <c:ser>
          <c:idx val="3"/>
          <c:order val="3"/>
          <c:tx>
            <c:v>Transportation - Nonroad</c:v>
          </c:tx>
          <c:spPr>
            <a:solidFill>
              <a:srgbClr val="CCFFFF">
                <a:alpha val="30000"/>
              </a:srgbClr>
            </a:solidFill>
            <a:ln cmpd="sng">
              <a:solidFill>
                <a:srgbClr val="CCFFFF"/>
              </a:solidFill>
            </a:ln>
          </c:spPr>
          <c:cat>
            <c:numRef>
              <c:f>Graphs!$I$186:$W$186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Graphs!$I$190:$W$190</c:f>
              <c:numCache>
                <c:formatCode>_(* #,##0.00_);_(* \(#,##0.00\);_(* "-"??_);_(@_)</c:formatCode>
                <c:ptCount val="15"/>
                <c:pt idx="0">
                  <c:v>5.8017938791854329</c:v>
                </c:pt>
                <c:pt idx="1">
                  <c:v>5.9280910316434721</c:v>
                </c:pt>
                <c:pt idx="2">
                  <c:v>6.123583602931391</c:v>
                </c:pt>
                <c:pt idx="3">
                  <c:v>6.2804537908531035</c:v>
                </c:pt>
                <c:pt idx="4">
                  <c:v>6.4398682903296738</c:v>
                </c:pt>
                <c:pt idx="5">
                  <c:v>7.022468457280195</c:v>
                </c:pt>
                <c:pt idx="6">
                  <c:v>6.7666726243195656</c:v>
                </c:pt>
                <c:pt idx="7">
                  <c:v>6.934241056217024</c:v>
                </c:pt>
                <c:pt idx="8">
                  <c:v>7.1047113981067058</c:v>
                </c:pt>
                <c:pt idx="9">
                  <c:v>7.2781800446502132</c:v>
                </c:pt>
                <c:pt idx="10">
                  <c:v>7.4547480436026419</c:v>
                </c:pt>
                <c:pt idx="11">
                  <c:v>7.6345184755157991</c:v>
                </c:pt>
                <c:pt idx="12">
                  <c:v>7.8175988729916597</c:v>
                </c:pt>
                <c:pt idx="13">
                  <c:v>8.0041000114670702</c:v>
                </c:pt>
                <c:pt idx="14">
                  <c:v>8.1941357079120607</c:v>
                </c:pt>
              </c:numCache>
            </c:numRef>
          </c:val>
          <c:extLst>
            <c:ext xmlns:c16="http://schemas.microsoft.com/office/drawing/2014/chart" uri="{C3380CC4-5D6E-409C-BE32-E72D297353CC}">
              <c16:uniqueId val="{00000003-EDF3-4476-8493-9624405A45ED}"/>
            </c:ext>
          </c:extLst>
        </c:ser>
        <c:ser>
          <c:idx val="4"/>
          <c:order val="4"/>
          <c:tx>
            <c:v>Fossil Fuel Industry</c:v>
          </c:tx>
          <c:spPr>
            <a:solidFill>
              <a:srgbClr val="660066">
                <a:alpha val="30000"/>
              </a:srgbClr>
            </a:solidFill>
            <a:ln cmpd="sng">
              <a:solidFill>
                <a:srgbClr val="660066"/>
              </a:solidFill>
            </a:ln>
          </c:spPr>
          <c:cat>
            <c:numRef>
              <c:f>Graphs!$I$186:$W$186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Graphs!$I$191:$W$191</c:f>
              <c:numCache>
                <c:formatCode>0.00</c:formatCode>
                <c:ptCount val="15"/>
                <c:pt idx="0">
                  <c:v>0.94188463845198123</c:v>
                </c:pt>
                <c:pt idx="1">
                  <c:v>0.78746263901343827</c:v>
                </c:pt>
                <c:pt idx="2">
                  <c:v>0.79794156550805639</c:v>
                </c:pt>
                <c:pt idx="3">
                  <c:v>0.80842049200267452</c:v>
                </c:pt>
                <c:pt idx="4">
                  <c:v>0.81889941849728998</c:v>
                </c:pt>
                <c:pt idx="5">
                  <c:v>0.83609220289311492</c:v>
                </c:pt>
                <c:pt idx="6">
                  <c:v>0.83985727148652622</c:v>
                </c:pt>
                <c:pt idx="7">
                  <c:v>0.85033619798114457</c:v>
                </c:pt>
                <c:pt idx="8">
                  <c:v>0.86081512447575981</c:v>
                </c:pt>
                <c:pt idx="9">
                  <c:v>0.87129405097037793</c:v>
                </c:pt>
                <c:pt idx="10">
                  <c:v>0.88177297746499628</c:v>
                </c:pt>
                <c:pt idx="11">
                  <c:v>0.8922519039596144</c:v>
                </c:pt>
                <c:pt idx="12">
                  <c:v>0.90273083045422964</c:v>
                </c:pt>
                <c:pt idx="13">
                  <c:v>0.91320975694884776</c:v>
                </c:pt>
                <c:pt idx="14">
                  <c:v>0.92368868344346611</c:v>
                </c:pt>
              </c:numCache>
            </c:numRef>
          </c:val>
          <c:extLst>
            <c:ext xmlns:c16="http://schemas.microsoft.com/office/drawing/2014/chart" uri="{C3380CC4-5D6E-409C-BE32-E72D297353CC}">
              <c16:uniqueId val="{00000004-EDF3-4476-8493-9624405A45ED}"/>
            </c:ext>
          </c:extLst>
        </c:ser>
        <c:ser>
          <c:idx val="5"/>
          <c:order val="5"/>
          <c:tx>
            <c:v>Industrial Processes</c:v>
          </c:tx>
          <c:spPr>
            <a:solidFill>
              <a:srgbClr val="FF8080">
                <a:alpha val="30000"/>
              </a:srgbClr>
            </a:solidFill>
            <a:ln cmpd="sng">
              <a:solidFill>
                <a:srgbClr val="FF8080"/>
              </a:solidFill>
            </a:ln>
          </c:spPr>
          <c:cat>
            <c:numRef>
              <c:f>Graphs!$I$186:$W$186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Graphs!$I$192:$W$192</c:f>
              <c:numCache>
                <c:formatCode>0.00</c:formatCode>
                <c:ptCount val="15"/>
                <c:pt idx="0">
                  <c:v>7.4410424236811288</c:v>
                </c:pt>
                <c:pt idx="1">
                  <c:v>7.6103215182007062</c:v>
                </c:pt>
                <c:pt idx="2">
                  <c:v>7.5629247285501258</c:v>
                </c:pt>
                <c:pt idx="3">
                  <c:v>8.0111768983214837</c:v>
                </c:pt>
                <c:pt idx="4">
                  <c:v>8.2113527537241051</c:v>
                </c:pt>
                <c:pt idx="5">
                  <c:v>4.3985727448193961</c:v>
                </c:pt>
                <c:pt idx="6">
                  <c:v>8.6117044645292697</c:v>
                </c:pt>
                <c:pt idx="7">
                  <c:v>8.811880319931868</c:v>
                </c:pt>
                <c:pt idx="8">
                  <c:v>9.0120561753344894</c:v>
                </c:pt>
                <c:pt idx="9">
                  <c:v>9.2122320307370913</c:v>
                </c:pt>
                <c:pt idx="10">
                  <c:v>9.4124078861397127</c:v>
                </c:pt>
                <c:pt idx="11">
                  <c:v>9.6125837415423181</c:v>
                </c:pt>
                <c:pt idx="12">
                  <c:v>9.8127595969449324</c:v>
                </c:pt>
                <c:pt idx="13">
                  <c:v>10.027485226517665</c:v>
                </c:pt>
                <c:pt idx="14">
                  <c:v>10.244740524234293</c:v>
                </c:pt>
              </c:numCache>
            </c:numRef>
          </c:val>
          <c:extLst>
            <c:ext xmlns:c16="http://schemas.microsoft.com/office/drawing/2014/chart" uri="{C3380CC4-5D6E-409C-BE32-E72D297353CC}">
              <c16:uniqueId val="{00000005-EDF3-4476-8493-9624405A45ED}"/>
            </c:ext>
          </c:extLst>
        </c:ser>
        <c:ser>
          <c:idx val="6"/>
          <c:order val="6"/>
          <c:tx>
            <c:v>Agriculture</c:v>
          </c:tx>
          <c:spPr>
            <a:solidFill>
              <a:srgbClr val="0066CC">
                <a:alpha val="30000"/>
              </a:srgbClr>
            </a:solidFill>
            <a:ln cmpd="sng">
              <a:solidFill>
                <a:srgbClr val="0066CC"/>
              </a:solidFill>
            </a:ln>
          </c:spPr>
          <c:cat>
            <c:numRef>
              <c:f>Graphs!$I$186:$W$186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Graphs!$I$193:$W$193</c:f>
              <c:numCache>
                <c:formatCode>0.00</c:formatCode>
                <c:ptCount val="15"/>
                <c:pt idx="0">
                  <c:v>1.7714261577852333</c:v>
                </c:pt>
                <c:pt idx="1">
                  <c:v>1.5139029807623536</c:v>
                </c:pt>
                <c:pt idx="2">
                  <c:v>1.8456153540664655</c:v>
                </c:pt>
                <c:pt idx="3">
                  <c:v>1.7870513192900073</c:v>
                </c:pt>
                <c:pt idx="4">
                  <c:v>1.8484423382290367</c:v>
                </c:pt>
                <c:pt idx="5">
                  <c:v>1.6619477356257877</c:v>
                </c:pt>
                <c:pt idx="6">
                  <c:v>1.8498712898730012</c:v>
                </c:pt>
                <c:pt idx="7">
                  <c:v>1.7880680909904909</c:v>
                </c:pt>
                <c:pt idx="8">
                  <c:v>1.8511187465206678</c:v>
                </c:pt>
                <c:pt idx="9">
                  <c:v>1.7883742254687578</c:v>
                </c:pt>
                <c:pt idx="10">
                  <c:v>1.8526808785947622</c:v>
                </c:pt>
                <c:pt idx="11">
                  <c:v>1.7891893303721129</c:v>
                </c:pt>
                <c:pt idx="12">
                  <c:v>1.8551844921729721</c:v>
                </c:pt>
                <c:pt idx="13">
                  <c:v>1.7911286974967606</c:v>
                </c:pt>
                <c:pt idx="14">
                  <c:v>1.8593377996177092</c:v>
                </c:pt>
              </c:numCache>
            </c:numRef>
          </c:val>
          <c:extLst>
            <c:ext xmlns:c16="http://schemas.microsoft.com/office/drawing/2014/chart" uri="{C3380CC4-5D6E-409C-BE32-E72D297353CC}">
              <c16:uniqueId val="{00000006-EDF3-4476-8493-9624405A45ED}"/>
            </c:ext>
          </c:extLst>
        </c:ser>
        <c:ser>
          <c:idx val="7"/>
          <c:order val="7"/>
          <c:tx>
            <c:v>Waste Management</c:v>
          </c:tx>
          <c:spPr>
            <a:solidFill>
              <a:srgbClr val="CCCCFF">
                <a:alpha val="30000"/>
              </a:srgbClr>
            </a:solidFill>
            <a:ln cmpd="sng">
              <a:solidFill>
                <a:srgbClr val="CCCCFF"/>
              </a:solidFill>
            </a:ln>
          </c:spPr>
          <c:cat>
            <c:numRef>
              <c:f>Graphs!$I$186:$W$186</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Graphs!$I$194:$W$194</c:f>
              <c:numCache>
                <c:formatCode>0.00</c:formatCode>
                <c:ptCount val="15"/>
                <c:pt idx="0">
                  <c:v>2.2571179512006849</c:v>
                </c:pt>
                <c:pt idx="1">
                  <c:v>2.2757751464297691</c:v>
                </c:pt>
                <c:pt idx="2">
                  <c:v>2.2981771806560092</c:v>
                </c:pt>
                <c:pt idx="3">
                  <c:v>2.3205792148822502</c:v>
                </c:pt>
                <c:pt idx="4">
                  <c:v>2.3429812491084907</c:v>
                </c:pt>
                <c:pt idx="5">
                  <c:v>2.2571179512006849</c:v>
                </c:pt>
                <c:pt idx="6">
                  <c:v>2.3978286853693773</c:v>
                </c:pt>
                <c:pt idx="7">
                  <c:v>2.4257104100909164</c:v>
                </c:pt>
                <c:pt idx="8">
                  <c:v>2.453592134812455</c:v>
                </c:pt>
                <c:pt idx="9">
                  <c:v>2.4814738595339949</c:v>
                </c:pt>
                <c:pt idx="10">
                  <c:v>2.5062526777248353</c:v>
                </c:pt>
                <c:pt idx="11">
                  <c:v>2.5304086860432382</c:v>
                </c:pt>
                <c:pt idx="12">
                  <c:v>2.5545646943616407</c:v>
                </c:pt>
                <c:pt idx="13">
                  <c:v>2.5787207026800432</c:v>
                </c:pt>
                <c:pt idx="14">
                  <c:v>2.6028767109984461</c:v>
                </c:pt>
              </c:numCache>
            </c:numRef>
          </c:val>
          <c:extLst>
            <c:ext xmlns:c16="http://schemas.microsoft.com/office/drawing/2014/chart" uri="{C3380CC4-5D6E-409C-BE32-E72D297353CC}">
              <c16:uniqueId val="{00000007-EDF3-4476-8493-9624405A45ED}"/>
            </c:ext>
          </c:extLst>
        </c:ser>
        <c:dLbls>
          <c:showLegendKey val="0"/>
          <c:showVal val="0"/>
          <c:showCatName val="0"/>
          <c:showSerName val="0"/>
          <c:showPercent val="0"/>
          <c:showBubbleSize val="0"/>
        </c:dLbls>
        <c:axId val="1518285350"/>
        <c:axId val="1076885300"/>
      </c:areaChart>
      <c:catAx>
        <c:axId val="1518285350"/>
        <c:scaling>
          <c:orientation val="minMax"/>
        </c:scaling>
        <c:delete val="0"/>
        <c:axPos val="b"/>
        <c:title>
          <c:tx>
            <c:rich>
              <a:bodyPr/>
              <a:lstStyle/>
              <a:p>
                <a:pPr lvl="0">
                  <a:defRPr sz="1000" b="1" i="0">
                    <a:solidFill>
                      <a:srgbClr val="000000"/>
                    </a:solidFill>
                    <a:latin typeface="+mn-lt"/>
                  </a:defRPr>
                </a:pPr>
                <a:r>
                  <a:rPr sz="1000" b="1" i="0">
                    <a:solidFill>
                      <a:srgbClr val="000000"/>
                    </a:solidFill>
                    <a:latin typeface="+mn-lt"/>
                  </a:rPr>
                  <a:t>Years</a:t>
                </a: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076885300"/>
        <c:crosses val="autoZero"/>
        <c:auto val="1"/>
        <c:lblAlgn val="ctr"/>
        <c:lblOffset val="100"/>
        <c:noMultiLvlLbl val="1"/>
      </c:catAx>
      <c:valAx>
        <c:axId val="1076885300"/>
        <c:scaling>
          <c:orientation val="minMax"/>
        </c:scaling>
        <c:delete val="0"/>
        <c:axPos val="l"/>
        <c:majorGridlines>
          <c:spPr>
            <a:ln>
              <a:solidFill>
                <a:srgbClr val="B7B7B7"/>
              </a:solidFill>
            </a:ln>
          </c:spPr>
        </c:majorGridlines>
        <c:title>
          <c:tx>
            <c:rich>
              <a:bodyPr/>
              <a:lstStyle/>
              <a:p>
                <a:pPr lvl="0">
                  <a:defRPr sz="1000" b="1" i="0">
                    <a:solidFill>
                      <a:srgbClr val="000000"/>
                    </a:solidFill>
                    <a:latin typeface="+mn-lt"/>
                  </a:defRPr>
                </a:pPr>
                <a:r>
                  <a:rPr sz="1000" b="1" i="0">
                    <a:solidFill>
                      <a:srgbClr val="000000"/>
                    </a:solidFill>
                    <a:latin typeface="+mn-lt"/>
                  </a:rPr>
                  <a:t>MMTCO2E</a:t>
                </a:r>
              </a:p>
            </c:rich>
          </c:tx>
          <c:overlay val="0"/>
        </c:title>
        <c:numFmt formatCode="0.000000" sourceLinked="1"/>
        <c:majorTickMark val="none"/>
        <c:minorTickMark val="none"/>
        <c:tickLblPos val="nextTo"/>
        <c:spPr>
          <a:ln/>
        </c:spPr>
        <c:txPr>
          <a:bodyPr/>
          <a:lstStyle/>
          <a:p>
            <a:pPr lvl="0">
              <a:defRPr b="0" i="0">
                <a:solidFill>
                  <a:srgbClr val="000000"/>
                </a:solidFill>
                <a:latin typeface="+mn-lt"/>
              </a:defRPr>
            </a:pPr>
            <a:endParaRPr lang="en-US"/>
          </a:p>
        </c:txPr>
        <c:crossAx val="1518285350"/>
        <c:crosses val="autoZero"/>
        <c:crossBetween val="midCat"/>
      </c:valAx>
    </c:plotArea>
    <c:legend>
      <c:legendPos val="t"/>
      <c:overlay val="0"/>
      <c:txPr>
        <a:bodyPr/>
        <a:lstStyle/>
        <a:p>
          <a:pPr lvl="0">
            <a:defRPr b="0" i="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sz="1200" b="1" i="0">
                <a:solidFill>
                  <a:srgbClr val="000000"/>
                </a:solidFill>
                <a:latin typeface="+mn-lt"/>
              </a:rPr>
              <a:t>Gross Energy Generation By Energy Sources 2011 (MWh)</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9999FF"/>
              </a:solidFill>
            </c:spPr>
            <c:extLst>
              <c:ext xmlns:c16="http://schemas.microsoft.com/office/drawing/2014/chart" uri="{C3380CC4-5D6E-409C-BE32-E72D297353CC}">
                <c16:uniqueId val="{00000001-9232-4893-9F16-7FAD116EA9B8}"/>
              </c:ext>
            </c:extLst>
          </c:dPt>
          <c:dPt>
            <c:idx val="1"/>
            <c:bubble3D val="0"/>
            <c:spPr>
              <a:solidFill>
                <a:srgbClr val="993366"/>
              </a:solidFill>
            </c:spPr>
            <c:extLst>
              <c:ext xmlns:c16="http://schemas.microsoft.com/office/drawing/2014/chart" uri="{C3380CC4-5D6E-409C-BE32-E72D297353CC}">
                <c16:uniqueId val="{00000003-9232-4893-9F16-7FAD116EA9B8}"/>
              </c:ext>
            </c:extLst>
          </c:dPt>
          <c:dPt>
            <c:idx val="2"/>
            <c:bubble3D val="0"/>
            <c:spPr>
              <a:solidFill>
                <a:srgbClr val="FFFFCC"/>
              </a:solidFill>
            </c:spPr>
            <c:extLst>
              <c:ext xmlns:c16="http://schemas.microsoft.com/office/drawing/2014/chart" uri="{C3380CC4-5D6E-409C-BE32-E72D297353CC}">
                <c16:uniqueId val="{00000005-9232-4893-9F16-7FAD116EA9B8}"/>
              </c:ext>
            </c:extLst>
          </c:dPt>
          <c:dPt>
            <c:idx val="3"/>
            <c:bubble3D val="0"/>
            <c:spPr>
              <a:solidFill>
                <a:srgbClr val="CCFFFF"/>
              </a:solidFill>
            </c:spPr>
            <c:extLst>
              <c:ext xmlns:c16="http://schemas.microsoft.com/office/drawing/2014/chart" uri="{C3380CC4-5D6E-409C-BE32-E72D297353CC}">
                <c16:uniqueId val="{00000007-9232-4893-9F16-7FAD116EA9B8}"/>
              </c:ext>
            </c:extLst>
          </c:dPt>
          <c:dPt>
            <c:idx val="4"/>
            <c:bubble3D val="0"/>
            <c:spPr>
              <a:solidFill>
                <a:srgbClr val="660066"/>
              </a:solidFill>
            </c:spPr>
            <c:extLst>
              <c:ext xmlns:c16="http://schemas.microsoft.com/office/drawing/2014/chart" uri="{C3380CC4-5D6E-409C-BE32-E72D297353CC}">
                <c16:uniqueId val="{00000009-9232-4893-9F16-7FAD116EA9B8}"/>
              </c:ext>
            </c:extLst>
          </c:dPt>
          <c:dPt>
            <c:idx val="5"/>
            <c:bubble3D val="0"/>
            <c:spPr>
              <a:solidFill>
                <a:srgbClr val="FF8080"/>
              </a:solidFill>
            </c:spPr>
            <c:extLst>
              <c:ext xmlns:c16="http://schemas.microsoft.com/office/drawing/2014/chart" uri="{C3380CC4-5D6E-409C-BE32-E72D297353CC}">
                <c16:uniqueId val="{0000000B-9232-4893-9F16-7FAD116EA9B8}"/>
              </c:ext>
            </c:extLst>
          </c:dPt>
          <c:dPt>
            <c:idx val="6"/>
            <c:bubble3D val="0"/>
            <c:spPr>
              <a:solidFill>
                <a:srgbClr val="0066CC"/>
              </a:solidFill>
            </c:spPr>
            <c:extLst>
              <c:ext xmlns:c16="http://schemas.microsoft.com/office/drawing/2014/chart" uri="{C3380CC4-5D6E-409C-BE32-E72D297353CC}">
                <c16:uniqueId val="{0000000D-9232-4893-9F16-7FAD116EA9B8}"/>
              </c:ext>
            </c:extLst>
          </c:dPt>
          <c:dPt>
            <c:idx val="7"/>
            <c:bubble3D val="0"/>
            <c:spPr>
              <a:solidFill>
                <a:srgbClr val="CCCCFF"/>
              </a:solidFill>
            </c:spPr>
            <c:extLst>
              <c:ext xmlns:c16="http://schemas.microsoft.com/office/drawing/2014/chart" uri="{C3380CC4-5D6E-409C-BE32-E72D297353CC}">
                <c16:uniqueId val="{0000000F-9232-4893-9F16-7FAD116EA9B8}"/>
              </c:ext>
            </c:extLst>
          </c:dPt>
          <c:dPt>
            <c:idx val="8"/>
            <c:bubble3D val="0"/>
            <c:spPr>
              <a:solidFill>
                <a:srgbClr val="000080"/>
              </a:solidFill>
            </c:spPr>
            <c:extLst>
              <c:ext xmlns:c16="http://schemas.microsoft.com/office/drawing/2014/chart" uri="{C3380CC4-5D6E-409C-BE32-E72D297353CC}">
                <c16:uniqueId val="{00000011-9232-4893-9F16-7FAD116EA9B8}"/>
              </c:ext>
            </c:extLst>
          </c:dPt>
          <c:dPt>
            <c:idx val="9"/>
            <c:bubble3D val="0"/>
            <c:spPr>
              <a:solidFill>
                <a:srgbClr val="FF00FF"/>
              </a:solidFill>
            </c:spPr>
            <c:extLst>
              <c:ext xmlns:c16="http://schemas.microsoft.com/office/drawing/2014/chart" uri="{C3380CC4-5D6E-409C-BE32-E72D297353CC}">
                <c16:uniqueId val="{00000013-9232-4893-9F16-7FAD116EA9B8}"/>
              </c:ext>
            </c:extLst>
          </c:dPt>
          <c:dPt>
            <c:idx val="10"/>
            <c:bubble3D val="0"/>
            <c:spPr>
              <a:solidFill>
                <a:srgbClr val="FFFF00"/>
              </a:solidFill>
            </c:spPr>
            <c:extLst>
              <c:ext xmlns:c16="http://schemas.microsoft.com/office/drawing/2014/chart" uri="{C3380CC4-5D6E-409C-BE32-E72D297353CC}">
                <c16:uniqueId val="{00000015-9232-4893-9F16-7FAD116EA9B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Graphs!$C$250:$C$260</c:f>
              <c:strCache>
                <c:ptCount val="11"/>
                <c:pt idx="0">
                  <c:v>Coal</c:v>
                </c:pt>
                <c:pt idx="1">
                  <c:v>Petroleum</c:v>
                </c:pt>
                <c:pt idx="2">
                  <c:v>Natural Gas</c:v>
                </c:pt>
                <c:pt idx="3">
                  <c:v>Other Gases</c:v>
                </c:pt>
                <c:pt idx="4">
                  <c:v>Nuclear</c:v>
                </c:pt>
                <c:pt idx="5">
                  <c:v>Hydroelectric Conventional</c:v>
                </c:pt>
                <c:pt idx="6">
                  <c:v>Wind</c:v>
                </c:pt>
                <c:pt idx="7">
                  <c:v>Solar Thermal and Photovoltaic</c:v>
                </c:pt>
                <c:pt idx="8">
                  <c:v>Wood and Wood Derived Fuels</c:v>
                </c:pt>
                <c:pt idx="9">
                  <c:v>Other Biomass</c:v>
                </c:pt>
                <c:pt idx="10">
                  <c:v>Other</c:v>
                </c:pt>
              </c:strCache>
            </c:strRef>
          </c:cat>
          <c:val>
            <c:numRef>
              <c:f>Graphs!$D$250:$D$260</c:f>
              <c:numCache>
                <c:formatCode>#,##0</c:formatCode>
                <c:ptCount val="11"/>
                <c:pt idx="0">
                  <c:v>21186919</c:v>
                </c:pt>
                <c:pt idx="1">
                  <c:v>219804</c:v>
                </c:pt>
                <c:pt idx="2">
                  <c:v>2236976</c:v>
                </c:pt>
                <c:pt idx="3">
                  <c:v>154641</c:v>
                </c:pt>
                <c:pt idx="4">
                  <c:v>14397437</c:v>
                </c:pt>
                <c:pt idx="5">
                  <c:v>2540908</c:v>
                </c:pt>
                <c:pt idx="6">
                  <c:v>319254</c:v>
                </c:pt>
                <c:pt idx="7">
                  <c:v>2070</c:v>
                </c:pt>
                <c:pt idx="8">
                  <c:v>167437</c:v>
                </c:pt>
                <c:pt idx="9">
                  <c:v>420114</c:v>
                </c:pt>
                <c:pt idx="10">
                  <c:v>267727</c:v>
                </c:pt>
              </c:numCache>
            </c:numRef>
          </c:val>
          <c:extLst>
            <c:ext xmlns:c16="http://schemas.microsoft.com/office/drawing/2014/chart" uri="{C3380CC4-5D6E-409C-BE32-E72D297353CC}">
              <c16:uniqueId val="{00000016-9232-4893-9F16-7FAD116EA9B8}"/>
            </c:ext>
          </c:extLst>
        </c:ser>
        <c:dLbls>
          <c:showLegendKey val="0"/>
          <c:showVal val="0"/>
          <c:showCatName val="0"/>
          <c:showSerName val="0"/>
          <c:showPercent val="0"/>
          <c:showBubbleSize val="0"/>
          <c:showLeaderLines val="1"/>
        </c:dLbls>
      </c:pie3DChart>
    </c:plotArea>
    <c:plotVisOnly val="1"/>
    <c:dispBlanksAs val="zero"/>
    <c:showDLblsOverMax val="1"/>
  </c:chart>
  <c:spPr>
    <a:solidFill>
      <a:srgbClr val="FFFFFF"/>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areaChart>
        <c:grouping val="stacked"/>
        <c:varyColors val="1"/>
        <c:ser>
          <c:idx val="0"/>
          <c:order val="0"/>
          <c:tx>
            <c:v>Coal</c:v>
          </c:tx>
          <c:spPr>
            <a:solidFill>
              <a:srgbClr val="9999FF">
                <a:alpha val="30000"/>
              </a:srgbClr>
            </a:solidFill>
            <a:ln cmpd="sng">
              <a:solidFill>
                <a:srgbClr val="9999FF"/>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Graphs!$D$297:$X$297</c:f>
              <c:numCache>
                <c:formatCode>#,##0</c:formatCode>
                <c:ptCount val="21"/>
                <c:pt idx="0">
                  <c:v>22835671</c:v>
                </c:pt>
                <c:pt idx="1">
                  <c:v>23850470</c:v>
                </c:pt>
                <c:pt idx="2">
                  <c:v>25126979</c:v>
                </c:pt>
                <c:pt idx="3">
                  <c:v>25624758</c:v>
                </c:pt>
                <c:pt idx="4">
                  <c:v>27595256</c:v>
                </c:pt>
                <c:pt idx="5">
                  <c:v>27992005</c:v>
                </c:pt>
                <c:pt idx="6">
                  <c:v>27620925</c:v>
                </c:pt>
                <c:pt idx="7">
                  <c:v>29294727</c:v>
                </c:pt>
                <c:pt idx="8">
                  <c:v>29687655</c:v>
                </c:pt>
                <c:pt idx="9">
                  <c:v>29451065</c:v>
                </c:pt>
                <c:pt idx="10">
                  <c:v>28379409</c:v>
                </c:pt>
                <c:pt idx="11">
                  <c:v>28712053</c:v>
                </c:pt>
                <c:pt idx="12">
                  <c:v>29939086</c:v>
                </c:pt>
                <c:pt idx="13">
                  <c:v>29195458</c:v>
                </c:pt>
                <c:pt idx="14">
                  <c:v>29302792</c:v>
                </c:pt>
                <c:pt idx="15">
                  <c:v>29408022</c:v>
                </c:pt>
                <c:pt idx="16">
                  <c:v>29699186</c:v>
                </c:pt>
                <c:pt idx="17">
                  <c:v>27218239</c:v>
                </c:pt>
                <c:pt idx="18">
                  <c:v>24162345</c:v>
                </c:pt>
                <c:pt idx="19">
                  <c:v>23668204</c:v>
                </c:pt>
                <c:pt idx="20">
                  <c:v>21186919</c:v>
                </c:pt>
              </c:numCache>
            </c:numRef>
          </c:val>
          <c:extLst>
            <c:ext xmlns:c16="http://schemas.microsoft.com/office/drawing/2014/chart" uri="{C3380CC4-5D6E-409C-BE32-E72D297353CC}">
              <c16:uniqueId val="{00000000-DD2E-4A2D-9A58-88CEC519C0F0}"/>
            </c:ext>
          </c:extLst>
        </c:ser>
        <c:ser>
          <c:idx val="1"/>
          <c:order val="1"/>
          <c:tx>
            <c:v>Petroleum</c:v>
          </c:tx>
          <c:spPr>
            <a:solidFill>
              <a:srgbClr val="993366">
                <a:alpha val="30000"/>
              </a:srgbClr>
            </a:solidFill>
            <a:ln cmpd="sng">
              <a:solidFill>
                <a:srgbClr val="993366"/>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Graphs!$D$298:$X$298</c:f>
              <c:numCache>
                <c:formatCode>#,##0</c:formatCode>
                <c:ptCount val="21"/>
                <c:pt idx="0">
                  <c:v>4078506</c:v>
                </c:pt>
                <c:pt idx="1">
                  <c:v>2749511</c:v>
                </c:pt>
                <c:pt idx="2">
                  <c:v>4164790</c:v>
                </c:pt>
                <c:pt idx="3">
                  <c:v>4275226</c:v>
                </c:pt>
                <c:pt idx="4">
                  <c:v>1479469</c:v>
                </c:pt>
                <c:pt idx="5">
                  <c:v>1472027</c:v>
                </c:pt>
                <c:pt idx="6">
                  <c:v>1565010</c:v>
                </c:pt>
                <c:pt idx="7">
                  <c:v>3454350</c:v>
                </c:pt>
                <c:pt idx="8">
                  <c:v>4290788</c:v>
                </c:pt>
                <c:pt idx="9">
                  <c:v>2388595</c:v>
                </c:pt>
                <c:pt idx="10">
                  <c:v>3021639</c:v>
                </c:pt>
                <c:pt idx="11">
                  <c:v>2282432</c:v>
                </c:pt>
                <c:pt idx="12">
                  <c:v>3572183</c:v>
                </c:pt>
                <c:pt idx="13">
                  <c:v>3296842</c:v>
                </c:pt>
                <c:pt idx="14">
                  <c:v>3805569</c:v>
                </c:pt>
                <c:pt idx="15">
                  <c:v>580726</c:v>
                </c:pt>
                <c:pt idx="16">
                  <c:v>984831</c:v>
                </c:pt>
                <c:pt idx="17">
                  <c:v>405840</c:v>
                </c:pt>
                <c:pt idx="18">
                  <c:v>329901</c:v>
                </c:pt>
                <c:pt idx="19">
                  <c:v>322438</c:v>
                </c:pt>
                <c:pt idx="20">
                  <c:v>219804</c:v>
                </c:pt>
              </c:numCache>
            </c:numRef>
          </c:val>
          <c:extLst>
            <c:ext xmlns:c16="http://schemas.microsoft.com/office/drawing/2014/chart" uri="{C3380CC4-5D6E-409C-BE32-E72D297353CC}">
              <c16:uniqueId val="{00000001-DD2E-4A2D-9A58-88CEC519C0F0}"/>
            </c:ext>
          </c:extLst>
        </c:ser>
        <c:ser>
          <c:idx val="2"/>
          <c:order val="2"/>
          <c:tx>
            <c:v>Natural Gas</c:v>
          </c:tx>
          <c:spPr>
            <a:solidFill>
              <a:srgbClr val="FFFFCC">
                <a:alpha val="30000"/>
              </a:srgbClr>
            </a:solidFill>
            <a:ln cmpd="sng">
              <a:solidFill>
                <a:srgbClr val="FFFFCC"/>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Graphs!$D$299:$X$299</c:f>
              <c:numCache>
                <c:formatCode>#,##0</c:formatCode>
                <c:ptCount val="21"/>
                <c:pt idx="0">
                  <c:v>1517463</c:v>
                </c:pt>
                <c:pt idx="1">
                  <c:v>1077542</c:v>
                </c:pt>
                <c:pt idx="2">
                  <c:v>772304</c:v>
                </c:pt>
                <c:pt idx="3">
                  <c:v>1172042</c:v>
                </c:pt>
                <c:pt idx="4">
                  <c:v>1548884</c:v>
                </c:pt>
                <c:pt idx="5">
                  <c:v>987627</c:v>
                </c:pt>
                <c:pt idx="6">
                  <c:v>1412585</c:v>
                </c:pt>
                <c:pt idx="7">
                  <c:v>1990596</c:v>
                </c:pt>
                <c:pt idx="8">
                  <c:v>2125193</c:v>
                </c:pt>
                <c:pt idx="9">
                  <c:v>2852876</c:v>
                </c:pt>
                <c:pt idx="10">
                  <c:v>1760812</c:v>
                </c:pt>
                <c:pt idx="11">
                  <c:v>2214431</c:v>
                </c:pt>
                <c:pt idx="12">
                  <c:v>1195642</c:v>
                </c:pt>
                <c:pt idx="13">
                  <c:v>1183301</c:v>
                </c:pt>
                <c:pt idx="14">
                  <c:v>1886986</c:v>
                </c:pt>
                <c:pt idx="15">
                  <c:v>1770206</c:v>
                </c:pt>
                <c:pt idx="16">
                  <c:v>2240927</c:v>
                </c:pt>
                <c:pt idx="17">
                  <c:v>1848147</c:v>
                </c:pt>
                <c:pt idx="18">
                  <c:v>1767844</c:v>
                </c:pt>
                <c:pt idx="19">
                  <c:v>2896978</c:v>
                </c:pt>
                <c:pt idx="20">
                  <c:v>2236976</c:v>
                </c:pt>
              </c:numCache>
            </c:numRef>
          </c:val>
          <c:extLst>
            <c:ext xmlns:c16="http://schemas.microsoft.com/office/drawing/2014/chart" uri="{C3380CC4-5D6E-409C-BE32-E72D297353CC}">
              <c16:uniqueId val="{00000002-DD2E-4A2D-9A58-88CEC519C0F0}"/>
            </c:ext>
          </c:extLst>
        </c:ser>
        <c:ser>
          <c:idx val="3"/>
          <c:order val="3"/>
          <c:tx>
            <c:v>Other Gases</c:v>
          </c:tx>
          <c:spPr>
            <a:solidFill>
              <a:srgbClr val="CCFFFF">
                <a:alpha val="30000"/>
              </a:srgbClr>
            </a:solidFill>
            <a:ln cmpd="sng">
              <a:solidFill>
                <a:srgbClr val="CCFFFF"/>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Graphs!$D$300:$X$300</c:f>
              <c:numCache>
                <c:formatCode>#,##0</c:formatCode>
                <c:ptCount val="21"/>
                <c:pt idx="0">
                  <c:v>478704</c:v>
                </c:pt>
                <c:pt idx="1">
                  <c:v>506572</c:v>
                </c:pt>
                <c:pt idx="2">
                  <c:v>475788</c:v>
                </c:pt>
                <c:pt idx="3">
                  <c:v>501762</c:v>
                </c:pt>
                <c:pt idx="4">
                  <c:v>685721</c:v>
                </c:pt>
                <c:pt idx="5">
                  <c:v>539335</c:v>
                </c:pt>
                <c:pt idx="6">
                  <c:v>564036</c:v>
                </c:pt>
                <c:pt idx="7">
                  <c:v>82316</c:v>
                </c:pt>
                <c:pt idx="8">
                  <c:v>59891</c:v>
                </c:pt>
                <c:pt idx="9">
                  <c:v>74572</c:v>
                </c:pt>
                <c:pt idx="10">
                  <c:v>439980</c:v>
                </c:pt>
                <c:pt idx="11">
                  <c:v>504513</c:v>
                </c:pt>
                <c:pt idx="12">
                  <c:v>325355</c:v>
                </c:pt>
                <c:pt idx="13">
                  <c:v>411565</c:v>
                </c:pt>
                <c:pt idx="14">
                  <c:v>342466</c:v>
                </c:pt>
                <c:pt idx="15">
                  <c:v>332444</c:v>
                </c:pt>
                <c:pt idx="16">
                  <c:v>377560</c:v>
                </c:pt>
                <c:pt idx="17">
                  <c:v>337823</c:v>
                </c:pt>
                <c:pt idx="18">
                  <c:v>269182</c:v>
                </c:pt>
                <c:pt idx="19">
                  <c:v>214727</c:v>
                </c:pt>
                <c:pt idx="20">
                  <c:v>154641</c:v>
                </c:pt>
              </c:numCache>
            </c:numRef>
          </c:val>
          <c:extLst>
            <c:ext xmlns:c16="http://schemas.microsoft.com/office/drawing/2014/chart" uri="{C3380CC4-5D6E-409C-BE32-E72D297353CC}">
              <c16:uniqueId val="{00000003-DD2E-4A2D-9A58-88CEC519C0F0}"/>
            </c:ext>
          </c:extLst>
        </c:ser>
        <c:ser>
          <c:idx val="4"/>
          <c:order val="4"/>
          <c:tx>
            <c:v>Nuclear</c:v>
          </c:tx>
          <c:spPr>
            <a:solidFill>
              <a:srgbClr val="660066">
                <a:alpha val="30000"/>
              </a:srgbClr>
            </a:solidFill>
            <a:ln cmpd="sng">
              <a:solidFill>
                <a:srgbClr val="660066"/>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Graphs!$D$301:$X$301</c:f>
              <c:numCache>
                <c:formatCode>#,##0</c:formatCode>
                <c:ptCount val="21"/>
                <c:pt idx="0">
                  <c:v>9036100</c:v>
                </c:pt>
                <c:pt idx="1">
                  <c:v>10663950</c:v>
                </c:pt>
                <c:pt idx="2">
                  <c:v>12300816</c:v>
                </c:pt>
                <c:pt idx="3">
                  <c:v>11235408</c:v>
                </c:pt>
                <c:pt idx="4">
                  <c:v>12937971</c:v>
                </c:pt>
                <c:pt idx="5">
                  <c:v>12092768</c:v>
                </c:pt>
                <c:pt idx="6">
                  <c:v>13212967</c:v>
                </c:pt>
                <c:pt idx="7">
                  <c:v>13330598</c:v>
                </c:pt>
                <c:pt idx="8">
                  <c:v>13312335</c:v>
                </c:pt>
                <c:pt idx="9">
                  <c:v>13827243</c:v>
                </c:pt>
                <c:pt idx="10">
                  <c:v>13656267</c:v>
                </c:pt>
                <c:pt idx="11">
                  <c:v>12128005</c:v>
                </c:pt>
                <c:pt idx="12">
                  <c:v>13690713</c:v>
                </c:pt>
                <c:pt idx="13">
                  <c:v>14580260</c:v>
                </c:pt>
                <c:pt idx="14">
                  <c:v>14703221</c:v>
                </c:pt>
                <c:pt idx="15">
                  <c:v>13830411</c:v>
                </c:pt>
                <c:pt idx="16">
                  <c:v>14353192</c:v>
                </c:pt>
                <c:pt idx="17">
                  <c:v>14678695</c:v>
                </c:pt>
                <c:pt idx="18">
                  <c:v>14550119</c:v>
                </c:pt>
                <c:pt idx="19">
                  <c:v>13993948</c:v>
                </c:pt>
                <c:pt idx="20">
                  <c:v>14397437</c:v>
                </c:pt>
              </c:numCache>
            </c:numRef>
          </c:val>
          <c:extLst>
            <c:ext xmlns:c16="http://schemas.microsoft.com/office/drawing/2014/chart" uri="{C3380CC4-5D6E-409C-BE32-E72D297353CC}">
              <c16:uniqueId val="{00000004-DD2E-4A2D-9A58-88CEC519C0F0}"/>
            </c:ext>
          </c:extLst>
        </c:ser>
        <c:ser>
          <c:idx val="5"/>
          <c:order val="5"/>
          <c:tx>
            <c:v>Hydroelectric Conventional</c:v>
          </c:tx>
          <c:spPr>
            <a:solidFill>
              <a:srgbClr val="FF8080">
                <a:alpha val="30000"/>
              </a:srgbClr>
            </a:solidFill>
            <a:ln cmpd="sng">
              <a:solidFill>
                <a:srgbClr val="FF8080"/>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Graphs!$D$302:$X$302</c:f>
              <c:numCache>
                <c:formatCode>#,##0</c:formatCode>
                <c:ptCount val="21"/>
                <c:pt idx="0">
                  <c:v>1407287</c:v>
                </c:pt>
                <c:pt idx="1">
                  <c:v>1824659</c:v>
                </c:pt>
                <c:pt idx="2">
                  <c:v>1658271</c:v>
                </c:pt>
                <c:pt idx="3">
                  <c:v>2009536</c:v>
                </c:pt>
                <c:pt idx="4">
                  <c:v>1442006</c:v>
                </c:pt>
                <c:pt idx="5">
                  <c:v>2457463</c:v>
                </c:pt>
                <c:pt idx="6">
                  <c:v>1588375</c:v>
                </c:pt>
                <c:pt idx="7">
                  <c:v>1739737</c:v>
                </c:pt>
                <c:pt idx="8">
                  <c:v>1424197</c:v>
                </c:pt>
                <c:pt idx="9">
                  <c:v>1732619</c:v>
                </c:pt>
                <c:pt idx="10">
                  <c:v>1183518</c:v>
                </c:pt>
                <c:pt idx="11">
                  <c:v>1660989</c:v>
                </c:pt>
                <c:pt idx="12">
                  <c:v>2646984</c:v>
                </c:pt>
                <c:pt idx="13">
                  <c:v>2507521</c:v>
                </c:pt>
                <c:pt idx="14">
                  <c:v>1703639</c:v>
                </c:pt>
                <c:pt idx="15">
                  <c:v>2104275</c:v>
                </c:pt>
                <c:pt idx="16">
                  <c:v>1652216</c:v>
                </c:pt>
                <c:pt idx="17">
                  <c:v>1974078</c:v>
                </c:pt>
                <c:pt idx="18">
                  <c:v>1888769</c:v>
                </c:pt>
                <c:pt idx="19">
                  <c:v>1667397</c:v>
                </c:pt>
                <c:pt idx="20">
                  <c:v>2540908</c:v>
                </c:pt>
              </c:numCache>
            </c:numRef>
          </c:val>
          <c:extLst>
            <c:ext xmlns:c16="http://schemas.microsoft.com/office/drawing/2014/chart" uri="{C3380CC4-5D6E-409C-BE32-E72D297353CC}">
              <c16:uniqueId val="{00000005-DD2E-4A2D-9A58-88CEC519C0F0}"/>
            </c:ext>
          </c:extLst>
        </c:ser>
        <c:ser>
          <c:idx val="6"/>
          <c:order val="6"/>
          <c:tx>
            <c:v>Wind</c:v>
          </c:tx>
          <c:spPr>
            <a:solidFill>
              <a:srgbClr val="0066CC">
                <a:alpha val="30000"/>
              </a:srgbClr>
            </a:solidFill>
            <a:ln cmpd="sng">
              <a:solidFill>
                <a:srgbClr val="0066CC"/>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Graphs!$D$303:$X$303</c:f>
              <c:numCache>
                <c:formatCode>#,##0</c:formatCode>
                <c:ptCount val="21"/>
                <c:pt idx="19">
                  <c:v>1494</c:v>
                </c:pt>
                <c:pt idx="20">
                  <c:v>319254</c:v>
                </c:pt>
              </c:numCache>
            </c:numRef>
          </c:val>
          <c:extLst>
            <c:ext xmlns:c16="http://schemas.microsoft.com/office/drawing/2014/chart" uri="{C3380CC4-5D6E-409C-BE32-E72D297353CC}">
              <c16:uniqueId val="{00000006-DD2E-4A2D-9A58-88CEC519C0F0}"/>
            </c:ext>
          </c:extLst>
        </c:ser>
        <c:ser>
          <c:idx val="7"/>
          <c:order val="7"/>
          <c:tx>
            <c:v>Solar Thermal and Photovoltaic</c:v>
          </c:tx>
          <c:spPr>
            <a:solidFill>
              <a:srgbClr val="CCCCFF">
                <a:alpha val="30000"/>
              </a:srgbClr>
            </a:solidFill>
            <a:ln cmpd="sng">
              <a:solidFill>
                <a:srgbClr val="CCCCFF"/>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Graphs!$D$304:$X$304</c:f>
              <c:numCache>
                <c:formatCode>#,##0</c:formatCode>
                <c:ptCount val="21"/>
                <c:pt idx="19">
                  <c:v>80</c:v>
                </c:pt>
                <c:pt idx="20">
                  <c:v>2070</c:v>
                </c:pt>
              </c:numCache>
            </c:numRef>
          </c:val>
          <c:extLst>
            <c:ext xmlns:c16="http://schemas.microsoft.com/office/drawing/2014/chart" uri="{C3380CC4-5D6E-409C-BE32-E72D297353CC}">
              <c16:uniqueId val="{00000007-DD2E-4A2D-9A58-88CEC519C0F0}"/>
            </c:ext>
          </c:extLst>
        </c:ser>
        <c:ser>
          <c:idx val="8"/>
          <c:order val="8"/>
          <c:tx>
            <c:v>Wood and Wood Derived Fuels</c:v>
          </c:tx>
          <c:spPr>
            <a:solidFill>
              <a:srgbClr val="000080">
                <a:alpha val="30000"/>
              </a:srgbClr>
            </a:solidFill>
            <a:ln cmpd="sng">
              <a:solidFill>
                <a:srgbClr val="000080"/>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Graphs!$D$305:$X$305</c:f>
              <c:numCache>
                <c:formatCode>#,##0</c:formatCode>
                <c:ptCount val="21"/>
                <c:pt idx="0">
                  <c:v>160602</c:v>
                </c:pt>
                <c:pt idx="1">
                  <c:v>174801</c:v>
                </c:pt>
                <c:pt idx="2">
                  <c:v>175122</c:v>
                </c:pt>
                <c:pt idx="3">
                  <c:v>168822</c:v>
                </c:pt>
                <c:pt idx="4">
                  <c:v>175144</c:v>
                </c:pt>
                <c:pt idx="5">
                  <c:v>167554</c:v>
                </c:pt>
                <c:pt idx="6">
                  <c:v>155906</c:v>
                </c:pt>
                <c:pt idx="7">
                  <c:v>155647</c:v>
                </c:pt>
                <c:pt idx="8">
                  <c:v>171088</c:v>
                </c:pt>
                <c:pt idx="9">
                  <c:v>179580</c:v>
                </c:pt>
                <c:pt idx="10">
                  <c:v>11939</c:v>
                </c:pt>
                <c:pt idx="11">
                  <c:v>182904</c:v>
                </c:pt>
                <c:pt idx="12">
                  <c:v>225240</c:v>
                </c:pt>
                <c:pt idx="13">
                  <c:v>192384</c:v>
                </c:pt>
                <c:pt idx="14">
                  <c:v>205985</c:v>
                </c:pt>
                <c:pt idx="15">
                  <c:v>218066</c:v>
                </c:pt>
                <c:pt idx="16">
                  <c:v>203097</c:v>
                </c:pt>
                <c:pt idx="17">
                  <c:v>197704</c:v>
                </c:pt>
                <c:pt idx="18">
                  <c:v>175058</c:v>
                </c:pt>
                <c:pt idx="19">
                  <c:v>164688</c:v>
                </c:pt>
                <c:pt idx="20">
                  <c:v>167437</c:v>
                </c:pt>
              </c:numCache>
            </c:numRef>
          </c:val>
          <c:extLst>
            <c:ext xmlns:c16="http://schemas.microsoft.com/office/drawing/2014/chart" uri="{C3380CC4-5D6E-409C-BE32-E72D297353CC}">
              <c16:uniqueId val="{00000008-DD2E-4A2D-9A58-88CEC519C0F0}"/>
            </c:ext>
          </c:extLst>
        </c:ser>
        <c:ser>
          <c:idx val="9"/>
          <c:order val="9"/>
          <c:tx>
            <c:v>Other Biomass</c:v>
          </c:tx>
          <c:spPr>
            <a:solidFill>
              <a:srgbClr val="FF00FF">
                <a:alpha val="30000"/>
              </a:srgbClr>
            </a:solidFill>
            <a:ln cmpd="sng">
              <a:solidFill>
                <a:srgbClr val="FF00FF"/>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Graphs!$D$306:$X$306</c:f>
              <c:numCache>
                <c:formatCode>#,##0</c:formatCode>
                <c:ptCount val="21"/>
                <c:pt idx="0">
                  <c:v>336551</c:v>
                </c:pt>
                <c:pt idx="1">
                  <c:v>329854</c:v>
                </c:pt>
                <c:pt idx="2">
                  <c:v>303818</c:v>
                </c:pt>
                <c:pt idx="3">
                  <c:v>352064</c:v>
                </c:pt>
                <c:pt idx="4">
                  <c:v>501192</c:v>
                </c:pt>
                <c:pt idx="5">
                  <c:v>565838</c:v>
                </c:pt>
                <c:pt idx="6">
                  <c:v>587592</c:v>
                </c:pt>
                <c:pt idx="7">
                  <c:v>605046</c:v>
                </c:pt>
                <c:pt idx="8">
                  <c:v>614474</c:v>
                </c:pt>
                <c:pt idx="9">
                  <c:v>638830</c:v>
                </c:pt>
                <c:pt idx="10">
                  <c:v>361076</c:v>
                </c:pt>
                <c:pt idx="11">
                  <c:v>338727</c:v>
                </c:pt>
                <c:pt idx="12">
                  <c:v>370811</c:v>
                </c:pt>
                <c:pt idx="13">
                  <c:v>396824</c:v>
                </c:pt>
                <c:pt idx="14">
                  <c:v>417380</c:v>
                </c:pt>
                <c:pt idx="15">
                  <c:v>408095</c:v>
                </c:pt>
                <c:pt idx="16">
                  <c:v>400364</c:v>
                </c:pt>
                <c:pt idx="17">
                  <c:v>414781</c:v>
                </c:pt>
                <c:pt idx="18">
                  <c:v>375721</c:v>
                </c:pt>
                <c:pt idx="19">
                  <c:v>407402</c:v>
                </c:pt>
                <c:pt idx="20">
                  <c:v>420114</c:v>
                </c:pt>
              </c:numCache>
            </c:numRef>
          </c:val>
          <c:extLst>
            <c:ext xmlns:c16="http://schemas.microsoft.com/office/drawing/2014/chart" uri="{C3380CC4-5D6E-409C-BE32-E72D297353CC}">
              <c16:uniqueId val="{00000009-DD2E-4A2D-9A58-88CEC519C0F0}"/>
            </c:ext>
          </c:extLst>
        </c:ser>
        <c:ser>
          <c:idx val="10"/>
          <c:order val="10"/>
          <c:tx>
            <c:v>Other</c:v>
          </c:tx>
          <c:spPr>
            <a:solidFill>
              <a:srgbClr val="FFFF00">
                <a:alpha val="30000"/>
              </a:srgbClr>
            </a:solidFill>
            <a:ln cmpd="sng">
              <a:solidFill>
                <a:srgbClr val="FFFF00"/>
              </a:solidFill>
            </a:ln>
          </c:spPr>
          <c:cat>
            <c:numRef>
              <c:f>Graphs!$D$296:$X$296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Graphs!$D$307:$X$307</c:f>
              <c:numCache>
                <c:formatCode>General</c:formatCode>
                <c:ptCount val="21"/>
                <c:pt idx="10" formatCode="#,##0">
                  <c:v>247700</c:v>
                </c:pt>
                <c:pt idx="11" formatCode="#,##0">
                  <c:v>255034</c:v>
                </c:pt>
                <c:pt idx="12" formatCode="#,##0">
                  <c:v>278224</c:v>
                </c:pt>
                <c:pt idx="13" formatCode="#,##0">
                  <c:v>288616</c:v>
                </c:pt>
                <c:pt idx="14" formatCode="#,##0">
                  <c:v>293561</c:v>
                </c:pt>
                <c:pt idx="15" formatCode="#,##0">
                  <c:v>304635</c:v>
                </c:pt>
                <c:pt idx="16" formatCode="#,##0">
                  <c:v>286550</c:v>
                </c:pt>
                <c:pt idx="17" formatCode="#,##0">
                  <c:v>285645</c:v>
                </c:pt>
                <c:pt idx="18" formatCode="#,##0">
                  <c:v>255893</c:v>
                </c:pt>
                <c:pt idx="19" formatCode="#,##0">
                  <c:v>269907</c:v>
                </c:pt>
                <c:pt idx="20" formatCode="#,##0">
                  <c:v>267727</c:v>
                </c:pt>
              </c:numCache>
            </c:numRef>
          </c:val>
          <c:extLst>
            <c:ext xmlns:c16="http://schemas.microsoft.com/office/drawing/2014/chart" uri="{C3380CC4-5D6E-409C-BE32-E72D297353CC}">
              <c16:uniqueId val="{0000000A-DD2E-4A2D-9A58-88CEC519C0F0}"/>
            </c:ext>
          </c:extLst>
        </c:ser>
        <c:dLbls>
          <c:showLegendKey val="0"/>
          <c:showVal val="0"/>
          <c:showCatName val="0"/>
          <c:showSerName val="0"/>
          <c:showPercent val="0"/>
          <c:showBubbleSize val="0"/>
        </c:dLbls>
        <c:axId val="237391717"/>
        <c:axId val="1573209096"/>
      </c:areaChart>
      <c:catAx>
        <c:axId val="23739171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573209096"/>
        <c:crosses val="autoZero"/>
        <c:auto val="1"/>
        <c:lblAlgn val="ctr"/>
        <c:lblOffset val="100"/>
        <c:noMultiLvlLbl val="1"/>
      </c:catAx>
      <c:valAx>
        <c:axId val="157320909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237391717"/>
        <c:crosses val="autoZero"/>
        <c:crossBetween val="midCat"/>
      </c:valAx>
    </c:plotArea>
    <c:legend>
      <c:legendPos val="t"/>
      <c:overlay val="0"/>
      <c:txPr>
        <a:bodyPr/>
        <a:lstStyle/>
        <a:p>
          <a:pPr lvl="0">
            <a:defRPr b="0" i="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sz="1200" b="1" i="0">
                <a:solidFill>
                  <a:srgbClr val="000000"/>
                </a:solidFill>
                <a:latin typeface="+mn-lt"/>
              </a:rPr>
              <a:t>2011 GHG Emissions by Sector</a:t>
            </a:r>
          </a:p>
        </c:rich>
      </c:tx>
      <c:overlay val="0"/>
    </c:title>
    <c:autoTitleDeleted val="0"/>
    <c:view3D>
      <c:rotX val="50"/>
      <c:rotY val="0"/>
      <c:rAngAx val="1"/>
    </c:view3D>
    <c:floor>
      <c:thickness val="0"/>
    </c:floor>
    <c:sideWall>
      <c:thickness val="0"/>
    </c:sideWall>
    <c:backWall>
      <c:thickness val="0"/>
    </c:backWall>
    <c:plotArea>
      <c:layout/>
      <c:pie3DChart>
        <c:varyColors val="1"/>
        <c:ser>
          <c:idx val="0"/>
          <c:order val="0"/>
          <c:dPt>
            <c:idx val="0"/>
            <c:bubble3D val="0"/>
            <c:spPr>
              <a:solidFill>
                <a:srgbClr val="9999FF"/>
              </a:solidFill>
            </c:spPr>
            <c:extLst>
              <c:ext xmlns:c16="http://schemas.microsoft.com/office/drawing/2014/chart" uri="{C3380CC4-5D6E-409C-BE32-E72D297353CC}">
                <c16:uniqueId val="{00000001-5AB4-4386-9BD3-BCF6661E1EFE}"/>
              </c:ext>
            </c:extLst>
          </c:dPt>
          <c:dPt>
            <c:idx val="1"/>
            <c:bubble3D val="0"/>
            <c:spPr>
              <a:solidFill>
                <a:srgbClr val="993366"/>
              </a:solidFill>
            </c:spPr>
            <c:extLst>
              <c:ext xmlns:c16="http://schemas.microsoft.com/office/drawing/2014/chart" uri="{C3380CC4-5D6E-409C-BE32-E72D297353CC}">
                <c16:uniqueId val="{00000003-5AB4-4386-9BD3-BCF6661E1EFE}"/>
              </c:ext>
            </c:extLst>
          </c:dPt>
          <c:dPt>
            <c:idx val="2"/>
            <c:bubble3D val="0"/>
            <c:spPr>
              <a:solidFill>
                <a:srgbClr val="FFFFCC"/>
              </a:solidFill>
            </c:spPr>
            <c:extLst>
              <c:ext xmlns:c16="http://schemas.microsoft.com/office/drawing/2014/chart" uri="{C3380CC4-5D6E-409C-BE32-E72D297353CC}">
                <c16:uniqueId val="{00000005-5AB4-4386-9BD3-BCF6661E1EFE}"/>
              </c:ext>
            </c:extLst>
          </c:dPt>
          <c:dPt>
            <c:idx val="3"/>
            <c:bubble3D val="0"/>
            <c:spPr>
              <a:solidFill>
                <a:srgbClr val="CCFFFF"/>
              </a:solidFill>
            </c:spPr>
            <c:extLst>
              <c:ext xmlns:c16="http://schemas.microsoft.com/office/drawing/2014/chart" uri="{C3380CC4-5D6E-409C-BE32-E72D297353CC}">
                <c16:uniqueId val="{00000007-5AB4-4386-9BD3-BCF6661E1EFE}"/>
              </c:ext>
            </c:extLst>
          </c:dPt>
          <c:dPt>
            <c:idx val="4"/>
            <c:bubble3D val="0"/>
            <c:spPr>
              <a:solidFill>
                <a:srgbClr val="660066"/>
              </a:solidFill>
            </c:spPr>
            <c:extLst>
              <c:ext xmlns:c16="http://schemas.microsoft.com/office/drawing/2014/chart" uri="{C3380CC4-5D6E-409C-BE32-E72D297353CC}">
                <c16:uniqueId val="{00000009-5AB4-4386-9BD3-BCF6661E1EFE}"/>
              </c:ext>
            </c:extLst>
          </c:dPt>
          <c:dPt>
            <c:idx val="5"/>
            <c:bubble3D val="0"/>
            <c:spPr>
              <a:solidFill>
                <a:srgbClr val="FF8080"/>
              </a:solidFill>
            </c:spPr>
            <c:extLst>
              <c:ext xmlns:c16="http://schemas.microsoft.com/office/drawing/2014/chart" uri="{C3380CC4-5D6E-409C-BE32-E72D297353CC}">
                <c16:uniqueId val="{0000000B-5AB4-4386-9BD3-BCF6661E1EFE}"/>
              </c:ext>
            </c:extLst>
          </c:dPt>
          <c:dPt>
            <c:idx val="6"/>
            <c:bubble3D val="0"/>
            <c:spPr>
              <a:solidFill>
                <a:srgbClr val="0066CC"/>
              </a:solidFill>
            </c:spPr>
            <c:extLst>
              <c:ext xmlns:c16="http://schemas.microsoft.com/office/drawing/2014/chart" uri="{C3380CC4-5D6E-409C-BE32-E72D297353CC}">
                <c16:uniqueId val="{0000000D-5AB4-4386-9BD3-BCF6661E1EFE}"/>
              </c:ext>
            </c:extLst>
          </c:dPt>
          <c:dPt>
            <c:idx val="7"/>
            <c:bubble3D val="0"/>
            <c:spPr>
              <a:solidFill>
                <a:srgbClr val="CCCCFF"/>
              </a:solidFill>
            </c:spPr>
            <c:extLst>
              <c:ext xmlns:c16="http://schemas.microsoft.com/office/drawing/2014/chart" uri="{C3380CC4-5D6E-409C-BE32-E72D297353CC}">
                <c16:uniqueId val="{0000000F-5AB4-4386-9BD3-BCF6661E1EFE}"/>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Summary!$C$187:$C$194</c:f>
              <c:strCache>
                <c:ptCount val="8"/>
                <c:pt idx="0">
                  <c:v>Electricity Use (Consumption)</c:v>
                </c:pt>
                <c:pt idx="1">
                  <c:v>RCI Fuel Use</c:v>
                </c:pt>
                <c:pt idx="2">
                  <c:v>Transportation - Onroad</c:v>
                </c:pt>
                <c:pt idx="3">
                  <c:v>Transportation - Nonroad</c:v>
                </c:pt>
                <c:pt idx="4">
                  <c:v>Fossil Fuel Industry</c:v>
                </c:pt>
                <c:pt idx="5">
                  <c:v>Industrial Processes and Product Use</c:v>
                </c:pt>
                <c:pt idx="6">
                  <c:v>Agriculture</c:v>
                </c:pt>
                <c:pt idx="7">
                  <c:v>Waste Management</c:v>
                </c:pt>
              </c:strCache>
            </c:strRef>
          </c:cat>
          <c:val>
            <c:numRef>
              <c:f>Summary!$E$187:$E$194</c:f>
              <c:numCache>
                <c:formatCode>0.00000</c:formatCode>
                <c:ptCount val="8"/>
                <c:pt idx="0">
                  <c:v>37.851631414583636</c:v>
                </c:pt>
                <c:pt idx="1">
                  <c:v>15.084213077367663</c:v>
                </c:pt>
                <c:pt idx="2">
                  <c:v>28.249073186393829</c:v>
                </c:pt>
                <c:pt idx="3">
                  <c:v>8.3415235353835868</c:v>
                </c:pt>
                <c:pt idx="4">
                  <c:v>1.4110491985893625</c:v>
                </c:pt>
                <c:pt idx="5">
                  <c:v>4.7723553201441673</c:v>
                </c:pt>
                <c:pt idx="6">
                  <c:v>1.7512811923737004</c:v>
                </c:pt>
                <c:pt idx="7">
                  <c:v>4.6018621258690979</c:v>
                </c:pt>
              </c:numCache>
            </c:numRef>
          </c:val>
          <c:extLst>
            <c:ext xmlns:c16="http://schemas.microsoft.com/office/drawing/2014/chart" uri="{C3380CC4-5D6E-409C-BE32-E72D297353CC}">
              <c16:uniqueId val="{00000010-5AB4-4386-9BD3-BCF6661E1EFE}"/>
            </c:ext>
          </c:extLst>
        </c:ser>
        <c:dLbls>
          <c:showLegendKey val="0"/>
          <c:showVal val="0"/>
          <c:showCatName val="0"/>
          <c:showSerName val="0"/>
          <c:showPercent val="0"/>
          <c:showBubbleSize val="0"/>
          <c:showLeaderLines val="1"/>
        </c:dLbls>
      </c:pie3DChart>
    </c:plotArea>
    <c:plotVisOnly val="1"/>
    <c:dispBlanksAs val="zero"/>
    <c:showDLblsOverMax val="1"/>
  </c:chart>
  <c:spPr>
    <a:solidFill>
      <a:srgbClr val="FFFFFF"/>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sz="1200" b="1" i="0">
                <a:solidFill>
                  <a:srgbClr val="000000"/>
                </a:solidFill>
                <a:latin typeface="+mn-lt"/>
              </a:rPr>
              <a:t>Primary Energy Use At Maryland Power Stations,Plus Import</a:t>
            </a:r>
          </a:p>
        </c:rich>
      </c:tx>
      <c:overlay val="0"/>
    </c:title>
    <c:autoTitleDeleted val="0"/>
    <c:plotArea>
      <c:layout/>
      <c:areaChart>
        <c:grouping val="stacked"/>
        <c:varyColors val="1"/>
        <c:ser>
          <c:idx val="0"/>
          <c:order val="0"/>
          <c:tx>
            <c:v>Coal </c:v>
          </c:tx>
          <c:spPr>
            <a:solidFill>
              <a:srgbClr val="9999FF">
                <a:alpha val="30000"/>
              </a:srgbClr>
            </a:solidFill>
            <a:ln cmpd="sng">
              <a:solidFill>
                <a:srgbClr val="9999FF"/>
              </a:solidFill>
            </a:ln>
          </c:spPr>
          <c:cat>
            <c:strRef>
              <c:f>Graphs!$E$316:$P$316</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Graphs!$E$317:$P$317</c:f>
              <c:numCache>
                <c:formatCode>_(* #,##0_);_(* \(#,##0\);_(* "-"??_);_(@_)</c:formatCode>
                <c:ptCount val="12"/>
                <c:pt idx="0">
                  <c:v>289747</c:v>
                </c:pt>
                <c:pt idx="1">
                  <c:v>283345</c:v>
                </c:pt>
                <c:pt idx="2">
                  <c:v>291706</c:v>
                </c:pt>
                <c:pt idx="3">
                  <c:v>297613</c:v>
                </c:pt>
                <c:pt idx="4">
                  <c:v>291315</c:v>
                </c:pt>
                <c:pt idx="5">
                  <c:v>295546</c:v>
                </c:pt>
                <c:pt idx="6">
                  <c:v>293181</c:v>
                </c:pt>
                <c:pt idx="7">
                  <c:v>297200</c:v>
                </c:pt>
                <c:pt idx="8">
                  <c:v>279847</c:v>
                </c:pt>
                <c:pt idx="9">
                  <c:v>243998</c:v>
                </c:pt>
                <c:pt idx="10">
                  <c:v>242944</c:v>
                </c:pt>
                <c:pt idx="11" formatCode="_(* #,##0_);_(* \(#,##0\);_(* \-??_);_(@_)">
                  <c:v>218918</c:v>
                </c:pt>
              </c:numCache>
            </c:numRef>
          </c:val>
          <c:extLst>
            <c:ext xmlns:c16="http://schemas.microsoft.com/office/drawing/2014/chart" uri="{C3380CC4-5D6E-409C-BE32-E72D297353CC}">
              <c16:uniqueId val="{00000000-76C0-41C9-A34C-542282205FA2}"/>
            </c:ext>
          </c:extLst>
        </c:ser>
        <c:ser>
          <c:idx val="1"/>
          <c:order val="1"/>
          <c:tx>
            <c:v>DistillateFuel Oil</c:v>
          </c:tx>
          <c:spPr>
            <a:solidFill>
              <a:srgbClr val="993366">
                <a:alpha val="30000"/>
              </a:srgbClr>
            </a:solidFill>
            <a:ln cmpd="sng">
              <a:solidFill>
                <a:srgbClr val="993366"/>
              </a:solidFill>
            </a:ln>
          </c:spPr>
          <c:cat>
            <c:strRef>
              <c:f>Graphs!$E$316:$P$316</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Graphs!$E$318:$P$318</c:f>
              <c:numCache>
                <c:formatCode>_(* #,##0_);_(* \(#,##0\);_(* "-"??_);_(@_)</c:formatCode>
                <c:ptCount val="12"/>
                <c:pt idx="0">
                  <c:v>3390</c:v>
                </c:pt>
                <c:pt idx="1">
                  <c:v>5684</c:v>
                </c:pt>
                <c:pt idx="2">
                  <c:v>4132</c:v>
                </c:pt>
                <c:pt idx="3">
                  <c:v>6721</c:v>
                </c:pt>
                <c:pt idx="4">
                  <c:v>6626</c:v>
                </c:pt>
                <c:pt idx="5">
                  <c:v>6968</c:v>
                </c:pt>
                <c:pt idx="6">
                  <c:v>2618</c:v>
                </c:pt>
                <c:pt idx="7">
                  <c:v>4450</c:v>
                </c:pt>
                <c:pt idx="8">
                  <c:v>2972</c:v>
                </c:pt>
                <c:pt idx="9">
                  <c:v>2042</c:v>
                </c:pt>
                <c:pt idx="10">
                  <c:v>2980</c:v>
                </c:pt>
                <c:pt idx="11" formatCode="_(* #,##0_);_(* \(#,##0\);_(* \-??_);_(@_)">
                  <c:v>2026</c:v>
                </c:pt>
              </c:numCache>
            </c:numRef>
          </c:val>
          <c:extLst>
            <c:ext xmlns:c16="http://schemas.microsoft.com/office/drawing/2014/chart" uri="{C3380CC4-5D6E-409C-BE32-E72D297353CC}">
              <c16:uniqueId val="{00000001-76C0-41C9-A34C-542282205FA2}"/>
            </c:ext>
          </c:extLst>
        </c:ser>
        <c:ser>
          <c:idx val="2"/>
          <c:order val="2"/>
          <c:tx>
            <c:v>Natural Gas </c:v>
          </c:tx>
          <c:spPr>
            <a:solidFill>
              <a:srgbClr val="FFFFCC">
                <a:alpha val="30000"/>
              </a:srgbClr>
            </a:solidFill>
            <a:ln cmpd="sng">
              <a:solidFill>
                <a:srgbClr val="FFFFCC"/>
              </a:solidFill>
            </a:ln>
          </c:spPr>
          <c:cat>
            <c:strRef>
              <c:f>Graphs!$E$316:$P$316</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Graphs!$E$319:$P$319</c:f>
              <c:numCache>
                <c:formatCode>_(* #,##0_);_(* \(#,##0\);_(* "-"??_);_(@_)</c:formatCode>
                <c:ptCount val="12"/>
                <c:pt idx="0">
                  <c:v>30073</c:v>
                </c:pt>
                <c:pt idx="1">
                  <c:v>18078</c:v>
                </c:pt>
                <c:pt idx="2">
                  <c:v>23215</c:v>
                </c:pt>
                <c:pt idx="3">
                  <c:v>11400</c:v>
                </c:pt>
                <c:pt idx="4">
                  <c:v>12524</c:v>
                </c:pt>
                <c:pt idx="5">
                  <c:v>21431</c:v>
                </c:pt>
                <c:pt idx="6">
                  <c:v>22841</c:v>
                </c:pt>
                <c:pt idx="7">
                  <c:v>24080</c:v>
                </c:pt>
                <c:pt idx="8">
                  <c:v>20518</c:v>
                </c:pt>
                <c:pt idx="9">
                  <c:v>18887</c:v>
                </c:pt>
                <c:pt idx="10">
                  <c:v>31758</c:v>
                </c:pt>
                <c:pt idx="11" formatCode="_(* #,##0_);_(* \(#,##0\);_(* \-??_);_(@_)">
                  <c:v>21577</c:v>
                </c:pt>
              </c:numCache>
            </c:numRef>
          </c:val>
          <c:extLst>
            <c:ext xmlns:c16="http://schemas.microsoft.com/office/drawing/2014/chart" uri="{C3380CC4-5D6E-409C-BE32-E72D297353CC}">
              <c16:uniqueId val="{00000002-76C0-41C9-A34C-542282205FA2}"/>
            </c:ext>
          </c:extLst>
        </c:ser>
        <c:ser>
          <c:idx val="3"/>
          <c:order val="3"/>
          <c:tx>
            <c:v>Nuclear Power.</c:v>
          </c:tx>
          <c:spPr>
            <a:solidFill>
              <a:srgbClr val="CCFFFF">
                <a:alpha val="30000"/>
              </a:srgbClr>
            </a:solidFill>
            <a:ln cmpd="sng">
              <a:solidFill>
                <a:srgbClr val="CCFFFF"/>
              </a:solidFill>
            </a:ln>
          </c:spPr>
          <c:cat>
            <c:strRef>
              <c:f>Graphs!$E$316:$P$316</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Graphs!$E$320:$P$320</c:f>
              <c:numCache>
                <c:formatCode>_(* #,##0_);_(* \(#,##0\);_(* "-"??_);_(@_)</c:formatCode>
                <c:ptCount val="12"/>
                <c:pt idx="0">
                  <c:v>144204</c:v>
                </c:pt>
                <c:pt idx="1">
                  <c:v>142612</c:v>
                </c:pt>
                <c:pt idx="2">
                  <c:v>126641</c:v>
                </c:pt>
                <c:pt idx="3">
                  <c:v>142671</c:v>
                </c:pt>
                <c:pt idx="4">
                  <c:v>152028</c:v>
                </c:pt>
                <c:pt idx="5">
                  <c:v>153443</c:v>
                </c:pt>
                <c:pt idx="6">
                  <c:v>144334</c:v>
                </c:pt>
                <c:pt idx="7">
                  <c:v>150493</c:v>
                </c:pt>
                <c:pt idx="8">
                  <c:v>153436</c:v>
                </c:pt>
                <c:pt idx="9">
                  <c:v>152194</c:v>
                </c:pt>
                <c:pt idx="10">
                  <c:v>146265</c:v>
                </c:pt>
                <c:pt idx="11" formatCode="_(* #,##0_);_(* \(#,##0\);_(* \-??_);_(@_)">
                  <c:v>150655</c:v>
                </c:pt>
              </c:numCache>
            </c:numRef>
          </c:val>
          <c:extLst>
            <c:ext xmlns:c16="http://schemas.microsoft.com/office/drawing/2014/chart" uri="{C3380CC4-5D6E-409C-BE32-E72D297353CC}">
              <c16:uniqueId val="{00000003-76C0-41C9-A34C-542282205FA2}"/>
            </c:ext>
          </c:extLst>
        </c:ser>
        <c:ser>
          <c:idx val="4"/>
          <c:order val="4"/>
          <c:tx>
            <c:v>Residual Fuel </c:v>
          </c:tx>
          <c:spPr>
            <a:solidFill>
              <a:srgbClr val="660066">
                <a:alpha val="30000"/>
              </a:srgbClr>
            </a:solidFill>
            <a:ln cmpd="sng">
              <a:solidFill>
                <a:srgbClr val="660066"/>
              </a:solidFill>
            </a:ln>
          </c:spPr>
          <c:cat>
            <c:strRef>
              <c:f>Graphs!$E$316:$P$316</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Graphs!$E$321:$P$321</c:f>
              <c:numCache>
                <c:formatCode>_(* #,##0_);_(* \(#,##0\);_(* "-"??_);_(@_)</c:formatCode>
                <c:ptCount val="12"/>
                <c:pt idx="0">
                  <c:v>23472</c:v>
                </c:pt>
                <c:pt idx="1">
                  <c:v>28855</c:v>
                </c:pt>
                <c:pt idx="2">
                  <c:v>21385</c:v>
                </c:pt>
                <c:pt idx="3">
                  <c:v>31573</c:v>
                </c:pt>
                <c:pt idx="4">
                  <c:v>28394</c:v>
                </c:pt>
                <c:pt idx="5">
                  <c:v>33496</c:v>
                </c:pt>
                <c:pt idx="6">
                  <c:v>3736</c:v>
                </c:pt>
                <c:pt idx="7">
                  <c:v>6567</c:v>
                </c:pt>
                <c:pt idx="8">
                  <c:v>1909</c:v>
                </c:pt>
                <c:pt idx="9">
                  <c:v>1758</c:v>
                </c:pt>
                <c:pt idx="10">
                  <c:v>872</c:v>
                </c:pt>
                <c:pt idx="11" formatCode="_(* #,##0_);_(* \(#,##0\);_(* \-??_);_(@_)">
                  <c:v>732</c:v>
                </c:pt>
              </c:numCache>
            </c:numRef>
          </c:val>
          <c:extLst>
            <c:ext xmlns:c16="http://schemas.microsoft.com/office/drawing/2014/chart" uri="{C3380CC4-5D6E-409C-BE32-E72D297353CC}">
              <c16:uniqueId val="{00000004-76C0-41C9-A34C-542282205FA2}"/>
            </c:ext>
          </c:extLst>
        </c:ser>
        <c:ser>
          <c:idx val="5"/>
          <c:order val="5"/>
          <c:tx>
            <c:v>Supplemental Gaseous Fuels </c:v>
          </c:tx>
          <c:spPr>
            <a:solidFill>
              <a:srgbClr val="FF8080">
                <a:alpha val="30000"/>
              </a:srgbClr>
            </a:solidFill>
            <a:ln cmpd="sng">
              <a:solidFill>
                <a:srgbClr val="FF8080"/>
              </a:solidFill>
            </a:ln>
          </c:spPr>
          <c:cat>
            <c:strRef>
              <c:f>Graphs!$E$316:$P$316</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Graphs!$E$322:$P$322</c:f>
              <c:numCache>
                <c:formatCode>_(* #,##0_);_(* \(#,##0\);_(* "-"??_);_(@_)</c:formatCode>
                <c:ptCount val="12"/>
                <c:pt idx="0">
                  <c:v>46</c:v>
                </c:pt>
                <c:pt idx="1">
                  <c:v>19</c:v>
                </c:pt>
                <c:pt idx="2">
                  <c:v>6</c:v>
                </c:pt>
                <c:pt idx="3">
                  <c:v>9</c:v>
                </c:pt>
                <c:pt idx="4">
                  <c:v>8</c:v>
                </c:pt>
                <c:pt idx="5">
                  <c:v>41</c:v>
                </c:pt>
                <c:pt idx="6">
                  <c:v>5</c:v>
                </c:pt>
                <c:pt idx="7">
                  <c:v>30</c:v>
                </c:pt>
                <c:pt idx="8">
                  <c:v>19</c:v>
                </c:pt>
                <c:pt idx="9">
                  <c:v>17</c:v>
                </c:pt>
                <c:pt idx="10">
                  <c:v>18</c:v>
                </c:pt>
                <c:pt idx="11" formatCode="_(* #,##0_);_(* \(#,##0\);_(* \-??_);_(@_)">
                  <c:v>10</c:v>
                </c:pt>
              </c:numCache>
            </c:numRef>
          </c:val>
          <c:extLst>
            <c:ext xmlns:c16="http://schemas.microsoft.com/office/drawing/2014/chart" uri="{C3380CC4-5D6E-409C-BE32-E72D297353CC}">
              <c16:uniqueId val="{00000005-76C0-41C9-A34C-542282205FA2}"/>
            </c:ext>
          </c:extLst>
        </c:ser>
        <c:ser>
          <c:idx val="6"/>
          <c:order val="6"/>
          <c:tx>
            <c:v>Photovoltaic and Solar thermal Energy </c:v>
          </c:tx>
          <c:spPr>
            <a:solidFill>
              <a:srgbClr val="0066CC">
                <a:alpha val="30000"/>
              </a:srgbClr>
            </a:solidFill>
            <a:ln cmpd="sng">
              <a:solidFill>
                <a:srgbClr val="0066CC"/>
              </a:solidFill>
            </a:ln>
          </c:spPr>
          <c:cat>
            <c:strRef>
              <c:f>Graphs!$E$316:$P$316</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Graphs!$E$323:$P$323</c:f>
              <c:numCache>
                <c:formatCode>_(* #,##0_);_(* \(#,##0\);_(* "-"??_);_(@_)</c:formatCode>
                <c:ptCount val="12"/>
                <c:pt idx="0">
                  <c:v>46</c:v>
                </c:pt>
                <c:pt idx="1">
                  <c:v>43</c:v>
                </c:pt>
                <c:pt idx="2">
                  <c:v>42</c:v>
                </c:pt>
                <c:pt idx="3">
                  <c:v>40</c:v>
                </c:pt>
                <c:pt idx="4">
                  <c:v>69</c:v>
                </c:pt>
                <c:pt idx="5">
                  <c:v>76</c:v>
                </c:pt>
                <c:pt idx="6">
                  <c:v>86</c:v>
                </c:pt>
                <c:pt idx="7">
                  <c:v>99</c:v>
                </c:pt>
                <c:pt idx="8">
                  <c:v>119</c:v>
                </c:pt>
                <c:pt idx="9">
                  <c:v>160</c:v>
                </c:pt>
                <c:pt idx="10">
                  <c:v>205</c:v>
                </c:pt>
                <c:pt idx="11" formatCode="_(* #,##0_);_(* \(#,##0\);_(* \-??_);_(@_)">
                  <c:v>301</c:v>
                </c:pt>
              </c:numCache>
            </c:numRef>
          </c:val>
          <c:extLst>
            <c:ext xmlns:c16="http://schemas.microsoft.com/office/drawing/2014/chart" uri="{C3380CC4-5D6E-409C-BE32-E72D297353CC}">
              <c16:uniqueId val="{00000006-76C0-41C9-A34C-542282205FA2}"/>
            </c:ext>
          </c:extLst>
        </c:ser>
        <c:ser>
          <c:idx val="7"/>
          <c:order val="7"/>
          <c:tx>
            <c:v>Wood and Waste </c:v>
          </c:tx>
          <c:spPr>
            <a:solidFill>
              <a:srgbClr val="CCCCFF">
                <a:alpha val="30000"/>
              </a:srgbClr>
            </a:solidFill>
            <a:ln cmpd="sng">
              <a:solidFill>
                <a:srgbClr val="CCCCFF"/>
              </a:solidFill>
            </a:ln>
          </c:spPr>
          <c:cat>
            <c:strRef>
              <c:f>Graphs!$E$316:$P$316</c:f>
              <c:strCach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strCache>
            </c:strRef>
          </c:cat>
          <c:val>
            <c:numRef>
              <c:f>Graphs!$E$324:$P$324</c:f>
              <c:numCache>
                <c:formatCode>_(* #,##0_);_(* \(#,##0\);_(* "-"??_);_(@_)</c:formatCode>
                <c:ptCount val="12"/>
                <c:pt idx="0">
                  <c:v>12334</c:v>
                </c:pt>
                <c:pt idx="1">
                  <c:v>7034</c:v>
                </c:pt>
                <c:pt idx="2">
                  <c:v>7317</c:v>
                </c:pt>
                <c:pt idx="3">
                  <c:v>7128</c:v>
                </c:pt>
                <c:pt idx="4">
                  <c:v>7306</c:v>
                </c:pt>
                <c:pt idx="5">
                  <c:v>7311</c:v>
                </c:pt>
                <c:pt idx="6">
                  <c:v>7608</c:v>
                </c:pt>
                <c:pt idx="7">
                  <c:v>7497</c:v>
                </c:pt>
                <c:pt idx="8">
                  <c:v>7679</c:v>
                </c:pt>
                <c:pt idx="9">
                  <c:v>7409</c:v>
                </c:pt>
                <c:pt idx="10">
                  <c:v>7602</c:v>
                </c:pt>
                <c:pt idx="11" formatCode="_(* #,##0_);_(* \(#,##0\);_(* \-??_);_(@_)">
                  <c:v>6961</c:v>
                </c:pt>
              </c:numCache>
            </c:numRef>
          </c:val>
          <c:extLst>
            <c:ext xmlns:c16="http://schemas.microsoft.com/office/drawing/2014/chart" uri="{C3380CC4-5D6E-409C-BE32-E72D297353CC}">
              <c16:uniqueId val="{00000007-76C0-41C9-A34C-542282205FA2}"/>
            </c:ext>
          </c:extLst>
        </c:ser>
        <c:dLbls>
          <c:showLegendKey val="0"/>
          <c:showVal val="0"/>
          <c:showCatName val="0"/>
          <c:showSerName val="0"/>
          <c:showPercent val="0"/>
          <c:showBubbleSize val="0"/>
        </c:dLbls>
        <c:axId val="1049191165"/>
        <c:axId val="2062887941"/>
      </c:areaChart>
      <c:catAx>
        <c:axId val="1049191165"/>
        <c:scaling>
          <c:orientation val="minMax"/>
        </c:scaling>
        <c:delete val="0"/>
        <c:axPos val="b"/>
        <c:title>
          <c:tx>
            <c:rich>
              <a:bodyPr/>
              <a:lstStyle/>
              <a:p>
                <a:pPr lvl="0">
                  <a:defRPr sz="1000" b="1" i="0">
                    <a:solidFill>
                      <a:srgbClr val="000000"/>
                    </a:solidFill>
                    <a:latin typeface="+mn-lt"/>
                  </a:defRPr>
                </a:pPr>
                <a:r>
                  <a:rPr sz="1000" b="1" i="0">
                    <a:solidFill>
                      <a:srgbClr val="000000"/>
                    </a:solidFill>
                    <a:latin typeface="+mn-lt"/>
                  </a:rPr>
                  <a:t>Year</a:t>
                </a:r>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2062887941"/>
        <c:crosses val="autoZero"/>
        <c:auto val="1"/>
        <c:lblAlgn val="ctr"/>
        <c:lblOffset val="100"/>
        <c:noMultiLvlLbl val="1"/>
      </c:catAx>
      <c:valAx>
        <c:axId val="2062887941"/>
        <c:scaling>
          <c:orientation val="minMax"/>
        </c:scaling>
        <c:delete val="0"/>
        <c:axPos val="l"/>
        <c:majorGridlines>
          <c:spPr>
            <a:ln>
              <a:solidFill>
                <a:srgbClr val="B7B7B7"/>
              </a:solidFill>
            </a:ln>
          </c:spPr>
        </c:majorGridlines>
        <c:title>
          <c:tx>
            <c:rich>
              <a:bodyPr/>
              <a:lstStyle/>
              <a:p>
                <a:pPr lvl="0">
                  <a:defRPr sz="1000" b="1" i="0">
                    <a:solidFill>
                      <a:srgbClr val="000000"/>
                    </a:solidFill>
                    <a:latin typeface="+mn-lt"/>
                  </a:defRPr>
                </a:pPr>
                <a:r>
                  <a:rPr sz="1000" b="1" i="0">
                    <a:solidFill>
                      <a:srgbClr val="000000"/>
                    </a:solidFill>
                    <a:latin typeface="+mn-lt"/>
                  </a:rPr>
                  <a:t>Energy Consumption (Trillion Btu)</a:t>
                </a:r>
              </a:p>
            </c:rich>
          </c:tx>
          <c:overlay val="0"/>
        </c:title>
        <c:numFmt formatCode="_(* #,##0_);_(* \(#,##0\);_(* &quot;-&quot;??_);_(@_)" sourceLinked="1"/>
        <c:majorTickMark val="none"/>
        <c:minorTickMark val="none"/>
        <c:tickLblPos val="nextTo"/>
        <c:spPr>
          <a:ln/>
        </c:spPr>
        <c:txPr>
          <a:bodyPr/>
          <a:lstStyle/>
          <a:p>
            <a:pPr lvl="0">
              <a:defRPr b="0" i="0">
                <a:solidFill>
                  <a:srgbClr val="000000"/>
                </a:solidFill>
                <a:latin typeface="+mn-lt"/>
              </a:defRPr>
            </a:pPr>
            <a:endParaRPr lang="en-US"/>
          </a:p>
        </c:txPr>
        <c:crossAx val="1049191165"/>
        <c:crosses val="autoZero"/>
        <c:crossBetween val="midCat"/>
      </c:valAx>
    </c:plotArea>
    <c:legend>
      <c:legendPos val="t"/>
      <c:overlay val="0"/>
      <c:txPr>
        <a:bodyPr/>
        <a:lstStyle/>
        <a:p>
          <a:pPr lvl="0">
            <a:defRPr b="0" i="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drawings/_rels/drawing1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66675</xdr:rowOff>
    </xdr:from>
    <xdr:ext cx="9734550" cy="1552575"/>
    <xdr:sp macro="" textlink="">
      <xdr:nvSpPr>
        <xdr:cNvPr id="4" name="Shape 4">
          <a:extLst>
            <a:ext uri="{FF2B5EF4-FFF2-40B4-BE49-F238E27FC236}">
              <a16:creationId xmlns:a16="http://schemas.microsoft.com/office/drawing/2014/main" id="{00000000-0008-0000-0500-000004000000}"/>
            </a:ext>
          </a:extLst>
        </xdr:cNvPr>
        <xdr:cNvSpPr/>
      </xdr:nvSpPr>
      <xdr:spPr>
        <a:xfrm>
          <a:off x="483488" y="3008475"/>
          <a:ext cx="9725025" cy="154305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CO2 emissions from fossil fuel combustion in the base unit electric power generation sector were collected from the Regional Greenhouse Gas Initiative (RGGI) Program.  RGGI piggybacks on the EPA Clean Air Markets Division (CAMD) program. Facilities report emissions directly to CAMD.  Facility CO2 emissions are reported directly from continuous emissions monitors (CEM) or are calculated by the facility and sent RGGI/CAMD.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CH4 and N2O emissions from stationary combustion in the electric power sector are calculated using the IPCC Tier 1 approach.  Consumption of each fuel is multiplied by a fuel-specific CH4 or N2O emission factor.  The resulting fuel emission values, in metric tons CH4 and N2O, are then multiplied by the global warming potential, converted to million metric tons of carbon equivalent (MMTCE), then to million metric tons of carbon dioxide equivalent (MMTCO2E), and summed.  For further detail on this method, please refer to the Stationary Chapter in the User's Guide.</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Note that this worksheet estimates the direct emissions associated with the electric power sector. Direct emissions result from the combustion of fossil fuels at the electricity generating station, whereas indirect emissions occur at the point of use (e.g., residential electricity consumption).  Because electricity consumption within a state does not correspond to electricity generated in that same state, emissions from electricity consumption (indirect emissions) are not likely to be the same as emissions from generation (direct emissions). Please refer to the electricity generation module to estimate indirect emissions from electricity consumption.</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180975</xdr:colOff>
      <xdr:row>1</xdr:row>
      <xdr:rowOff>0</xdr:rowOff>
    </xdr:from>
    <xdr:ext cx="8601075" cy="2819400"/>
    <xdr:sp macro="" textlink="">
      <xdr:nvSpPr>
        <xdr:cNvPr id="3" name="Shape 3">
          <a:extLst>
            <a:ext uri="{FF2B5EF4-FFF2-40B4-BE49-F238E27FC236}">
              <a16:creationId xmlns:a16="http://schemas.microsoft.com/office/drawing/2014/main" id="{00000000-0008-0000-0100-000003000000}"/>
            </a:ext>
          </a:extLst>
        </xdr:cNvPr>
        <xdr:cNvSpPr/>
      </xdr:nvSpPr>
      <xdr:spPr>
        <a:xfrm>
          <a:off x="1050225" y="2375063"/>
          <a:ext cx="8591550" cy="280987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Limestone</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limestone and dolomite use result from industrial consumption.  The quantities of limestone consumed for industrial purposes, dolomite consumed for industrial purposes, and magnesium produced from dolomite are multiplied by their respective emission factors.  Industrial uses include the consumption of limestone and dolomite for flux stone production, glass manufacturing, flue gas desulfurization (FGD), Mg production through the thermic reduction of dolomite, chemical stone manufacturing, mine dusting or acid water treatment, acid neutralization, and sugar refining.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Soda Ash</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soda ash manufacture and consumption are calculated by multiplying the quantity of soda ash manufactured and the quantity of soda ash consumed by their respective emission factors.  Maryland does not manufacture soda ash.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Electric Power Transmission and Distribution</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electric power transmission and distribution are calculated by multiplying the quantity of SF6 consumed by an emission factor.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ODS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of HFCs, PFCs, and SF6 from ODS substitute production are estimated by apportioning national emissions to each state based on population.  State population data was provided by the U.S. Census Bureau (http://www.census.gov).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All emissions are then converted from metric tons of carbon equivalents (MTCE) to metric tons of carbon dioxide equivalents (MTCO2E).  Additional information on these calculations is available in the EPA SIT tool Industrial Processes Chapter of the User's Guide.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466725</xdr:colOff>
      <xdr:row>1</xdr:row>
      <xdr:rowOff>0</xdr:rowOff>
    </xdr:from>
    <xdr:ext cx="6572250" cy="819150"/>
    <xdr:sp macro="" textlink="">
      <xdr:nvSpPr>
        <xdr:cNvPr id="13" name="Shape 13">
          <a:extLst>
            <a:ext uri="{FF2B5EF4-FFF2-40B4-BE49-F238E27FC236}">
              <a16:creationId xmlns:a16="http://schemas.microsoft.com/office/drawing/2014/main" id="{00000000-0008-0000-0E00-00000D000000}"/>
            </a:ext>
          </a:extLst>
        </xdr:cNvPr>
        <xdr:cNvSpPr/>
      </xdr:nvSpPr>
      <xdr:spPr>
        <a:xfrm>
          <a:off x="2064638" y="3375188"/>
          <a:ext cx="6562725" cy="80962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iron &amp; steel production processes produce greenhouse gas emissions. Predominant sources of process-related CO2 emissions in the iron and steel manufacturing industry include:</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Sinter Strand;</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L-Blast Furnace (Iron production);</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Basic Oxygen Furnace –Steel Production (BOF).</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457200</xdr:colOff>
      <xdr:row>1</xdr:row>
      <xdr:rowOff>19050</xdr:rowOff>
    </xdr:from>
    <xdr:ext cx="7934325" cy="647700"/>
    <xdr:sp macro="" textlink="">
      <xdr:nvSpPr>
        <xdr:cNvPr id="12" name="Shape 12">
          <a:extLst>
            <a:ext uri="{FF2B5EF4-FFF2-40B4-BE49-F238E27FC236}">
              <a16:creationId xmlns:a16="http://schemas.microsoft.com/office/drawing/2014/main" id="{00000000-0008-0000-0D00-00000C000000}"/>
            </a:ext>
          </a:extLst>
        </xdr:cNvPr>
        <xdr:cNvSpPr/>
      </xdr:nvSpPr>
      <xdr:spPr>
        <a:xfrm>
          <a:off x="1383600" y="3460913"/>
          <a:ext cx="7924800" cy="63817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ammonia production and urea application are calculated by multiplying the quantity of ammonia produced and urea applied by their respective emission factors. Emissions from urea application are subtracted from emissions due to ammonia production. The emissions are then converted from metric tons of carbon equivalents (MTCE) to metric tons of carbon dioxide equivalents (MTCO2E).  Additional information on these calculations is available in the Industrial Processes Chapter of the EPA State Inventory Tool User's Guide.  </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20</xdr:col>
      <xdr:colOff>238126</xdr:colOff>
      <xdr:row>1</xdr:row>
      <xdr:rowOff>19051</xdr:rowOff>
    </xdr:from>
    <xdr:ext cx="11449050" cy="4991100"/>
    <xdr:sp macro="" textlink="">
      <xdr:nvSpPr>
        <xdr:cNvPr id="20" name="Shape 20">
          <a:extLst>
            <a:ext uri="{FF2B5EF4-FFF2-40B4-BE49-F238E27FC236}">
              <a16:creationId xmlns:a16="http://schemas.microsoft.com/office/drawing/2014/main" id="{00000000-0008-0000-1500-000014000000}"/>
            </a:ext>
          </a:extLst>
        </xdr:cNvPr>
        <xdr:cNvSpPr/>
      </xdr:nvSpPr>
      <xdr:spPr>
        <a:xfrm>
          <a:off x="13554076" y="285751"/>
          <a:ext cx="11449050" cy="499110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the Agricultural Sector are calculated by summing the emissions from the following sources: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Enteric Fermentation</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Manure Management</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Plant Residues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Fertilizers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Animals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Rice Cultivation</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Agricultural Residue Burning</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N2O emissions from Manure Management are calculated by multiplying each animal population by the typical animal mass (TAM) by the amount of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This amount is also converted to MMTCE, MMT carbon dioxide equivalent (MMTCO2E).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Rice Cultivation are calculated using the area harvested.  There is no rice cultivation in Maryland.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  Note that default emission factors are available through 2007.</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oneCellAnchor>
    <xdr:from>
      <xdr:col>1</xdr:col>
      <xdr:colOff>0</xdr:colOff>
      <xdr:row>1</xdr:row>
      <xdr:rowOff>47626</xdr:rowOff>
    </xdr:from>
    <xdr:ext cx="12934950" cy="4591050"/>
    <xdr:sp macro="" textlink="">
      <xdr:nvSpPr>
        <xdr:cNvPr id="21" name="Shape 21">
          <a:extLst>
            <a:ext uri="{FF2B5EF4-FFF2-40B4-BE49-F238E27FC236}">
              <a16:creationId xmlns:a16="http://schemas.microsoft.com/office/drawing/2014/main" id="{00000000-0008-0000-1500-000015000000}"/>
            </a:ext>
          </a:extLst>
        </xdr:cNvPr>
        <xdr:cNvSpPr/>
      </xdr:nvSpPr>
      <xdr:spPr>
        <a:xfrm>
          <a:off x="342900" y="238126"/>
          <a:ext cx="12934950" cy="459105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Enteric Fermentation</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Manure Management</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N2O emissions from Manure Management are calculated by multiplying each animal population by the typical animal mass (TAM) by the amount of Kjejdahl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Plant: Residues &amp; Legumes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Plant: Fertilizers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Animals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Residue Burning</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466725</xdr:colOff>
      <xdr:row>1</xdr:row>
      <xdr:rowOff>0</xdr:rowOff>
    </xdr:from>
    <xdr:ext cx="6848475" cy="714375"/>
    <xdr:sp macro="" textlink="">
      <xdr:nvSpPr>
        <xdr:cNvPr id="15" name="Shape 15">
          <a:extLst>
            <a:ext uri="{FF2B5EF4-FFF2-40B4-BE49-F238E27FC236}">
              <a16:creationId xmlns:a16="http://schemas.microsoft.com/office/drawing/2014/main" id="{00000000-0008-0000-1000-00000F000000}"/>
            </a:ext>
          </a:extLst>
        </xdr:cNvPr>
        <xdr:cNvSpPr/>
      </xdr:nvSpPr>
      <xdr:spPr>
        <a:xfrm>
          <a:off x="1926525" y="3427575"/>
          <a:ext cx="6838950" cy="70485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Carbon dioxide (CO2) emission from Municipal Solid Waste (MSW) combustion in incinerators was estimated from the CO2 Emissions CEM reading at the Incinerators plant (except for harford County),while CH4 and N2O emissions were estimated by  by multiplying the tonnages of MSW combusted in Maryland in 2011 by the default EPA Municipal Solid Waste heat value and an updated CO2 emission factor from the Mandatory Greenhouse Gas Reporting Rule.  All material burned was included in the analysis.</a:t>
          </a:r>
          <a:endParaRPr sz="14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114300</xdr:colOff>
      <xdr:row>1</xdr:row>
      <xdr:rowOff>0</xdr:rowOff>
    </xdr:from>
    <xdr:ext cx="10391775" cy="1295400"/>
    <xdr:sp macro="" textlink="">
      <xdr:nvSpPr>
        <xdr:cNvPr id="14" name="Shape 14">
          <a:extLst>
            <a:ext uri="{FF2B5EF4-FFF2-40B4-BE49-F238E27FC236}">
              <a16:creationId xmlns:a16="http://schemas.microsoft.com/office/drawing/2014/main" id="{00000000-0008-0000-0F00-00000E000000}"/>
            </a:ext>
          </a:extLst>
        </xdr:cNvPr>
        <xdr:cNvSpPr/>
      </xdr:nvSpPr>
      <xdr:spPr>
        <a:xfrm>
          <a:off x="154875" y="3137063"/>
          <a:ext cx="10382250" cy="128587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Estimation of carbon dioxide (CO2) emission from Landfill gas flaring / conversion to energy generation was based on the amount of CH4 collected by the collection system from the total amount of CH4 generated from the Landfill and the control devices efficiency. CO2 emission estimate was based on the stoichiometric combustion reactionequation (1) below.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CH</a:t>
          </a:r>
          <a:r>
            <a:rPr lang="en-US" sz="800" i="0" u="none" strike="noStrike" baseline="-25000">
              <a:solidFill>
                <a:srgbClr val="000000"/>
              </a:solidFill>
              <a:latin typeface="Arial"/>
              <a:ea typeface="Arial"/>
              <a:cs typeface="Arial"/>
              <a:sym typeface="Arial"/>
            </a:rPr>
            <a:t>4</a:t>
          </a:r>
          <a:r>
            <a:rPr lang="en-US" sz="800" i="0" u="none" strike="noStrike">
              <a:solidFill>
                <a:srgbClr val="000000"/>
              </a:solidFill>
              <a:latin typeface="Arial"/>
              <a:ea typeface="Arial"/>
              <a:cs typeface="Arial"/>
              <a:sym typeface="Arial"/>
            </a:rPr>
            <a:t> + 2O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+ 2H</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O (Equation 1)</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1 Kmol CH</a:t>
          </a:r>
          <a:r>
            <a:rPr lang="en-US" sz="800" i="0" u="none" strike="noStrike" baseline="-25000">
              <a:solidFill>
                <a:srgbClr val="000000"/>
              </a:solidFill>
              <a:latin typeface="Arial"/>
              <a:ea typeface="Arial"/>
              <a:cs typeface="Arial"/>
              <a:sym typeface="Arial"/>
            </a:rPr>
            <a:t>4</a:t>
          </a:r>
          <a:r>
            <a:rPr lang="en-US" sz="800" i="0" u="none" strike="noStrike">
              <a:solidFill>
                <a:srgbClr val="000000"/>
              </a:solidFill>
              <a:latin typeface="Arial"/>
              <a:ea typeface="Arial"/>
              <a:cs typeface="Arial"/>
              <a:sym typeface="Arial"/>
            </a:rPr>
            <a:t> =&gt; 1 Kmol CO</a:t>
          </a:r>
          <a:r>
            <a:rPr lang="en-US" sz="800" i="0" u="none" strike="noStrike" baseline="-25000">
              <a:solidFill>
                <a:srgbClr val="000000"/>
              </a:solidFill>
              <a:latin typeface="Arial"/>
              <a:ea typeface="Arial"/>
              <a:cs typeface="Arial"/>
              <a:sym typeface="Arial"/>
            </a:rPr>
            <a:t>2</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16 g CH</a:t>
          </a:r>
          <a:r>
            <a:rPr lang="en-US" sz="800" i="0" u="none" strike="noStrike" baseline="-25000">
              <a:solidFill>
                <a:srgbClr val="000000"/>
              </a:solidFill>
              <a:latin typeface="Arial"/>
              <a:ea typeface="Arial"/>
              <a:cs typeface="Arial"/>
              <a:sym typeface="Arial"/>
            </a:rPr>
            <a:t>4</a:t>
          </a:r>
          <a:r>
            <a:rPr lang="en-US" sz="800" i="0" u="none" strike="noStrike">
              <a:solidFill>
                <a:srgbClr val="000000"/>
              </a:solidFill>
              <a:latin typeface="Arial"/>
              <a:ea typeface="Arial"/>
              <a:cs typeface="Arial"/>
              <a:sym typeface="Arial"/>
            </a:rPr>
            <a:t>     =&gt;  44 g CO</a:t>
          </a:r>
          <a:r>
            <a:rPr lang="en-US" sz="800" i="0" u="none" strike="noStrike" baseline="-25000">
              <a:solidFill>
                <a:srgbClr val="000000"/>
              </a:solidFill>
              <a:latin typeface="Arial"/>
              <a:ea typeface="Arial"/>
              <a:cs typeface="Arial"/>
              <a:sym typeface="Arial"/>
            </a:rPr>
            <a:t>2</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1 g CH</a:t>
          </a:r>
          <a:r>
            <a:rPr lang="en-US" sz="800" i="0" u="none" strike="noStrike" baseline="-25000">
              <a:solidFill>
                <a:srgbClr val="000000"/>
              </a:solidFill>
              <a:latin typeface="Arial"/>
              <a:ea typeface="Arial"/>
              <a:cs typeface="Arial"/>
              <a:sym typeface="Arial"/>
            </a:rPr>
            <a:t>4</a:t>
          </a:r>
          <a:r>
            <a:rPr lang="en-US" sz="800" i="0" u="none" strike="noStrike">
              <a:solidFill>
                <a:srgbClr val="000000"/>
              </a:solidFill>
              <a:latin typeface="Arial"/>
              <a:ea typeface="Arial"/>
              <a:cs typeface="Arial"/>
              <a:sym typeface="Arial"/>
            </a:rPr>
            <a:t>      =&gt;   2.75 g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1</xdr:row>
      <xdr:rowOff>19050</xdr:rowOff>
    </xdr:from>
    <xdr:ext cx="10334625" cy="3638550"/>
    <xdr:sp macro="" textlink="">
      <xdr:nvSpPr>
        <xdr:cNvPr id="19" name="Shape 19">
          <a:extLst>
            <a:ext uri="{FF2B5EF4-FFF2-40B4-BE49-F238E27FC236}">
              <a16:creationId xmlns:a16="http://schemas.microsoft.com/office/drawing/2014/main" id="{00000000-0008-0000-1400-000013000000}"/>
            </a:ext>
          </a:extLst>
        </xdr:cNvPr>
        <xdr:cNvSpPr/>
      </xdr:nvSpPr>
      <xdr:spPr>
        <a:xfrm>
          <a:off x="183450" y="1965488"/>
          <a:ext cx="10325100" cy="362902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To calculate methane emissions from municipal wastewater treatment, the total annual BOD5 production in metric tons is multiplied by the fraction that is treated anaerobically and by the CH4 produced per metric ton of BOD5,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Municipal wastewater treatment direct N2O emissions are calculated by multiplying total population served by an N2O emission factor per person per year,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Municipal wastewater N2O emissions from biosolids are calculated by multiplying the total annual protein consumption by the nitrogen content of protein and fraction of nitrogen not consumed, an N2O emission factor per metric ton of nitrogen treated, subtracting direct emissions, converted to million metric tons carbon equivalent (MMTCE), and converted to million metric tons carbon dioxide equivalent (MMTCO2E).   Direct and biosolids N2O emissions are then added to produce an estimate of total municipal wastewater treatment N2O emissions.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treatment of industrial wastewater from fruit and vegetables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treatment of industrial wastewater from red meat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treatment of industrial wastewater from poultry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treatment of industrial wastewater from pulp and paper production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485775</xdr:colOff>
      <xdr:row>1</xdr:row>
      <xdr:rowOff>0</xdr:rowOff>
    </xdr:from>
    <xdr:ext cx="4991100" cy="1390650"/>
    <xdr:sp macro="" textlink="">
      <xdr:nvSpPr>
        <xdr:cNvPr id="16" name="Shape 16">
          <a:extLst>
            <a:ext uri="{FF2B5EF4-FFF2-40B4-BE49-F238E27FC236}">
              <a16:creationId xmlns:a16="http://schemas.microsoft.com/office/drawing/2014/main" id="{00000000-0008-0000-1100-000010000000}"/>
            </a:ext>
          </a:extLst>
        </xdr:cNvPr>
        <xdr:cNvSpPr/>
      </xdr:nvSpPr>
      <xdr:spPr>
        <a:xfrm>
          <a:off x="2855213" y="3089438"/>
          <a:ext cx="4981575" cy="138112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The method used to calculate emissions is presented in a study/survey conducted by the Mid-Atlantic/Northeast Visibility Union (MANE-VU), titled “Open Burning in Residential Areas Emissions Inventory Development Report.” User's Guide.  The purpose of the survey was to obtain data for developing activity estimates and control information (e.g., bans on burning) that would form the basis of an improved open burning emission inventory for Mid-Atlantic/Northeast Visibility Union (MANE-VU) states.</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 factors in lbs/ton total mass were taken from AP-42 Table 2.5-1, Emission Factors for Open Burning of Municipal Refuse and from a 1997 EPA research paper on open burning.</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7</xdr:col>
      <xdr:colOff>2047875</xdr:colOff>
      <xdr:row>23</xdr:row>
      <xdr:rowOff>0</xdr:rowOff>
    </xdr:from>
    <xdr:ext cx="5924550" cy="4267200"/>
    <xdr:graphicFrame macro="">
      <xdr:nvGraphicFramePr>
        <xdr:cNvPr id="2" name="Chart 1" descr="Chart 0">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238125</xdr:colOff>
      <xdr:row>213</xdr:row>
      <xdr:rowOff>0</xdr:rowOff>
    </xdr:from>
    <xdr:ext cx="5857875" cy="3867150"/>
    <xdr:graphicFrame macro="">
      <xdr:nvGraphicFramePr>
        <xdr:cNvPr id="3" name="Chart 2" descr="Chart 1">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19</xdr:col>
      <xdr:colOff>0</xdr:colOff>
      <xdr:row>46</xdr:row>
      <xdr:rowOff>0</xdr:rowOff>
    </xdr:from>
    <xdr:ext cx="5743575" cy="4857750"/>
    <xdr:graphicFrame macro="">
      <xdr:nvGraphicFramePr>
        <xdr:cNvPr id="4" name="Chart 3" descr="Chart 2">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8</xdr:col>
      <xdr:colOff>0</xdr:colOff>
      <xdr:row>46</xdr:row>
      <xdr:rowOff>0</xdr:rowOff>
    </xdr:from>
    <xdr:ext cx="5915025" cy="3876675"/>
    <xdr:graphicFrame macro="">
      <xdr:nvGraphicFramePr>
        <xdr:cNvPr id="5" name="Chart 4" descr="Chart 3">
          <a:extLst>
            <a:ext uri="{FF2B5EF4-FFF2-40B4-BE49-F238E27FC236}">
              <a16:creationId xmlns:a16="http://schemas.microsoft.com/office/drawing/2014/main" id="{00000000-0008-0000-1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2</xdr:col>
      <xdr:colOff>47625</xdr:colOff>
      <xdr:row>261</xdr:row>
      <xdr:rowOff>47625</xdr:rowOff>
    </xdr:from>
    <xdr:ext cx="5886450" cy="3876675"/>
    <xdr:graphicFrame macro="">
      <xdr:nvGraphicFramePr>
        <xdr:cNvPr id="6" name="Chart 5" descr="Chart 4">
          <a:extLst>
            <a:ext uri="{FF2B5EF4-FFF2-40B4-BE49-F238E27FC236}">
              <a16:creationId xmlns:a16="http://schemas.microsoft.com/office/drawing/2014/main" id="{00000000-0008-0000-1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24</xdr:col>
      <xdr:colOff>342900</xdr:colOff>
      <xdr:row>294</xdr:row>
      <xdr:rowOff>190500</xdr:rowOff>
    </xdr:from>
    <xdr:ext cx="5048250" cy="3990975"/>
    <xdr:graphicFrame macro="">
      <xdr:nvGraphicFramePr>
        <xdr:cNvPr id="7" name="Chart 6" descr="Chart 5">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8</xdr:col>
      <xdr:colOff>0</xdr:colOff>
      <xdr:row>2</xdr:row>
      <xdr:rowOff>0</xdr:rowOff>
    </xdr:from>
    <xdr:ext cx="5924550" cy="3933825"/>
    <xdr:graphicFrame macro="">
      <xdr:nvGraphicFramePr>
        <xdr:cNvPr id="8" name="Chart 7" descr="Chart 6">
          <a:extLst>
            <a:ext uri="{FF2B5EF4-FFF2-40B4-BE49-F238E27FC236}">
              <a16:creationId xmlns:a16="http://schemas.microsoft.com/office/drawing/2014/main" id="{00000000-0008-0000-1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7</xdr:col>
      <xdr:colOff>1228725</xdr:colOff>
      <xdr:row>326</xdr:row>
      <xdr:rowOff>57150</xdr:rowOff>
    </xdr:from>
    <xdr:ext cx="6591300" cy="3876675"/>
    <xdr:graphicFrame macro="">
      <xdr:nvGraphicFramePr>
        <xdr:cNvPr id="9" name="Chart 8" descr="Chart 7">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104775</xdr:colOff>
      <xdr:row>1</xdr:row>
      <xdr:rowOff>38100</xdr:rowOff>
    </xdr:from>
    <xdr:ext cx="10086975" cy="866775"/>
    <xdr:sp macro="" textlink="">
      <xdr:nvSpPr>
        <xdr:cNvPr id="5" name="Shape 5">
          <a:extLst>
            <a:ext uri="{FF2B5EF4-FFF2-40B4-BE49-F238E27FC236}">
              <a16:creationId xmlns:a16="http://schemas.microsoft.com/office/drawing/2014/main" id="{00000000-0008-0000-0700-000005000000}"/>
            </a:ext>
          </a:extLst>
        </xdr:cNvPr>
        <xdr:cNvSpPr/>
      </xdr:nvSpPr>
      <xdr:spPr>
        <a:xfrm>
          <a:off x="307275" y="3351375"/>
          <a:ext cx="10077450" cy="85725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Maryland is a net importer of electricity, meaning that the State consumes more electricity than is produced in the State. For this analysis, it was assumed that all power generated in Maryland was consumed in Maryland, and that remaining electricity demand was met by imported power.  The electricity imported to meet Maryland demand was assume to come from the PJM Interconnection.</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The fuel mix within the PJM region required to generate the electricity was obtained and CO2 emission rates per fuel type were calculated.  These emission rates were applied to the amount of electricity Maryland imported to meet demand.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428625</xdr:colOff>
      <xdr:row>1</xdr:row>
      <xdr:rowOff>28575</xdr:rowOff>
    </xdr:from>
    <xdr:ext cx="8515350" cy="1447800"/>
    <xdr:sp macro="" textlink="">
      <xdr:nvSpPr>
        <xdr:cNvPr id="8" name="Shape 8">
          <a:extLst>
            <a:ext uri="{FF2B5EF4-FFF2-40B4-BE49-F238E27FC236}">
              <a16:creationId xmlns:a16="http://schemas.microsoft.com/office/drawing/2014/main" id="{00000000-0008-0000-0900-000008000000}"/>
            </a:ext>
          </a:extLst>
        </xdr:cNvPr>
        <xdr:cNvSpPr/>
      </xdr:nvSpPr>
      <xdr:spPr>
        <a:xfrm>
          <a:off x="1093088" y="3060863"/>
          <a:ext cx="8505825" cy="143827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emissions from fossil fuel combustion in the residential sector are calculated by multiplying energy consumption (in the residential sector) by carbon content coefficients for each fuel.  These quantities are then multiplied by fuel-specific percentages of carbon oxidized during combustion ("combustion efficiency").  The resulting fuel emission values, in pounds of carbon, are then converted to short tons of carbon and million metric tons of carbon equivalent (MMTCE), then to million metric tons of carbon dioxide equivalent (MMTCO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E), and summed.     For further detail on this method, refer to the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FFC Chapter in the User's Guide.</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According to the methods developed by the International Panel on Climate Change,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emissions from the combustion of biogenic sources (e.g., fuel wood) are not counted in greenhouse gas inventories, provided that those sources are harvested on a sustainable basis. The carbon in wood fuel was originally removed from the atmosphere by photosynthesis, and under natural conditions, it would cycle back to the atmosphere eventually as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due to degradation processes. For processes with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emissions, if the emissions are from biogenic materials and the materials are grown on a sustainable basis, then those emissions are considered to close the loop in the natural carbon cycle. </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457200</xdr:colOff>
      <xdr:row>1</xdr:row>
      <xdr:rowOff>9525</xdr:rowOff>
    </xdr:from>
    <xdr:ext cx="6715125" cy="828675"/>
    <xdr:sp macro="" textlink="">
      <xdr:nvSpPr>
        <xdr:cNvPr id="9" name="Shape 9">
          <a:extLst>
            <a:ext uri="{FF2B5EF4-FFF2-40B4-BE49-F238E27FC236}">
              <a16:creationId xmlns:a16="http://schemas.microsoft.com/office/drawing/2014/main" id="{00000000-0008-0000-0A00-000009000000}"/>
            </a:ext>
          </a:extLst>
        </xdr:cNvPr>
        <xdr:cNvSpPr/>
      </xdr:nvSpPr>
      <xdr:spPr>
        <a:xfrm>
          <a:off x="1993200" y="3370425"/>
          <a:ext cx="6705600" cy="819150"/>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emissions from fossil fuel combustion in the commercial sector are calculated by multiplying energy consumption (in the commercial sector) by carbon content coefficients for each fuel.  These quantities are then multiplied by fuel-specific percentages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E), and summed.   For further detail on this method, refer to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FFC Chapter in the User's Guide.</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19050</xdr:colOff>
      <xdr:row>2</xdr:row>
      <xdr:rowOff>9525</xdr:rowOff>
    </xdr:from>
    <xdr:ext cx="8582025" cy="800100"/>
    <xdr:sp macro="" textlink="">
      <xdr:nvSpPr>
        <xdr:cNvPr id="10" name="Shape 10">
          <a:extLst>
            <a:ext uri="{FF2B5EF4-FFF2-40B4-BE49-F238E27FC236}">
              <a16:creationId xmlns:a16="http://schemas.microsoft.com/office/drawing/2014/main" id="{00000000-0008-0000-0B00-00000A000000}"/>
            </a:ext>
          </a:extLst>
        </xdr:cNvPr>
        <xdr:cNvSpPr/>
      </xdr:nvSpPr>
      <xdr:spPr>
        <a:xfrm>
          <a:off x="1059750" y="3384713"/>
          <a:ext cx="8572500" cy="79057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 emissions from fossil fuel combustion in the industrial sector are calculated by first subtracting non-energy consumption multiplied by carbon storage factors from the energy consumption for each fuel type.  The resulting combustible consumption for each fuel is then multiplied by a carbon content coefficient and by the percentage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E), and summed.  For further detail on this method, refer to 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FFC Chapter in the User's Guide.</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200025</xdr:colOff>
      <xdr:row>1</xdr:row>
      <xdr:rowOff>114300</xdr:rowOff>
    </xdr:from>
    <xdr:ext cx="10829925" cy="723900"/>
    <xdr:sp macro="" textlink="">
      <xdr:nvSpPr>
        <xdr:cNvPr id="6" name="Shape 6">
          <a:extLst>
            <a:ext uri="{FF2B5EF4-FFF2-40B4-BE49-F238E27FC236}">
              <a16:creationId xmlns:a16="http://schemas.microsoft.com/office/drawing/2014/main" id="{00000000-0008-0000-0800-000006000000}"/>
            </a:ext>
          </a:extLst>
        </xdr:cNvPr>
        <xdr:cNvSpPr/>
      </xdr:nvSpPr>
      <xdr:spPr>
        <a:xfrm>
          <a:off x="0" y="3422813"/>
          <a:ext cx="10692000" cy="71437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oneCellAnchor>
    <xdr:from>
      <xdr:col>0</xdr:col>
      <xdr:colOff>200025</xdr:colOff>
      <xdr:row>1</xdr:row>
      <xdr:rowOff>114300</xdr:rowOff>
    </xdr:from>
    <xdr:ext cx="10829925" cy="723900"/>
    <xdr:sp macro="" textlink="">
      <xdr:nvSpPr>
        <xdr:cNvPr id="7" name="Shape 7">
          <a:extLst>
            <a:ext uri="{FF2B5EF4-FFF2-40B4-BE49-F238E27FC236}">
              <a16:creationId xmlns:a16="http://schemas.microsoft.com/office/drawing/2014/main" id="{00000000-0008-0000-0800-000007000000}"/>
            </a:ext>
          </a:extLst>
        </xdr:cNvPr>
        <xdr:cNvSpPr/>
      </xdr:nvSpPr>
      <xdr:spPr>
        <a:xfrm>
          <a:off x="0" y="3422813"/>
          <a:ext cx="10692000" cy="71437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a:t>
          </a:r>
          <a:r>
            <a:rPr lang="en-US" sz="800" i="0" u="none" strike="noStrike" baseline="-25000">
              <a:solidFill>
                <a:srgbClr val="000000"/>
              </a:solidFill>
              <a:latin typeface="Arial"/>
              <a:ea typeface="Arial"/>
              <a:cs typeface="Arial"/>
              <a:sym typeface="Arial"/>
            </a:rPr>
            <a:t>2</a:t>
          </a:r>
          <a:r>
            <a:rPr lang="en-US" sz="800" i="0" u="none" strike="noStrike">
              <a:solidFill>
                <a:srgbClr val="000000"/>
              </a:solidFill>
              <a:latin typeface="Arial"/>
              <a:ea typeface="Arial"/>
              <a:cs typeface="Arial"/>
              <a:sym typeface="Arial"/>
            </a:rPr>
            <a:t>E), and summed.   For further detail on this method, refer to EPA SIT User's Guide.</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28575</xdr:rowOff>
    </xdr:from>
    <xdr:ext cx="8743950" cy="2076450"/>
    <xdr:sp macro="" textlink="">
      <xdr:nvSpPr>
        <xdr:cNvPr id="17" name="Shape 17">
          <a:extLst>
            <a:ext uri="{FF2B5EF4-FFF2-40B4-BE49-F238E27FC236}">
              <a16:creationId xmlns:a16="http://schemas.microsoft.com/office/drawing/2014/main" id="{00000000-0008-0000-1200-000011000000}"/>
            </a:ext>
          </a:extLst>
        </xdr:cNvPr>
        <xdr:cNvSpPr/>
      </xdr:nvSpPr>
      <xdr:spPr>
        <a:xfrm>
          <a:off x="978788" y="2746538"/>
          <a:ext cx="8734425" cy="206692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Natural Gas Production are calculated as the sum of emissions from the three categories of production sites: onshore wells, offshore shallow water platforms, and offshore deepwater platforms.  The number of gas production sites (wells or platforms) is multiplied by a site-specific emission factor.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Natural Gas Transmission are calculated as the sum of methane emissions from the pipelines that transport gas, the gas processing stations, the transmission compressor stations, and gas storage compressor facilities.  Emissions from each source are calculated as the product of the activity factor (e.g., miles of pipeline or number of stations) and the source-specific emission factor.</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Natural Gas Distribution are calculated as the sum of emissions from distribution pipelines and end services.  The activity factor for each type of pipeline (e.g., miles of plastic distribution pipeline) is multiplied by the corresponding emission factor.  The number of services is multiplied by a general emission factor and type-specific emission factors.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Natural Gas Venting and Flaring are calculated as the percent of emissions flared (20% is vented with the remaining 80% flared).  The amount of gas that is vented or flared is multiplied by a national emission factor. This total of potential emissions is then multiplied by the percentage of gas flared and converted to million metric tons of carbon equivalent.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Source emissions are converted to metric tons of CO2 equivalent and metric tons of carbon equivalent, and then summed across all sources.  For further details, refer to the Methane Emissions from Natural Gas and Oil Systems Chapter of the EPA SIT User's Guide.</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Source emissions are converted to metric tons of CO2 equivalent and metric tons of carbon equivalent, and then summed across all sources.  For further details, refer to the Methane Emissions from Natural Gas and Oil Systems Chapter of the User's Guide.</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1</xdr:row>
      <xdr:rowOff>9525</xdr:rowOff>
    </xdr:from>
    <xdr:ext cx="9077325" cy="2495550"/>
    <xdr:sp macro="" textlink="">
      <xdr:nvSpPr>
        <xdr:cNvPr id="18" name="Shape 18">
          <a:extLst>
            <a:ext uri="{FF2B5EF4-FFF2-40B4-BE49-F238E27FC236}">
              <a16:creationId xmlns:a16="http://schemas.microsoft.com/office/drawing/2014/main" id="{00000000-0008-0000-1300-000012000000}"/>
            </a:ext>
          </a:extLst>
        </xdr:cNvPr>
        <xdr:cNvSpPr/>
      </xdr:nvSpPr>
      <xdr:spPr>
        <a:xfrm>
          <a:off x="812100" y="2536988"/>
          <a:ext cx="9067800" cy="248602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Coal Mining are calculated by summing the emissions from underground mines, surface mines, and post-mining activities.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Underground mine emissions are comprised of two parts: methane emitted from ventilation systems and methane emitted from degasification systems. Emissions from degasification systems are equal to the difference between methane removed through degasification and methane used for energy purposes. </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Surface mine emissions are the product of surface coal mine production and a basin-specific EF.  </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Emissions from post-mining activities, such as transportation and coal handling, are equal to the sum of post-mining emissions from underground and surface mines; the emissions are each calculated as the product of coal production times a basin and mine-type specific EF.  </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Total emissions from coal mining are the sum of emissions from underground mines, surface mines, and post-mining activities at both types of mines.</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Abandoned Coal Mines are calculated by summing the emissions from mines that are vented, sealed, or flooded.</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Different coal seams vary in the amount of gas present initially and the way the methane is adsorbed to the coal (i.e. some coals release methane more readily than others).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A vented mine is one that can release methane to the atmosphere freely.  The emissions of vented mines will depend on time since abandonment and coal characteristics.</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A sealed mine has been sealed to prevent the escape of methane.  However given the nature of the rock used to seal mines, such sealing is never 100 percent effective.  The effect of a seal is to slow the methane emissions to spread them out over a longer period of time.</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After a mine is abandoned and in a flood prone area, the mine will fill up with water.  A completely flooded mine releases little to no methane to the atmosphere.  Therefore, most emissions will occur in the first few years following abandonment.</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For more information, please refer to the Coal Mining chapter of the EPA SIT User's Guide.</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342900</xdr:colOff>
      <xdr:row>1</xdr:row>
      <xdr:rowOff>0</xdr:rowOff>
    </xdr:from>
    <xdr:ext cx="9829800" cy="952500"/>
    <xdr:sp macro="" textlink="">
      <xdr:nvSpPr>
        <xdr:cNvPr id="11" name="Shape 11">
          <a:extLst>
            <a:ext uri="{FF2B5EF4-FFF2-40B4-BE49-F238E27FC236}">
              <a16:creationId xmlns:a16="http://schemas.microsoft.com/office/drawing/2014/main" id="{00000000-0008-0000-0C00-00000B000000}"/>
            </a:ext>
          </a:extLst>
        </xdr:cNvPr>
        <xdr:cNvSpPr/>
      </xdr:nvSpPr>
      <xdr:spPr>
        <a:xfrm>
          <a:off x="435863" y="3308513"/>
          <a:ext cx="9820275" cy="942975"/>
        </a:xfrm>
        <a:prstGeom prst="rect">
          <a:avLst/>
        </a:prstGeom>
        <a:solidFill>
          <a:srgbClr val="C0C0C0"/>
        </a:solidFill>
        <a:ln w="9525" cap="sq"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cement production consist of CO2 emissions produced from the following processes that follow the EPA Mandatory Greenhouse Gases Reporting  Methodolgy.</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Raw materials converted to Clinker;</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Calcinations of Clinker Kiln Dust (CKD) leaving the Kiln system;</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 Organic carbon content of Raw Meal.</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(Emissions from masonry cement are accounted for in the Lime Production estimates).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hyperlink" Target="http://www.eia.gov/naturalgas/annual/pdf/table_005.pdf"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odocs.osmre.gov/qdocs.aspx" TargetMode="External"/><Relationship Id="rId1" Type="http://schemas.openxmlformats.org/officeDocument/2006/relationships/hyperlink" Target="http://www.eia.gov/coal/annual/pdf/table1.pdf"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hyperlink" Target="https://www.fs.usda.gov/rds/archive/Catalog/RDS-2021-0035" TargetMode="External"/><Relationship Id="rId1" Type="http://schemas.openxmlformats.org/officeDocument/2006/relationships/hyperlink" Target="https://www.nrs.fs.fed.us/pubs/62418" TargetMode="External"/><Relationship Id="rId4" Type="http://schemas.openxmlformats.org/officeDocument/2006/relationships/comments" Target="../comments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Z394"/>
  <sheetViews>
    <sheetView showGridLines="0" tabSelected="1" workbookViewId="0"/>
  </sheetViews>
  <sheetFormatPr defaultColWidth="16.85546875" defaultRowHeight="10.199999999999999"/>
  <cols>
    <col min="1" max="1" width="4.42578125" customWidth="1"/>
    <col min="2" max="2" width="8" customWidth="1"/>
    <col min="3" max="3" width="75.85546875" customWidth="1"/>
    <col min="4" max="5" width="16.85546875" customWidth="1"/>
    <col min="6" max="6" width="10.7109375" customWidth="1"/>
    <col min="7" max="7" width="16.28515625" customWidth="1"/>
    <col min="8" max="9" width="8.85546875" customWidth="1"/>
    <col min="10" max="26" width="8" customWidth="1"/>
  </cols>
  <sheetData>
    <row r="1" spans="2:26" ht="18">
      <c r="B1" s="2144" t="s">
        <v>0</v>
      </c>
      <c r="D1" s="2145"/>
      <c r="F1" s="2145"/>
      <c r="G1" s="2145"/>
      <c r="H1" s="2145"/>
      <c r="I1" s="2145"/>
      <c r="J1" s="2145"/>
      <c r="K1" s="2145"/>
      <c r="L1" s="2145"/>
    </row>
    <row r="2" spans="2:26" ht="15" customHeight="1">
      <c r="B2" s="1"/>
      <c r="C2" s="2149"/>
      <c r="D2" s="2229" t="s">
        <v>1</v>
      </c>
      <c r="E2" s="2229"/>
      <c r="F2" s="2146"/>
      <c r="G2" s="2146"/>
      <c r="H2" s="2146"/>
      <c r="I2" s="2146"/>
      <c r="J2" s="2147"/>
      <c r="K2" s="2147"/>
      <c r="L2" s="2147"/>
      <c r="M2" s="1"/>
      <c r="N2" s="1"/>
      <c r="O2" s="1"/>
      <c r="P2" s="1"/>
      <c r="Q2" s="1"/>
      <c r="R2" s="1"/>
      <c r="S2" s="1"/>
      <c r="T2" s="1"/>
      <c r="U2" s="1"/>
      <c r="V2" s="1"/>
      <c r="W2" s="1"/>
      <c r="X2" s="1"/>
      <c r="Y2" s="1"/>
      <c r="Z2" s="1"/>
    </row>
    <row r="3" spans="2:26" ht="15" customHeight="1">
      <c r="B3" s="1"/>
      <c r="C3" s="2149"/>
      <c r="D3" s="2155" t="s">
        <v>3</v>
      </c>
      <c r="E3" s="2154" t="s">
        <v>2</v>
      </c>
      <c r="F3" s="2148"/>
      <c r="G3" s="2148"/>
      <c r="H3" s="2149"/>
      <c r="I3" s="2148"/>
      <c r="J3" s="2147"/>
      <c r="K3" s="2147"/>
      <c r="L3" s="2147"/>
      <c r="M3" s="1"/>
      <c r="N3" s="1"/>
      <c r="O3" s="1"/>
      <c r="P3" s="1"/>
      <c r="Q3" s="1"/>
      <c r="R3" s="1"/>
      <c r="S3" s="1"/>
      <c r="T3" s="1"/>
      <c r="U3" s="1"/>
      <c r="V3" s="1"/>
      <c r="W3" s="1"/>
      <c r="X3" s="1"/>
      <c r="Y3" s="1"/>
      <c r="Z3" s="1"/>
    </row>
    <row r="4" spans="2:26" ht="15" customHeight="1">
      <c r="B4" s="1"/>
      <c r="C4" s="2152" t="s">
        <v>4</v>
      </c>
      <c r="D4" s="2156">
        <v>1</v>
      </c>
      <c r="E4" s="2156">
        <v>1</v>
      </c>
      <c r="F4" s="2148"/>
      <c r="G4" s="2145"/>
      <c r="H4" s="2150"/>
      <c r="I4" s="2150"/>
      <c r="J4" s="2147"/>
      <c r="K4" s="2147"/>
      <c r="L4" s="2147"/>
      <c r="M4" s="1"/>
      <c r="N4" s="1"/>
      <c r="O4" s="1"/>
      <c r="P4" s="1"/>
      <c r="Q4" s="1"/>
      <c r="R4" s="1"/>
      <c r="S4" s="1"/>
      <c r="T4" s="1"/>
      <c r="U4" s="1"/>
      <c r="V4" s="1"/>
      <c r="W4" s="1"/>
      <c r="X4" s="1"/>
      <c r="Y4" s="1"/>
      <c r="Z4" s="1"/>
    </row>
    <row r="5" spans="2:26" ht="15" customHeight="1">
      <c r="B5" s="1"/>
      <c r="C5" s="2152" t="s">
        <v>5</v>
      </c>
      <c r="D5" s="2156">
        <v>84</v>
      </c>
      <c r="E5" s="2156">
        <v>28</v>
      </c>
      <c r="F5" s="2219"/>
      <c r="H5" s="2220"/>
      <c r="I5" s="2150"/>
      <c r="J5" s="2147"/>
      <c r="K5" s="2147"/>
      <c r="L5" s="2147"/>
      <c r="M5" s="1"/>
      <c r="N5" s="1"/>
      <c r="O5" s="1"/>
      <c r="P5" s="1"/>
      <c r="Q5" s="1"/>
      <c r="R5" s="1"/>
      <c r="S5" s="1"/>
      <c r="T5" s="1"/>
      <c r="U5" s="1"/>
      <c r="V5" s="1"/>
      <c r="W5" s="1"/>
      <c r="X5" s="1"/>
      <c r="Y5" s="1"/>
      <c r="Z5" s="1"/>
    </row>
    <row r="6" spans="2:26" ht="15" customHeight="1">
      <c r="B6" s="1"/>
      <c r="C6" s="2152" t="s">
        <v>6</v>
      </c>
      <c r="D6" s="2156">
        <v>264</v>
      </c>
      <c r="E6" s="2156">
        <v>265</v>
      </c>
      <c r="F6" s="2219"/>
      <c r="H6" s="2220"/>
      <c r="I6" s="2150"/>
      <c r="J6" s="2147"/>
      <c r="K6" s="2147"/>
      <c r="L6" s="2147"/>
      <c r="M6" s="1"/>
      <c r="N6" s="1"/>
      <c r="O6" s="1"/>
      <c r="P6" s="1"/>
      <c r="Q6" s="1"/>
      <c r="R6" s="1"/>
      <c r="S6" s="1"/>
      <c r="T6" s="1"/>
      <c r="U6" s="1"/>
      <c r="V6" s="1"/>
      <c r="W6" s="1"/>
      <c r="X6" s="1"/>
      <c r="Y6" s="1"/>
      <c r="Z6" s="1"/>
    </row>
    <row r="7" spans="2:26" ht="15" customHeight="1">
      <c r="B7" s="1"/>
      <c r="C7" s="2152" t="s">
        <v>7</v>
      </c>
      <c r="D7" s="2156">
        <v>17500</v>
      </c>
      <c r="E7" s="2156">
        <v>23500</v>
      </c>
      <c r="F7" s="2219"/>
      <c r="G7" s="2221"/>
      <c r="H7" s="2220"/>
      <c r="I7" s="2151"/>
      <c r="J7" s="2147"/>
      <c r="K7" s="2147"/>
      <c r="L7" s="2147"/>
      <c r="M7" s="1"/>
      <c r="N7" s="1"/>
      <c r="O7" s="1"/>
      <c r="P7" s="1"/>
      <c r="Q7" s="1"/>
      <c r="R7" s="1"/>
      <c r="S7" s="1"/>
      <c r="T7" s="1"/>
      <c r="U7" s="1"/>
      <c r="V7" s="1"/>
      <c r="W7" s="1"/>
      <c r="X7" s="1"/>
      <c r="Y7" s="1"/>
      <c r="Z7" s="1"/>
    </row>
    <row r="8" spans="2:26" ht="15" customHeight="1" thickBot="1">
      <c r="B8" s="1"/>
      <c r="C8" s="2153" t="s">
        <v>8</v>
      </c>
      <c r="D8" s="2230" t="s">
        <v>9</v>
      </c>
      <c r="E8" s="2230"/>
      <c r="F8" s="2148"/>
      <c r="G8" s="2151"/>
      <c r="H8" s="2151"/>
      <c r="I8" s="2151"/>
      <c r="J8" s="2147"/>
      <c r="K8" s="2147"/>
      <c r="L8" s="2147"/>
      <c r="M8" s="1"/>
      <c r="N8" s="1"/>
      <c r="O8" s="1"/>
      <c r="P8" s="1"/>
      <c r="Q8" s="1"/>
      <c r="R8" s="1"/>
      <c r="S8" s="1"/>
      <c r="T8" s="1"/>
      <c r="U8" s="1"/>
      <c r="V8" s="1"/>
      <c r="W8" s="1"/>
      <c r="X8" s="1"/>
      <c r="Y8" s="1"/>
      <c r="Z8" s="1"/>
    </row>
    <row r="9" spans="2:26" ht="16.2" thickBot="1">
      <c r="B9" s="2231" t="s">
        <v>1888</v>
      </c>
      <c r="C9" s="2232"/>
      <c r="D9" s="2185" t="s">
        <v>11</v>
      </c>
      <c r="E9" s="2185" t="s">
        <v>10</v>
      </c>
      <c r="F9" s="2147"/>
      <c r="G9" s="2147"/>
      <c r="H9" s="2147"/>
      <c r="I9" s="2147"/>
      <c r="J9" s="2147"/>
      <c r="K9" s="2147"/>
      <c r="L9" s="2147"/>
      <c r="M9" s="1"/>
      <c r="N9" s="1"/>
      <c r="O9" s="1"/>
      <c r="P9" s="1"/>
      <c r="Q9" s="1"/>
      <c r="R9" s="1"/>
      <c r="S9" s="1"/>
      <c r="T9" s="1"/>
      <c r="U9" s="1"/>
      <c r="V9" s="1"/>
      <c r="W9" s="1"/>
      <c r="X9" s="1"/>
      <c r="Y9" s="1"/>
      <c r="Z9" s="1"/>
    </row>
    <row r="10" spans="2:26" ht="15.6">
      <c r="B10" s="2233" t="s">
        <v>1889</v>
      </c>
      <c r="C10" s="2234"/>
      <c r="D10" s="2186">
        <f t="shared" ref="D10" si="0">D11+D30+D47+D80</f>
        <v>93.523248553548754</v>
      </c>
      <c r="E10" s="2186">
        <f t="shared" ref="E10" si="1">E11+E30+E47+E80</f>
        <v>90.937490412318084</v>
      </c>
      <c r="F10" s="2147"/>
      <c r="G10" s="2147"/>
      <c r="H10" s="2147"/>
      <c r="I10" s="2147"/>
      <c r="J10" s="2147"/>
      <c r="K10" s="2147"/>
      <c r="L10" s="2147"/>
      <c r="M10" s="1"/>
      <c r="N10" s="1"/>
      <c r="O10" s="1"/>
      <c r="P10" s="1"/>
      <c r="Q10" s="1"/>
      <c r="R10" s="1"/>
      <c r="S10" s="1"/>
      <c r="T10" s="1"/>
      <c r="U10" s="1"/>
      <c r="V10" s="1"/>
      <c r="W10" s="1"/>
      <c r="X10" s="1"/>
      <c r="Y10" s="1"/>
      <c r="Z10" s="1"/>
    </row>
    <row r="11" spans="2:26" ht="14.4">
      <c r="B11" s="2187" t="s">
        <v>65</v>
      </c>
      <c r="C11" s="2188"/>
      <c r="D11" s="2189">
        <f t="shared" ref="D11" si="2">D12+D29</f>
        <v>37.877432788613689</v>
      </c>
      <c r="E11" s="2189">
        <f t="shared" ref="E11" si="3">E12+E29</f>
        <v>37.851631414583636</v>
      </c>
      <c r="F11" s="2147"/>
      <c r="G11" s="2147"/>
      <c r="H11" s="2147"/>
      <c r="I11" s="2147"/>
      <c r="J11" s="2147"/>
      <c r="K11" s="2147"/>
      <c r="L11" s="2147"/>
      <c r="M11" s="1"/>
      <c r="N11" s="1"/>
      <c r="O11" s="1"/>
      <c r="P11" s="1"/>
      <c r="Q11" s="1"/>
      <c r="R11" s="1"/>
      <c r="S11" s="1"/>
      <c r="T11" s="1"/>
      <c r="U11" s="1"/>
      <c r="V11" s="1"/>
      <c r="W11" s="1"/>
      <c r="X11" s="1"/>
      <c r="Y11" s="1"/>
      <c r="Z11" s="1"/>
    </row>
    <row r="12" spans="2:26" ht="14.4">
      <c r="B12" s="2190"/>
      <c r="C12" s="2191" t="s">
        <v>12</v>
      </c>
      <c r="D12" s="2186">
        <f t="shared" ref="D12" si="4">D13+D17+D21+D25</f>
        <v>24.568399879780412</v>
      </c>
      <c r="E12" s="2186">
        <f t="shared" ref="E12" si="5">E13+E17+E21+E25</f>
        <v>24.542598505750362</v>
      </c>
      <c r="F12" s="2147"/>
      <c r="G12" s="2147"/>
      <c r="H12" s="2147"/>
      <c r="I12" s="2147"/>
      <c r="J12" s="2147"/>
      <c r="K12" s="2147"/>
      <c r="L12" s="2147"/>
      <c r="M12" s="1"/>
      <c r="N12" s="1"/>
      <c r="O12" s="1"/>
      <c r="P12" s="1"/>
      <c r="Q12" s="1"/>
      <c r="R12" s="1"/>
      <c r="S12" s="1"/>
      <c r="T12" s="1"/>
      <c r="U12" s="1"/>
      <c r="V12" s="1"/>
      <c r="W12" s="1"/>
      <c r="X12" s="1"/>
      <c r="Y12" s="1"/>
      <c r="Z12" s="1"/>
    </row>
    <row r="13" spans="2:26" ht="14.4">
      <c r="B13" s="2192"/>
      <c r="C13" s="2193" t="s">
        <v>293</v>
      </c>
      <c r="D13" s="2186">
        <f>SUM(D14:D16)</f>
        <v>21.946719993641477</v>
      </c>
      <c r="E13" s="2186">
        <f>SUM(E14:E16)</f>
        <v>21.923542479151127</v>
      </c>
      <c r="F13" s="2147"/>
      <c r="G13" s="2147"/>
      <c r="H13" s="2147"/>
      <c r="I13" s="2147"/>
      <c r="J13" s="2147"/>
      <c r="K13" s="2147"/>
      <c r="L13" s="2147"/>
      <c r="M13" s="1"/>
      <c r="N13" s="1"/>
      <c r="O13" s="1"/>
      <c r="P13" s="1"/>
      <c r="Q13" s="1"/>
      <c r="R13" s="1"/>
      <c r="S13" s="1"/>
      <c r="T13" s="1"/>
      <c r="U13" s="1"/>
      <c r="V13" s="1"/>
      <c r="W13" s="1"/>
      <c r="X13" s="1"/>
      <c r="Y13" s="1"/>
      <c r="Z13" s="1"/>
    </row>
    <row r="14" spans="2:26" ht="15.6">
      <c r="B14" s="2192"/>
      <c r="C14" s="2194" t="s">
        <v>1892</v>
      </c>
      <c r="D14" s="2195">
        <f>E14/_xlfn.XLOOKUP(C14,C$4:C$7,E$4:E$7,"ERROR")*_xlfn.XLOOKUP(C14,C$4:C$7,D$4:D$7,"ERROR")</f>
        <v>21.847712881476784</v>
      </c>
      <c r="E14" s="2195">
        <f>'EGU Production ALL Units'!K57</f>
        <v>21.847712881476784</v>
      </c>
      <c r="F14" s="2147"/>
      <c r="G14" s="2147"/>
      <c r="H14" s="2147"/>
      <c r="I14" s="2147"/>
      <c r="J14" s="2147"/>
      <c r="K14" s="2147"/>
      <c r="L14" s="2147"/>
      <c r="M14" s="1"/>
      <c r="N14" s="1"/>
      <c r="O14" s="1"/>
      <c r="P14" s="1"/>
      <c r="Q14" s="1"/>
      <c r="R14" s="1"/>
      <c r="S14" s="1"/>
      <c r="T14" s="1"/>
      <c r="U14" s="1"/>
      <c r="V14" s="1"/>
      <c r="W14" s="1"/>
      <c r="X14" s="1"/>
      <c r="Y14" s="1"/>
      <c r="Z14" s="1"/>
    </row>
    <row r="15" spans="2:26" ht="15.6">
      <c r="B15" s="2192"/>
      <c r="C15" s="2194" t="s">
        <v>1893</v>
      </c>
      <c r="D15" s="2195">
        <f t="shared" ref="D15:D16" si="6">E15/_xlfn.XLOOKUP(C15,C$4:C$7,E$4:E$7,"ERROR")*_xlfn.XLOOKUP(C15,C$4:C$7,D$4:D$7,"ERROR")</f>
        <v>3.5129214336814416E-2</v>
      </c>
      <c r="E15" s="2195">
        <f>'EGU Production ALL Units'!L57</f>
        <v>1.1709738112271472E-2</v>
      </c>
      <c r="F15" s="1"/>
      <c r="G15" s="1"/>
      <c r="H15" s="1"/>
      <c r="I15" s="1"/>
      <c r="J15" s="1"/>
      <c r="K15" s="1"/>
      <c r="L15" s="1"/>
      <c r="M15" s="1"/>
      <c r="N15" s="1"/>
      <c r="O15" s="1"/>
      <c r="P15" s="1"/>
      <c r="Q15" s="1"/>
      <c r="R15" s="1"/>
      <c r="S15" s="1"/>
      <c r="T15" s="1"/>
      <c r="U15" s="1"/>
      <c r="V15" s="1"/>
      <c r="W15" s="1"/>
      <c r="X15" s="1"/>
      <c r="Y15" s="1"/>
      <c r="Z15" s="1"/>
    </row>
    <row r="16" spans="2:26" ht="15.6">
      <c r="B16" s="2192"/>
      <c r="C16" s="2194" t="s">
        <v>1894</v>
      </c>
      <c r="D16" s="2195">
        <f t="shared" si="6"/>
        <v>6.3877897827877728E-2</v>
      </c>
      <c r="E16" s="2195">
        <f>'EGU Production ALL Units'!M57</f>
        <v>6.4119859562074236E-2</v>
      </c>
      <c r="F16" s="1"/>
      <c r="G16" s="1"/>
      <c r="H16" s="1"/>
      <c r="I16" s="1"/>
      <c r="J16" s="1"/>
      <c r="K16" s="1"/>
      <c r="L16" s="1"/>
      <c r="M16" s="1"/>
      <c r="N16" s="1"/>
      <c r="O16" s="1"/>
      <c r="P16" s="1"/>
      <c r="Q16" s="1"/>
      <c r="R16" s="1"/>
      <c r="S16" s="1"/>
      <c r="T16" s="1"/>
      <c r="U16" s="1"/>
      <c r="V16" s="1"/>
      <c r="W16" s="1"/>
      <c r="X16" s="1"/>
      <c r="Y16" s="1"/>
      <c r="Z16" s="1"/>
    </row>
    <row r="17" spans="2:26" ht="14.4">
      <c r="B17" s="2192"/>
      <c r="C17" s="2193" t="s">
        <v>295</v>
      </c>
      <c r="D17" s="2186">
        <f>SUM(D18:D20)</f>
        <v>2.4207767028092109</v>
      </c>
      <c r="E17" s="2186">
        <f>SUM(E18:E20)</f>
        <v>2.4184486864883072</v>
      </c>
      <c r="F17" s="1"/>
      <c r="G17" s="1"/>
      <c r="H17" s="1"/>
      <c r="I17" s="1"/>
      <c r="J17" s="1"/>
      <c r="K17" s="1"/>
      <c r="L17" s="1"/>
      <c r="M17" s="1"/>
      <c r="N17" s="1"/>
      <c r="O17" s="1"/>
      <c r="P17" s="1"/>
      <c r="Q17" s="1"/>
      <c r="R17" s="1"/>
      <c r="S17" s="1"/>
      <c r="T17" s="1"/>
      <c r="U17" s="1"/>
      <c r="V17" s="1"/>
      <c r="W17" s="1"/>
      <c r="X17" s="1"/>
      <c r="Y17" s="1"/>
      <c r="Z17" s="1"/>
    </row>
    <row r="18" spans="2:26" ht="15.6">
      <c r="B18" s="2192"/>
      <c r="C18" s="2194" t="s">
        <v>1892</v>
      </c>
      <c r="D18" s="2195">
        <f>E18/_xlfn.XLOOKUP(C18,C$4:C$7,E$4:E$7,"ERROR")*_xlfn.XLOOKUP(C18,C$4:C$7,D$4:D$7,"ERROR")</f>
        <v>2.4133302497043454</v>
      </c>
      <c r="E18" s="2195">
        <f>'EGU Production ALL Units'!K395</f>
        <v>2.4133302497043454</v>
      </c>
      <c r="F18" s="1"/>
      <c r="G18" s="1"/>
      <c r="H18" s="1"/>
      <c r="I18" s="1"/>
      <c r="J18" s="1"/>
      <c r="K18" s="1"/>
      <c r="L18" s="1"/>
      <c r="M18" s="1"/>
      <c r="N18" s="1"/>
      <c r="O18" s="1"/>
      <c r="P18" s="1"/>
      <c r="Q18" s="1"/>
      <c r="R18" s="1"/>
      <c r="S18" s="1"/>
      <c r="T18" s="1"/>
      <c r="U18" s="1"/>
      <c r="V18" s="1"/>
      <c r="W18" s="1"/>
      <c r="X18" s="1"/>
      <c r="Y18" s="1"/>
      <c r="Z18" s="1"/>
    </row>
    <row r="19" spans="2:26" ht="15.6">
      <c r="B19" s="2192"/>
      <c r="C19" s="2194" t="s">
        <v>1893</v>
      </c>
      <c r="D19" s="2195">
        <f t="shared" ref="D19:D20" si="7">E19/_xlfn.XLOOKUP(C19,C$4:C$7,E$4:E$7,"ERROR")*_xlfn.XLOOKUP(C19,C$4:C$7,D$4:D$7,"ERROR")</f>
        <v>3.5143658860086993E-3</v>
      </c>
      <c r="E19" s="2195">
        <f>'EGU Production ALL Units'!L395</f>
        <v>1.171455295336233E-3</v>
      </c>
      <c r="F19" s="1"/>
      <c r="G19" s="1"/>
      <c r="H19" s="1"/>
      <c r="I19" s="1"/>
      <c r="J19" s="1"/>
      <c r="K19" s="1"/>
      <c r="L19" s="1"/>
      <c r="M19" s="1"/>
      <c r="N19" s="1"/>
      <c r="O19" s="1"/>
      <c r="P19" s="1"/>
      <c r="Q19" s="1"/>
      <c r="R19" s="1"/>
      <c r="S19" s="1"/>
      <c r="T19" s="1"/>
      <c r="U19" s="1"/>
      <c r="V19" s="1"/>
      <c r="W19" s="1"/>
      <c r="X19" s="1"/>
      <c r="Y19" s="1"/>
      <c r="Z19" s="1"/>
    </row>
    <row r="20" spans="2:26" ht="15.6">
      <c r="B20" s="2192"/>
      <c r="C20" s="2194" t="s">
        <v>1894</v>
      </c>
      <c r="D20" s="2195">
        <f t="shared" si="7"/>
        <v>3.9320872188570652E-3</v>
      </c>
      <c r="E20" s="2195">
        <f>'EGU Production ALL Units'!M395</f>
        <v>3.9469814886254635E-3</v>
      </c>
      <c r="F20" s="1"/>
      <c r="G20" s="1"/>
      <c r="H20" s="1"/>
      <c r="I20" s="1"/>
      <c r="J20" s="1"/>
      <c r="K20" s="1"/>
      <c r="L20" s="1"/>
      <c r="M20" s="1"/>
      <c r="N20" s="1"/>
      <c r="O20" s="1"/>
      <c r="P20" s="1"/>
      <c r="Q20" s="1"/>
      <c r="R20" s="1"/>
      <c r="S20" s="1"/>
      <c r="T20" s="1"/>
      <c r="U20" s="1"/>
      <c r="V20" s="1"/>
      <c r="W20" s="1"/>
      <c r="X20" s="1"/>
      <c r="Y20" s="1"/>
      <c r="Z20" s="1"/>
    </row>
    <row r="21" spans="2:26" ht="14.4">
      <c r="B21" s="2192"/>
      <c r="C21" s="2193" t="s">
        <v>495</v>
      </c>
      <c r="D21" s="2186">
        <f>SUM(D22:D24)</f>
        <v>0.19616677990979117</v>
      </c>
      <c r="E21" s="2186">
        <f>SUM(E22:E24)</f>
        <v>0.19590192892052455</v>
      </c>
      <c r="F21" s="1"/>
      <c r="G21" s="1"/>
      <c r="H21" s="1"/>
      <c r="I21" s="1"/>
      <c r="J21" s="1"/>
      <c r="K21" s="1"/>
      <c r="L21" s="1"/>
      <c r="M21" s="1"/>
      <c r="N21" s="1"/>
      <c r="O21" s="1"/>
      <c r="P21" s="1"/>
      <c r="Q21" s="1"/>
      <c r="R21" s="1"/>
      <c r="S21" s="1"/>
      <c r="T21" s="1"/>
      <c r="U21" s="1"/>
      <c r="V21" s="1"/>
      <c r="W21" s="1"/>
      <c r="X21" s="1"/>
      <c r="Y21" s="1"/>
      <c r="Z21" s="1"/>
    </row>
    <row r="22" spans="2:26" ht="15.6">
      <c r="B22" s="2192"/>
      <c r="C22" s="2194" t="s">
        <v>1892</v>
      </c>
      <c r="D22" s="2195">
        <f>E22/_xlfn.XLOOKUP(C22,C$4:C$7,E$4:E$7,"ERROR")*_xlfn.XLOOKUP(C22,C$4:C$7,D$4:D$7,"ERROR")</f>
        <v>0.1946277957923413</v>
      </c>
      <c r="E22" s="2195">
        <f>'EGU Production ALL Units'!K293</f>
        <v>0.1946277957923413</v>
      </c>
      <c r="F22" s="1"/>
      <c r="G22" s="1"/>
      <c r="H22" s="1"/>
      <c r="I22" s="1"/>
      <c r="J22" s="1"/>
      <c r="K22" s="1"/>
      <c r="L22" s="1"/>
      <c r="M22" s="1"/>
      <c r="N22" s="1"/>
      <c r="O22" s="1"/>
      <c r="P22" s="1"/>
      <c r="Q22" s="1"/>
      <c r="R22" s="1"/>
      <c r="S22" s="1"/>
      <c r="T22" s="1"/>
      <c r="U22" s="1"/>
      <c r="V22" s="1"/>
      <c r="W22" s="1"/>
      <c r="X22" s="1"/>
      <c r="Y22" s="1"/>
      <c r="Z22" s="1"/>
    </row>
    <row r="23" spans="2:26" ht="15.6">
      <c r="B23" s="2192"/>
      <c r="C23" s="2194" t="s">
        <v>1893</v>
      </c>
      <c r="D23" s="2195">
        <f t="shared" ref="D23:D24" si="8">E23/_xlfn.XLOOKUP(C23,C$4:C$7,E$4:E$7,"ERROR")*_xlfn.XLOOKUP(C23,C$4:C$7,D$4:D$7,"ERROR")</f>
        <v>4.0372680951321035E-4</v>
      </c>
      <c r="E23" s="2195">
        <f>'EGU Production ALL Units'!L293</f>
        <v>1.3457560317107012E-4</v>
      </c>
      <c r="F23" s="1"/>
      <c r="G23" s="1"/>
      <c r="H23" s="1"/>
      <c r="I23" s="1"/>
      <c r="J23" s="1"/>
      <c r="K23" s="1"/>
      <c r="L23" s="1"/>
      <c r="M23" s="1"/>
      <c r="N23" s="1"/>
      <c r="O23" s="1"/>
      <c r="P23" s="1"/>
      <c r="Q23" s="1"/>
      <c r="R23" s="1"/>
      <c r="S23" s="1"/>
      <c r="T23" s="1"/>
      <c r="U23" s="1"/>
      <c r="V23" s="1"/>
      <c r="W23" s="1"/>
      <c r="X23" s="1"/>
      <c r="Y23" s="1"/>
      <c r="Z23" s="1"/>
    </row>
    <row r="24" spans="2:26" ht="15.6">
      <c r="B24" s="2192"/>
      <c r="C24" s="2194" t="s">
        <v>1894</v>
      </c>
      <c r="D24" s="2195">
        <f t="shared" si="8"/>
        <v>1.1352573079366651E-3</v>
      </c>
      <c r="E24" s="2195">
        <f>'EGU Production ALL Units'!M293</f>
        <v>1.1395575250121828E-3</v>
      </c>
      <c r="F24" s="1"/>
      <c r="G24" s="1"/>
      <c r="H24" s="1"/>
      <c r="I24" s="1"/>
      <c r="J24" s="1"/>
      <c r="K24" s="1"/>
      <c r="L24" s="1"/>
      <c r="M24" s="1"/>
      <c r="N24" s="1"/>
      <c r="O24" s="1"/>
      <c r="P24" s="1"/>
      <c r="Q24" s="1"/>
      <c r="R24" s="1"/>
      <c r="S24" s="1"/>
      <c r="T24" s="1"/>
      <c r="U24" s="1"/>
      <c r="V24" s="1"/>
      <c r="W24" s="1"/>
      <c r="X24" s="1"/>
      <c r="Y24" s="1"/>
      <c r="Z24" s="1"/>
    </row>
    <row r="25" spans="2:26" ht="14.4">
      <c r="B25" s="2192"/>
      <c r="C25" s="2193" t="s">
        <v>808</v>
      </c>
      <c r="D25" s="2186">
        <f>SUM(D26:D28)</f>
        <v>4.7364034199330104E-3</v>
      </c>
      <c r="E25" s="2186">
        <f>SUM(E26:E28)</f>
        <v>4.7054111904030228E-3</v>
      </c>
      <c r="F25" s="1"/>
      <c r="G25" s="1"/>
      <c r="H25" s="1"/>
      <c r="I25" s="1"/>
      <c r="J25" s="1"/>
      <c r="K25" s="1"/>
      <c r="L25" s="1"/>
      <c r="M25" s="1"/>
      <c r="N25" s="1"/>
      <c r="O25" s="1"/>
      <c r="P25" s="1"/>
      <c r="Q25" s="1"/>
      <c r="R25" s="1"/>
      <c r="S25" s="1"/>
      <c r="T25" s="1"/>
      <c r="U25" s="1"/>
      <c r="V25" s="1"/>
      <c r="W25" s="1"/>
      <c r="X25" s="1"/>
      <c r="Y25" s="1"/>
      <c r="Z25" s="1"/>
    </row>
    <row r="26" spans="2:26" ht="15.6">
      <c r="B26" s="2192"/>
      <c r="C26" s="2194" t="s">
        <v>1892</v>
      </c>
      <c r="D26" s="2195">
        <f>E26/_xlfn.XLOOKUP(C26,C$4:C$7,E$4:E$7,"ERROR")*_xlfn.XLOOKUP(C26,C$4:C$7,D$4:D$7,"ERROR")</f>
        <v>4.6682246945562601E-3</v>
      </c>
      <c r="E26" s="2195">
        <f>'EGU Production ALL Units'!K64</f>
        <v>4.6682246945562601E-3</v>
      </c>
      <c r="F26" s="1"/>
      <c r="G26" s="1"/>
      <c r="H26" s="1"/>
      <c r="I26" s="1"/>
      <c r="J26" s="1"/>
      <c r="K26" s="1"/>
      <c r="L26" s="1"/>
      <c r="M26" s="1"/>
      <c r="N26" s="1"/>
      <c r="O26" s="1"/>
      <c r="P26" s="1"/>
      <c r="Q26" s="1"/>
      <c r="R26" s="1"/>
      <c r="S26" s="1"/>
      <c r="T26" s="1"/>
      <c r="U26" s="1"/>
      <c r="V26" s="1"/>
      <c r="W26" s="1"/>
      <c r="X26" s="1"/>
      <c r="Y26" s="1"/>
      <c r="Z26" s="1"/>
    </row>
    <row r="27" spans="2:26" ht="15.6">
      <c r="B27" s="2192"/>
      <c r="C27" s="2194" t="s">
        <v>1893</v>
      </c>
      <c r="D27" s="2195">
        <f t="shared" ref="D27:D28" si="9">E27/_xlfn.XLOOKUP(C27,C$4:C$7,E$4:E$7,"ERROR")*_xlfn.XLOOKUP(C27,C$4:C$7,D$4:D$7,"ERROR")</f>
        <v>4.6610888820865435E-5</v>
      </c>
      <c r="E27" s="2195">
        <f>'EGU Production ALL Units'!L64</f>
        <v>1.5536962940288479E-5</v>
      </c>
      <c r="F27" s="1"/>
      <c r="G27" s="1"/>
      <c r="H27" s="1"/>
      <c r="I27" s="1"/>
      <c r="J27" s="1"/>
      <c r="K27" s="1"/>
      <c r="L27" s="1"/>
      <c r="M27" s="1"/>
      <c r="N27" s="1"/>
      <c r="O27" s="1"/>
      <c r="P27" s="1"/>
      <c r="Q27" s="1"/>
      <c r="R27" s="1"/>
      <c r="S27" s="1"/>
      <c r="T27" s="1"/>
      <c r="U27" s="1"/>
      <c r="V27" s="1"/>
      <c r="W27" s="1"/>
      <c r="X27" s="1"/>
      <c r="Y27" s="1"/>
      <c r="Z27" s="1"/>
    </row>
    <row r="28" spans="2:26" ht="15.6">
      <c r="B28" s="2192"/>
      <c r="C28" s="2194" t="s">
        <v>1894</v>
      </c>
      <c r="D28" s="2195">
        <f t="shared" si="9"/>
        <v>2.1567836555884307E-5</v>
      </c>
      <c r="E28" s="2195">
        <f>'EGU Production ALL Units'!M64</f>
        <v>2.1649532906474776E-5</v>
      </c>
      <c r="F28" s="1"/>
      <c r="G28" s="1"/>
      <c r="H28" s="1"/>
      <c r="I28" s="1"/>
      <c r="J28" s="1"/>
      <c r="K28" s="1"/>
      <c r="L28" s="1"/>
      <c r="M28" s="1"/>
      <c r="N28" s="1"/>
      <c r="O28" s="1"/>
      <c r="P28" s="1"/>
      <c r="Q28" s="1"/>
      <c r="R28" s="1"/>
      <c r="S28" s="1"/>
      <c r="T28" s="1"/>
      <c r="U28" s="1"/>
      <c r="V28" s="1"/>
      <c r="W28" s="1"/>
      <c r="X28" s="1"/>
      <c r="Y28" s="1"/>
      <c r="Z28" s="1"/>
    </row>
    <row r="29" spans="2:26" ht="14.4">
      <c r="B29" s="2196"/>
      <c r="C29" s="2191" t="s">
        <v>17</v>
      </c>
      <c r="D29" s="2195">
        <f>E29</f>
        <v>13.309032908833277</v>
      </c>
      <c r="E29" s="2195">
        <f>'Imported Electricity'!N78</f>
        <v>13.309032908833277</v>
      </c>
      <c r="F29" s="1"/>
      <c r="G29" s="1"/>
      <c r="H29" s="1"/>
      <c r="I29" s="1"/>
      <c r="J29" s="1"/>
      <c r="K29" s="1"/>
      <c r="L29" s="1"/>
      <c r="M29" s="1"/>
      <c r="N29" s="1"/>
      <c r="O29" s="1"/>
      <c r="P29" s="1"/>
      <c r="Q29" s="1"/>
      <c r="R29" s="1"/>
      <c r="S29" s="1"/>
      <c r="T29" s="1"/>
      <c r="U29" s="1"/>
      <c r="V29" s="1"/>
      <c r="W29" s="1"/>
      <c r="X29" s="1"/>
      <c r="Y29" s="1"/>
      <c r="Z29" s="1"/>
    </row>
    <row r="30" spans="2:26" ht="14.4">
      <c r="B30" s="2187" t="s">
        <v>18</v>
      </c>
      <c r="C30" s="2188"/>
      <c r="D30" s="2189">
        <f t="shared" ref="D30" si="10">D31+D35+D39+D43</f>
        <v>15.373424795345901</v>
      </c>
      <c r="E30" s="2189">
        <f t="shared" ref="E30" si="11">E31+E35+E39+E43</f>
        <v>15.084213077367663</v>
      </c>
      <c r="F30" s="1"/>
      <c r="G30" s="1"/>
      <c r="H30" s="1"/>
      <c r="I30" s="1"/>
      <c r="J30" s="1"/>
      <c r="K30" s="1"/>
      <c r="L30" s="1"/>
      <c r="M30" s="1"/>
      <c r="N30" s="1"/>
      <c r="O30" s="1"/>
      <c r="P30" s="1"/>
      <c r="Q30" s="1"/>
      <c r="R30" s="1"/>
      <c r="S30" s="1"/>
      <c r="T30" s="1"/>
      <c r="U30" s="1"/>
      <c r="V30" s="1"/>
      <c r="W30" s="1"/>
      <c r="X30" s="1"/>
      <c r="Y30" s="1"/>
      <c r="Z30" s="1"/>
    </row>
    <row r="31" spans="2:26" ht="14.4">
      <c r="B31" s="2190"/>
      <c r="C31" s="2197" t="s">
        <v>293</v>
      </c>
      <c r="D31" s="2186">
        <f>SUM(D32:D34)</f>
        <v>2.1331970375819682</v>
      </c>
      <c r="E31" s="2186">
        <f>SUM(E32:E34)</f>
        <v>2.1208565495022285</v>
      </c>
      <c r="F31" s="1"/>
      <c r="G31" s="1"/>
      <c r="H31" s="1"/>
      <c r="I31" s="1"/>
      <c r="J31" s="1"/>
      <c r="K31" s="1"/>
      <c r="L31" s="1"/>
      <c r="M31" s="1"/>
      <c r="N31" s="1"/>
      <c r="O31" s="1"/>
      <c r="P31" s="1"/>
      <c r="Q31" s="1"/>
      <c r="R31" s="1"/>
      <c r="S31" s="1"/>
      <c r="T31" s="1"/>
      <c r="U31" s="1"/>
      <c r="V31" s="1"/>
      <c r="W31" s="1"/>
      <c r="X31" s="1"/>
      <c r="Y31" s="1"/>
      <c r="Z31" s="1"/>
    </row>
    <row r="32" spans="2:26" ht="15.6">
      <c r="B32" s="2192"/>
      <c r="C32" s="2194" t="s">
        <v>1892</v>
      </c>
      <c r="D32" s="2195">
        <f>E32/_xlfn.XLOOKUP(C32,C$4:C$7,E$4:E$7,"ERROR")*_xlfn.XLOOKUP(C32,C$4:C$7,D$4:D$7,"ERROR")</f>
        <v>2.1058866646785508</v>
      </c>
      <c r="E32" s="2195">
        <f>Residential!C46+Commercial!D54+Industrial!E105</f>
        <v>2.1058866646785508</v>
      </c>
      <c r="F32" s="1"/>
      <c r="G32" s="1"/>
      <c r="H32" s="1"/>
      <c r="I32" s="1"/>
      <c r="J32" s="1"/>
      <c r="K32" s="1"/>
      <c r="L32" s="1"/>
      <c r="M32" s="1"/>
      <c r="N32" s="1"/>
      <c r="O32" s="1"/>
      <c r="P32" s="1"/>
      <c r="Q32" s="1"/>
      <c r="R32" s="1"/>
      <c r="S32" s="1"/>
      <c r="T32" s="1"/>
      <c r="U32" s="1"/>
      <c r="V32" s="1"/>
      <c r="W32" s="1"/>
      <c r="X32" s="1"/>
      <c r="Y32" s="1"/>
      <c r="Z32" s="1"/>
    </row>
    <row r="33" spans="2:26" ht="15.6">
      <c r="B33" s="2192"/>
      <c r="C33" s="2194" t="s">
        <v>1893</v>
      </c>
      <c r="D33" s="2195">
        <f t="shared" ref="D33:D34" si="12">E33/_xlfn.XLOOKUP(C33,C$4:C$7,E$4:E$7,"ERROR")*_xlfn.XLOOKUP(C33,C$4:C$7,D$4:D$7,"ERROR")</f>
        <v>1.8560447604264303E-2</v>
      </c>
      <c r="E33" s="2195">
        <f>Residential!E46+Commercial!E54+Industrial!F105</f>
        <v>6.1868158680881006E-3</v>
      </c>
      <c r="F33" s="1"/>
      <c r="G33" s="1"/>
      <c r="H33" s="1"/>
      <c r="I33" s="1"/>
      <c r="J33" s="1"/>
      <c r="K33" s="1"/>
      <c r="L33" s="1"/>
      <c r="M33" s="1"/>
      <c r="N33" s="1"/>
      <c r="O33" s="1"/>
      <c r="P33" s="1"/>
      <c r="Q33" s="1"/>
      <c r="R33" s="1"/>
      <c r="S33" s="1"/>
      <c r="T33" s="1"/>
      <c r="U33" s="1"/>
      <c r="V33" s="1"/>
      <c r="W33" s="1"/>
      <c r="X33" s="1"/>
      <c r="Y33" s="1"/>
      <c r="Z33" s="1"/>
    </row>
    <row r="34" spans="2:26" ht="15.6">
      <c r="B34" s="2192"/>
      <c r="C34" s="2194" t="s">
        <v>1894</v>
      </c>
      <c r="D34" s="2195">
        <f t="shared" si="12"/>
        <v>8.7499252991531714E-3</v>
      </c>
      <c r="E34" s="2195">
        <f>Residential!D46+Commercial!F54+Industrial!G105</f>
        <v>8.7830689555893574E-3</v>
      </c>
      <c r="F34" s="1"/>
      <c r="G34" s="1"/>
      <c r="H34" s="1"/>
      <c r="I34" s="1"/>
      <c r="J34" s="1"/>
      <c r="K34" s="1"/>
      <c r="L34" s="1"/>
      <c r="M34" s="1"/>
      <c r="N34" s="1"/>
      <c r="O34" s="1"/>
      <c r="P34" s="1"/>
      <c r="Q34" s="1"/>
      <c r="R34" s="1"/>
      <c r="S34" s="1"/>
      <c r="T34" s="1"/>
      <c r="U34" s="1"/>
      <c r="V34" s="1"/>
      <c r="W34" s="1"/>
      <c r="X34" s="1"/>
      <c r="Y34" s="1"/>
      <c r="Z34" s="1"/>
    </row>
    <row r="35" spans="2:26" ht="14.4">
      <c r="B35" s="2192"/>
      <c r="C35" s="2197" t="s">
        <v>1895</v>
      </c>
      <c r="D35" s="2186">
        <f>SUM(D36:D38)</f>
        <v>9.8770835711096794</v>
      </c>
      <c r="E35" s="2186">
        <f>SUM(E36:E38)</f>
        <v>9.8298305836185964</v>
      </c>
      <c r="F35" s="1"/>
      <c r="G35" s="1"/>
      <c r="H35" s="1"/>
      <c r="I35" s="1"/>
      <c r="J35" s="1"/>
      <c r="K35" s="1"/>
      <c r="L35" s="1"/>
      <c r="M35" s="1"/>
      <c r="N35" s="1"/>
      <c r="O35" s="1"/>
      <c r="P35" s="1"/>
      <c r="Q35" s="1"/>
      <c r="R35" s="1"/>
      <c r="S35" s="1"/>
      <c r="T35" s="1"/>
      <c r="U35" s="1"/>
      <c r="V35" s="1"/>
      <c r="W35" s="1"/>
      <c r="X35" s="1"/>
      <c r="Y35" s="1"/>
      <c r="Z35" s="1"/>
    </row>
    <row r="36" spans="2:26" ht="15.6">
      <c r="B36" s="2192"/>
      <c r="C36" s="2194" t="s">
        <v>1892</v>
      </c>
      <c r="D36" s="2195">
        <f>E36/_xlfn.XLOOKUP(C36,C$4:C$7,E$4:E$7,"ERROR")*_xlfn.XLOOKUP(C36,C$4:C$7,D$4:D$7,"ERROR")</f>
        <v>9.8000519654177864</v>
      </c>
      <c r="E36" s="2195">
        <f>Residential!C49+Residential!C50+Commercial!D57+Commercial!D60+Industrial!E113+Industrial!E125</f>
        <v>9.8000519654177864</v>
      </c>
      <c r="F36" s="1"/>
      <c r="G36" s="1"/>
      <c r="H36" s="1"/>
      <c r="I36" s="1"/>
      <c r="J36" s="1"/>
      <c r="K36" s="1"/>
      <c r="L36" s="1"/>
      <c r="M36" s="1"/>
      <c r="N36" s="1"/>
      <c r="O36" s="1"/>
      <c r="P36" s="1"/>
      <c r="Q36" s="1"/>
      <c r="R36" s="1"/>
      <c r="S36" s="1"/>
      <c r="T36" s="1"/>
      <c r="U36" s="1"/>
      <c r="V36" s="1"/>
      <c r="W36" s="1"/>
      <c r="X36" s="1"/>
      <c r="Y36" s="1"/>
      <c r="Z36" s="1"/>
    </row>
    <row r="37" spans="2:26" ht="15.6">
      <c r="B37" s="2192"/>
      <c r="C37" s="2194" t="s">
        <v>1893</v>
      </c>
      <c r="D37" s="2195">
        <f t="shared" ref="D37:D38" si="13">E37/_xlfn.XLOOKUP(C37,C$4:C$7,E$4:E$7,"ERROR")*_xlfn.XLOOKUP(C37,C$4:C$7,D$4:D$7,"ERROR")</f>
        <v>7.0914239001909296E-2</v>
      </c>
      <c r="E37" s="2195">
        <f>Residential!E49+Residential!E50+Commercial!E57+Commercial!E60+Industrial!F113+Industrial!F125</f>
        <v>2.3638079667303101E-2</v>
      </c>
      <c r="F37" s="1"/>
      <c r="G37" s="1"/>
      <c r="H37" s="1"/>
      <c r="I37" s="1"/>
      <c r="J37" s="1"/>
      <c r="K37" s="1"/>
      <c r="L37" s="1"/>
      <c r="M37" s="1"/>
      <c r="N37" s="1"/>
      <c r="O37" s="1"/>
      <c r="P37" s="1"/>
      <c r="Q37" s="1"/>
      <c r="R37" s="1"/>
      <c r="S37" s="1"/>
      <c r="T37" s="1"/>
      <c r="U37" s="1"/>
      <c r="V37" s="1"/>
      <c r="W37" s="1"/>
      <c r="X37" s="1"/>
      <c r="Y37" s="1"/>
      <c r="Z37" s="1"/>
    </row>
    <row r="38" spans="2:26" ht="15.6">
      <c r="B38" s="2192"/>
      <c r="C38" s="2194" t="s">
        <v>1894</v>
      </c>
      <c r="D38" s="2195">
        <f t="shared" si="13"/>
        <v>6.1173666899826873E-3</v>
      </c>
      <c r="E38" s="2195">
        <f>Residential!D49+Residential!D50+Commercial!F57+Commercial!F60+Industrial!G113+Industrial!G125</f>
        <v>6.1405385335053493E-3</v>
      </c>
      <c r="F38" s="1"/>
      <c r="G38" s="1"/>
      <c r="H38" s="1"/>
      <c r="I38" s="1"/>
      <c r="J38" s="1"/>
      <c r="K38" s="1"/>
      <c r="L38" s="1"/>
      <c r="M38" s="1"/>
      <c r="N38" s="1"/>
      <c r="O38" s="1"/>
      <c r="P38" s="1"/>
      <c r="Q38" s="1"/>
      <c r="R38" s="1"/>
      <c r="S38" s="1"/>
      <c r="T38" s="1"/>
      <c r="U38" s="1"/>
      <c r="V38" s="1"/>
      <c r="W38" s="1"/>
      <c r="X38" s="1"/>
      <c r="Y38" s="1"/>
      <c r="Z38" s="1"/>
    </row>
    <row r="39" spans="2:26" ht="14.4">
      <c r="B39" s="2192"/>
      <c r="C39" s="2197" t="s">
        <v>294</v>
      </c>
      <c r="D39" s="2186">
        <f>SUM(D40:D42)</f>
        <v>3.0208993942276616</v>
      </c>
      <c r="E39" s="2186">
        <f>SUM(E40:E42)</f>
        <v>3.0048497857494239</v>
      </c>
      <c r="F39" s="1"/>
      <c r="G39" s="1"/>
      <c r="H39" s="1"/>
      <c r="I39" s="1"/>
      <c r="J39" s="1"/>
      <c r="K39" s="1"/>
      <c r="L39" s="1"/>
      <c r="M39" s="1"/>
      <c r="N39" s="1"/>
      <c r="O39" s="1"/>
      <c r="P39" s="1"/>
      <c r="Q39" s="1"/>
      <c r="R39" s="1"/>
      <c r="S39" s="1"/>
      <c r="T39" s="1"/>
      <c r="U39" s="1"/>
      <c r="V39" s="1"/>
      <c r="W39" s="1"/>
      <c r="X39" s="1"/>
      <c r="Y39" s="1"/>
      <c r="Z39" s="1"/>
    </row>
    <row r="40" spans="2:26" ht="15.6">
      <c r="B40" s="2192"/>
      <c r="C40" s="2194" t="s">
        <v>1892</v>
      </c>
      <c r="D40" s="2195">
        <f>E40/_xlfn.XLOOKUP(C40,C$4:C$7,E$4:E$7,"ERROR")*_xlfn.XLOOKUP(C40,C$4:C$7,D$4:D$7,"ERROR")</f>
        <v>2.9907986745544735</v>
      </c>
      <c r="E40" s="2195">
        <f>Residential!C47+Residential!C48+Commercial!D55+Commercial!D56+Commercial!D58+Commercial!D59+Industrial!E109+Industrial!E110+Industrial!E111+Industrial!E112+Industrial!E114+Industrial!E115+Industrial!E117+Industrial!E119+Industrial!E120+Industrial!E122+Industrial!E124</f>
        <v>2.9907986745544735</v>
      </c>
      <c r="F40" s="1"/>
      <c r="G40" s="1"/>
      <c r="H40" s="1"/>
      <c r="I40" s="1"/>
      <c r="J40" s="1"/>
      <c r="K40" s="1"/>
      <c r="L40" s="1"/>
      <c r="M40" s="1"/>
      <c r="N40" s="1"/>
      <c r="O40" s="1"/>
      <c r="P40" s="1"/>
      <c r="Q40" s="1"/>
      <c r="R40" s="1"/>
      <c r="S40" s="1"/>
      <c r="T40" s="1"/>
      <c r="U40" s="1"/>
      <c r="V40" s="1"/>
      <c r="W40" s="1"/>
      <c r="X40" s="1"/>
      <c r="Y40" s="1"/>
      <c r="Z40" s="1"/>
    </row>
    <row r="41" spans="2:26" ht="15.6">
      <c r="B41" s="2192"/>
      <c r="C41" s="2194" t="s">
        <v>1893</v>
      </c>
      <c r="D41" s="2195">
        <f t="shared" ref="D41:D42" si="14">E41/_xlfn.XLOOKUP(C41,C$4:C$7,E$4:E$7,"ERROR")*_xlfn.XLOOKUP(C41,C$4:C$7,D$4:D$7,"ERROR")</f>
        <v>2.4108459649311253E-2</v>
      </c>
      <c r="E41" s="2195">
        <f>Residential!E47+Residential!E48+Commercial!E55+Commercial!E56+Commercial!E58+Commercial!E59+Industrial!F109+Industrial!F110+Industrial!F111+Industrial!F112+Industrial!F115+Industrial!F119+Industrial!F120+Industrial!F122</f>
        <v>8.0361532164370843E-3</v>
      </c>
      <c r="F41" s="1"/>
      <c r="G41" s="1"/>
      <c r="H41" s="1"/>
      <c r="I41" s="1"/>
      <c r="J41" s="1"/>
      <c r="K41" s="1"/>
      <c r="L41" s="1"/>
      <c r="M41" s="1"/>
      <c r="N41" s="1"/>
      <c r="O41" s="1"/>
      <c r="P41" s="1"/>
      <c r="Q41" s="1"/>
      <c r="R41" s="1"/>
      <c r="S41" s="1"/>
      <c r="T41" s="1"/>
      <c r="U41" s="1"/>
      <c r="V41" s="1"/>
      <c r="W41" s="1"/>
      <c r="X41" s="1"/>
      <c r="Y41" s="1"/>
      <c r="Z41" s="1"/>
    </row>
    <row r="42" spans="2:26" ht="15.6">
      <c r="B42" s="2192"/>
      <c r="C42" s="2194" t="s">
        <v>1894</v>
      </c>
      <c r="D42" s="2195">
        <f t="shared" si="14"/>
        <v>5.9922600238773065E-3</v>
      </c>
      <c r="E42" s="2195">
        <f>Residential!D47+Residential!D48+Commercial!F55+Commercial!F56+Commercial!F58+Commercial!F59+Industrial!G109+Industrial!G110+Industrial!G111+Industrial!G112+Industrial!G115+Industrial!G119+Industrial!G120+Industrial!G122</f>
        <v>6.0149579785132058E-3</v>
      </c>
      <c r="F42" s="1"/>
      <c r="G42" s="1"/>
      <c r="H42" s="1"/>
      <c r="I42" s="1"/>
      <c r="J42" s="1"/>
      <c r="K42" s="1"/>
      <c r="L42" s="1"/>
      <c r="M42" s="1"/>
      <c r="N42" s="1"/>
      <c r="O42" s="1"/>
      <c r="P42" s="1"/>
      <c r="Q42" s="1"/>
      <c r="R42" s="1"/>
      <c r="S42" s="1"/>
      <c r="T42" s="1"/>
      <c r="U42" s="1"/>
      <c r="V42" s="1"/>
      <c r="W42" s="1"/>
      <c r="X42" s="1"/>
      <c r="Y42" s="1"/>
      <c r="Z42" s="1"/>
    </row>
    <row r="43" spans="2:26" ht="14.4">
      <c r="B43" s="2192"/>
      <c r="C43" s="2197" t="s">
        <v>1896</v>
      </c>
      <c r="D43" s="2186">
        <f>SUM(D44:D46)</f>
        <v>0.34224479242659056</v>
      </c>
      <c r="E43" s="2186">
        <f>SUM(E44:E46)</f>
        <v>0.12867615849741515</v>
      </c>
      <c r="F43" s="1"/>
      <c r="G43" s="1"/>
      <c r="H43" s="1"/>
      <c r="I43" s="1"/>
      <c r="J43" s="1"/>
      <c r="K43" s="1"/>
      <c r="L43" s="1"/>
      <c r="M43" s="1"/>
      <c r="N43" s="1"/>
      <c r="O43" s="1"/>
      <c r="P43" s="1"/>
      <c r="Q43" s="1"/>
      <c r="R43" s="1"/>
      <c r="S43" s="1"/>
      <c r="T43" s="1"/>
      <c r="U43" s="1"/>
      <c r="V43" s="1"/>
      <c r="W43" s="1"/>
      <c r="X43" s="1"/>
      <c r="Y43" s="1"/>
      <c r="Z43" s="1"/>
    </row>
    <row r="44" spans="2:26" ht="15.6">
      <c r="B44" s="2192"/>
      <c r="C44" s="2194" t="s">
        <v>1892</v>
      </c>
      <c r="D44" s="2195">
        <f>E44/_xlfn.XLOOKUP(C44,C$4:C$7,E$4:E$7,"ERROR")*_xlfn.XLOOKUP(C44,C$4:C$7,D$4:D$7,"ERROR")</f>
        <v>0</v>
      </c>
      <c r="E44" s="2195">
        <f>Residential!C51+Commercial!D61+Industrial!E126</f>
        <v>0</v>
      </c>
      <c r="F44" s="1"/>
      <c r="G44" s="1"/>
      <c r="H44" s="1"/>
      <c r="I44" s="1"/>
      <c r="J44" s="1"/>
      <c r="K44" s="1"/>
      <c r="L44" s="1"/>
      <c r="M44" s="1"/>
      <c r="N44" s="1"/>
      <c r="O44" s="1"/>
      <c r="P44" s="1"/>
      <c r="Q44" s="1"/>
      <c r="R44" s="1"/>
      <c r="S44" s="1"/>
      <c r="T44" s="1"/>
      <c r="U44" s="1"/>
      <c r="V44" s="1"/>
      <c r="W44" s="1"/>
      <c r="X44" s="1"/>
      <c r="Y44" s="1"/>
      <c r="Z44" s="1"/>
    </row>
    <row r="45" spans="2:26" ht="15.6">
      <c r="B45" s="2192"/>
      <c r="C45" s="2194" t="s">
        <v>1893</v>
      </c>
      <c r="D45" s="2195">
        <f t="shared" ref="D45:D46" si="15">E45/_xlfn.XLOOKUP(C45,C$4:C$7,E$4:E$7,"ERROR")*_xlfn.XLOOKUP(C45,C$4:C$7,D$4:D$7,"ERROR")</f>
        <v>0.32047663361428752</v>
      </c>
      <c r="E45" s="2195">
        <f>Residential!E51+Commercial!E61+Industrial!F126</f>
        <v>0.10682554453809584</v>
      </c>
      <c r="F45" s="1"/>
      <c r="G45" s="1"/>
      <c r="H45" s="1"/>
      <c r="I45" s="1"/>
      <c r="J45" s="1"/>
      <c r="K45" s="1"/>
      <c r="L45" s="1"/>
      <c r="M45" s="1"/>
      <c r="N45" s="1"/>
      <c r="O45" s="1"/>
      <c r="P45" s="1"/>
      <c r="Q45" s="1"/>
      <c r="R45" s="1"/>
      <c r="S45" s="1"/>
      <c r="T45" s="1"/>
      <c r="U45" s="1"/>
      <c r="V45" s="1"/>
      <c r="W45" s="1"/>
      <c r="X45" s="1"/>
      <c r="Y45" s="1"/>
      <c r="Z45" s="1"/>
    </row>
    <row r="46" spans="2:26" ht="15.6">
      <c r="B46" s="2196"/>
      <c r="C46" s="2194" t="s">
        <v>1894</v>
      </c>
      <c r="D46" s="2195">
        <f t="shared" si="15"/>
        <v>2.1768158812303012E-2</v>
      </c>
      <c r="E46" s="2195">
        <f>Residential!D51+Commercial!F61+Industrial!G126</f>
        <v>2.1850613959319313E-2</v>
      </c>
      <c r="F46" s="1"/>
      <c r="G46" s="1"/>
      <c r="H46" s="1"/>
      <c r="I46" s="1"/>
      <c r="J46" s="1"/>
      <c r="K46" s="1"/>
      <c r="L46" s="1"/>
      <c r="M46" s="1"/>
      <c r="N46" s="1"/>
      <c r="O46" s="1"/>
      <c r="P46" s="1"/>
      <c r="Q46" s="1"/>
      <c r="R46" s="1"/>
      <c r="S46" s="1"/>
      <c r="T46" s="1"/>
      <c r="U46" s="1"/>
      <c r="V46" s="1"/>
      <c r="W46" s="1"/>
      <c r="X46" s="1"/>
      <c r="Y46" s="1"/>
      <c r="Z46" s="1"/>
    </row>
    <row r="47" spans="2:26" ht="14.4">
      <c r="B47" s="2187" t="s">
        <v>23</v>
      </c>
      <c r="C47" s="2188"/>
      <c r="D47" s="2189">
        <f t="shared" ref="D47" si="16">D48+D52+D56+D60+D64+D68+D72+D76</f>
        <v>36.633120024057519</v>
      </c>
      <c r="E47" s="2189">
        <f t="shared" ref="E47" si="17">E48+E52+E56+E60+E64+E68+E72+E76</f>
        <v>36.590596721777416</v>
      </c>
      <c r="F47" s="1"/>
      <c r="G47" s="1"/>
      <c r="H47" s="1"/>
      <c r="I47" s="1"/>
      <c r="J47" s="1"/>
      <c r="K47" s="1"/>
      <c r="L47" s="1"/>
      <c r="M47" s="1"/>
      <c r="N47" s="1"/>
      <c r="O47" s="1"/>
      <c r="P47" s="1"/>
      <c r="Q47" s="1"/>
      <c r="R47" s="1"/>
      <c r="S47" s="1"/>
      <c r="T47" s="1"/>
      <c r="U47" s="1"/>
      <c r="V47" s="1"/>
      <c r="W47" s="1"/>
      <c r="X47" s="1"/>
      <c r="Y47" s="1"/>
      <c r="Z47" s="1"/>
    </row>
    <row r="48" spans="2:26" ht="14.4">
      <c r="B48" s="2190"/>
      <c r="C48" s="2197" t="s">
        <v>24</v>
      </c>
      <c r="D48" s="2186">
        <f>SUM(D49:D51)</f>
        <v>22.545229850775929</v>
      </c>
      <c r="E48" s="2186">
        <f>SUM(E49:E51)</f>
        <v>22.528256978430264</v>
      </c>
      <c r="F48" s="1"/>
      <c r="G48" s="1"/>
      <c r="H48" s="1"/>
      <c r="I48" s="1"/>
      <c r="J48" s="1"/>
      <c r="K48" s="1"/>
      <c r="L48" s="1"/>
      <c r="M48" s="1"/>
      <c r="N48" s="1"/>
      <c r="O48" s="1"/>
      <c r="P48" s="1"/>
      <c r="Q48" s="1"/>
      <c r="R48" s="1"/>
      <c r="S48" s="1"/>
      <c r="T48" s="1"/>
      <c r="U48" s="1"/>
      <c r="V48" s="1"/>
      <c r="W48" s="1"/>
      <c r="X48" s="1"/>
      <c r="Y48" s="1"/>
      <c r="Z48" s="1"/>
    </row>
    <row r="49" spans="2:26" ht="15.6">
      <c r="B49" s="2192"/>
      <c r="C49" s="2194" t="s">
        <v>1892</v>
      </c>
      <c r="D49" s="2195">
        <f>E49/_xlfn.XLOOKUP(C49,C$4:C$7,E$4:E$7,"ERROR")*_xlfn.XLOOKUP(C49,C$4:C$7,D$4:D$7,"ERROR")</f>
        <v>22.519055143367485</v>
      </c>
      <c r="E49" s="2195">
        <f>Transportation!O107</f>
        <v>22.519055143367485</v>
      </c>
      <c r="F49" s="1"/>
      <c r="G49" s="1"/>
      <c r="H49" s="1"/>
      <c r="I49" s="1"/>
      <c r="J49" s="1"/>
      <c r="K49" s="1"/>
      <c r="L49" s="1"/>
      <c r="M49" s="1"/>
      <c r="N49" s="1"/>
      <c r="O49" s="1"/>
      <c r="P49" s="1"/>
      <c r="Q49" s="1"/>
      <c r="R49" s="1"/>
      <c r="S49" s="1"/>
      <c r="T49" s="1"/>
      <c r="U49" s="1"/>
      <c r="V49" s="1"/>
      <c r="W49" s="1"/>
      <c r="X49" s="1"/>
      <c r="Y49" s="1"/>
      <c r="Z49" s="1"/>
    </row>
    <row r="50" spans="2:26" ht="15.6">
      <c r="B50" s="2192"/>
      <c r="C50" s="2194" t="s">
        <v>1893</v>
      </c>
      <c r="D50" s="2195">
        <f t="shared" ref="D50:D51" si="18">E50/_xlfn.XLOOKUP(C50,C$4:C$7,E$4:E$7,"ERROR")*_xlfn.XLOOKUP(C50,C$4:C$7,D$4:D$7,"ERROR")</f>
        <v>2.5463350320134703E-2</v>
      </c>
      <c r="E50" s="2195">
        <f>Transportation!AE107/1000000</f>
        <v>8.4877834400449003E-3</v>
      </c>
      <c r="F50" s="1"/>
      <c r="G50" s="1"/>
      <c r="H50" s="1"/>
      <c r="I50" s="1"/>
      <c r="J50" s="1"/>
      <c r="K50" s="1"/>
      <c r="L50" s="1"/>
      <c r="M50" s="1"/>
      <c r="N50" s="1"/>
      <c r="O50" s="1"/>
      <c r="P50" s="1"/>
      <c r="Q50" s="1"/>
      <c r="R50" s="1"/>
      <c r="S50" s="1"/>
      <c r="T50" s="1"/>
      <c r="U50" s="1"/>
      <c r="V50" s="1"/>
      <c r="W50" s="1"/>
      <c r="X50" s="1"/>
      <c r="Y50" s="1"/>
      <c r="Z50" s="1"/>
    </row>
    <row r="51" spans="2:26" ht="15.6">
      <c r="B51" s="2192"/>
      <c r="C51" s="2194" t="s">
        <v>1894</v>
      </c>
      <c r="D51" s="2195">
        <f t="shared" si="18"/>
        <v>7.1135708830852523E-4</v>
      </c>
      <c r="E51" s="2195">
        <f>Transportation!X107/1000000</f>
        <v>7.140516227339363E-4</v>
      </c>
      <c r="F51" s="1"/>
      <c r="G51" s="1"/>
      <c r="H51" s="1"/>
      <c r="I51" s="1"/>
      <c r="J51" s="1"/>
      <c r="K51" s="1"/>
      <c r="L51" s="1"/>
      <c r="M51" s="1"/>
      <c r="N51" s="1"/>
      <c r="O51" s="1"/>
      <c r="P51" s="1"/>
      <c r="Q51" s="1"/>
      <c r="R51" s="1"/>
      <c r="S51" s="1"/>
      <c r="T51" s="1"/>
      <c r="U51" s="1"/>
      <c r="V51" s="1"/>
      <c r="W51" s="1"/>
      <c r="X51" s="1"/>
      <c r="Y51" s="1"/>
      <c r="Z51" s="1"/>
    </row>
    <row r="52" spans="2:26" ht="14.4">
      <c r="B52" s="2192"/>
      <c r="C52" s="2197" t="s">
        <v>25</v>
      </c>
      <c r="D52" s="2186">
        <f>SUM(D53:D55)</f>
        <v>2.7389027903418715</v>
      </c>
      <c r="E52" s="2186">
        <f>SUM(E53:E55)</f>
        <v>2.7363948935832223</v>
      </c>
      <c r="F52" s="1"/>
      <c r="G52" s="1"/>
      <c r="H52" s="1"/>
      <c r="I52" s="1"/>
      <c r="J52" s="1"/>
      <c r="K52" s="1"/>
      <c r="L52" s="1"/>
      <c r="M52" s="1"/>
      <c r="N52" s="1"/>
      <c r="O52" s="1"/>
      <c r="P52" s="1"/>
      <c r="Q52" s="1"/>
      <c r="R52" s="1"/>
      <c r="S52" s="1"/>
      <c r="T52" s="1"/>
      <c r="U52" s="1"/>
      <c r="V52" s="1"/>
      <c r="W52" s="1"/>
      <c r="X52" s="1"/>
      <c r="Y52" s="1"/>
      <c r="Z52" s="1"/>
    </row>
    <row r="53" spans="2:26" ht="15.6">
      <c r="B53" s="2192"/>
      <c r="C53" s="2194" t="s">
        <v>1892</v>
      </c>
      <c r="D53" s="2195">
        <f>E53/_xlfn.XLOOKUP(C53,C$4:C$7,E$4:E$7,"ERROR")*_xlfn.XLOOKUP(C53,C$4:C$7,D$4:D$7,"ERROR")</f>
        <v>2.7318932899032262</v>
      </c>
      <c r="E53" s="2195">
        <f>Transportation!O66+Transportation!O67+Transportation!O68+Transportation!O69</f>
        <v>2.7318932899032262</v>
      </c>
      <c r="F53" s="1"/>
      <c r="G53" s="1"/>
      <c r="H53" s="1"/>
      <c r="I53" s="1"/>
      <c r="J53" s="1"/>
      <c r="K53" s="1"/>
      <c r="L53" s="1"/>
      <c r="M53" s="1"/>
      <c r="N53" s="1"/>
      <c r="O53" s="1"/>
      <c r="P53" s="1"/>
      <c r="Q53" s="1"/>
      <c r="R53" s="1"/>
      <c r="S53" s="1"/>
      <c r="T53" s="1"/>
      <c r="U53" s="1"/>
      <c r="V53" s="1"/>
      <c r="W53" s="1"/>
      <c r="X53" s="1"/>
      <c r="Y53" s="1"/>
      <c r="Z53" s="1"/>
    </row>
    <row r="54" spans="2:26" ht="15.6">
      <c r="B54" s="2192"/>
      <c r="C54" s="2194" t="s">
        <v>1893</v>
      </c>
      <c r="D54" s="2195">
        <f t="shared" ref="D54:D55" si="19">E54/_xlfn.XLOOKUP(C54,C$4:C$7,E$4:E$7,"ERROR")*_xlfn.XLOOKUP(C54,C$4:C$7,D$4:D$7,"ERROR")</f>
        <v>3.7801934730055439E-3</v>
      </c>
      <c r="E54" s="2195">
        <f>(Transportation!AE66+Transportation!AE67+Transportation!AE68+Transportation!AE69)/1000000</f>
        <v>1.2600644910018479E-3</v>
      </c>
      <c r="F54" s="1"/>
      <c r="G54" s="1"/>
      <c r="H54" s="1"/>
      <c r="I54" s="1"/>
      <c r="J54" s="1"/>
      <c r="K54" s="1"/>
      <c r="L54" s="1"/>
      <c r="M54" s="1"/>
      <c r="N54" s="1"/>
      <c r="O54" s="1"/>
      <c r="P54" s="1"/>
      <c r="Q54" s="1"/>
      <c r="R54" s="1"/>
      <c r="S54" s="1"/>
      <c r="T54" s="1"/>
      <c r="U54" s="1"/>
      <c r="V54" s="1"/>
      <c r="W54" s="1"/>
      <c r="X54" s="1"/>
      <c r="Y54" s="1"/>
      <c r="Z54" s="1"/>
    </row>
    <row r="55" spans="2:26" ht="15.6">
      <c r="B55" s="2192"/>
      <c r="C55" s="2194" t="s">
        <v>1894</v>
      </c>
      <c r="D55" s="2195">
        <f t="shared" si="19"/>
        <v>3.2293069656397443E-3</v>
      </c>
      <c r="E55" s="2195">
        <f>SUM(Transportation!X66:X69)/1000000</f>
        <v>3.2415391889944402E-3</v>
      </c>
      <c r="F55" s="1"/>
      <c r="G55" s="1"/>
      <c r="H55" s="1"/>
      <c r="I55" s="1"/>
      <c r="J55" s="1"/>
      <c r="K55" s="1"/>
      <c r="L55" s="1"/>
      <c r="M55" s="1"/>
      <c r="N55" s="1"/>
      <c r="O55" s="1"/>
      <c r="P55" s="1"/>
      <c r="Q55" s="1"/>
      <c r="R55" s="1"/>
      <c r="S55" s="1"/>
      <c r="T55" s="1"/>
      <c r="U55" s="1"/>
      <c r="V55" s="1"/>
      <c r="W55" s="1"/>
      <c r="X55" s="1"/>
      <c r="Y55" s="1"/>
      <c r="Z55" s="1"/>
    </row>
    <row r="56" spans="2:26" ht="14.4">
      <c r="B56" s="2192"/>
      <c r="C56" s="2197" t="s">
        <v>26</v>
      </c>
      <c r="D56" s="2186">
        <f>SUM(D57:D59)</f>
        <v>5.7210328220686879</v>
      </c>
      <c r="E56" s="2186">
        <f>SUM(E57:E59)</f>
        <v>5.7208162079635656</v>
      </c>
      <c r="F56" s="1"/>
      <c r="G56" s="1"/>
      <c r="H56" s="1"/>
      <c r="I56" s="1"/>
      <c r="J56" s="1"/>
      <c r="K56" s="1"/>
      <c r="L56" s="1"/>
      <c r="M56" s="1"/>
      <c r="N56" s="1"/>
      <c r="O56" s="1"/>
      <c r="P56" s="1"/>
      <c r="Q56" s="1"/>
      <c r="R56" s="1"/>
      <c r="S56" s="1"/>
      <c r="T56" s="1"/>
      <c r="U56" s="1"/>
      <c r="V56" s="1"/>
      <c r="W56" s="1"/>
      <c r="X56" s="1"/>
      <c r="Y56" s="1"/>
      <c r="Z56" s="1"/>
    </row>
    <row r="57" spans="2:26" ht="15.6">
      <c r="B57" s="2192"/>
      <c r="C57" s="2194" t="s">
        <v>1892</v>
      </c>
      <c r="D57" s="2195">
        <f>E57/_xlfn.XLOOKUP(C57,C$4:C$7,E$4:E$7,"ERROR")*_xlfn.XLOOKUP(C57,C$4:C$7,D$4:D$7,"ERROR")</f>
        <v>5.720528738777328</v>
      </c>
      <c r="E57" s="2195">
        <f>Transportation!O106</f>
        <v>5.720528738777328</v>
      </c>
      <c r="F57" s="1"/>
      <c r="G57" s="1"/>
      <c r="H57" s="1"/>
      <c r="I57" s="1"/>
      <c r="J57" s="1"/>
      <c r="K57" s="1"/>
      <c r="L57" s="1"/>
      <c r="M57" s="1"/>
      <c r="N57" s="1"/>
      <c r="O57" s="1"/>
      <c r="P57" s="1"/>
      <c r="Q57" s="1"/>
      <c r="R57" s="1"/>
      <c r="S57" s="1"/>
      <c r="T57" s="1"/>
      <c r="U57" s="1"/>
      <c r="V57" s="1"/>
      <c r="W57" s="1"/>
      <c r="X57" s="1"/>
      <c r="Y57" s="1"/>
      <c r="Z57" s="1"/>
    </row>
    <row r="58" spans="2:26" ht="15.6">
      <c r="B58" s="2192"/>
      <c r="C58" s="2194" t="s">
        <v>1893</v>
      </c>
      <c r="D58" s="2195">
        <f t="shared" ref="D58:D59" si="20">E58/_xlfn.XLOOKUP(C58,C$4:C$7,E$4:E$7,"ERROR")*_xlfn.XLOOKUP(C58,C$4:C$7,D$4:D$7,"ERROR")</f>
        <v>3.2593337312858785E-4</v>
      </c>
      <c r="E58" s="2195">
        <f>Transportation!AE106/1000000</f>
        <v>1.0864445770952928E-4</v>
      </c>
      <c r="F58" s="1"/>
      <c r="G58" s="1"/>
      <c r="H58" s="1"/>
      <c r="I58" s="1"/>
      <c r="J58" s="1"/>
      <c r="K58" s="1"/>
      <c r="L58" s="1"/>
      <c r="M58" s="1"/>
      <c r="N58" s="1"/>
      <c r="O58" s="1"/>
      <c r="P58" s="1"/>
      <c r="Q58" s="1"/>
      <c r="R58" s="1"/>
      <c r="S58" s="1"/>
      <c r="T58" s="1"/>
      <c r="U58" s="1"/>
      <c r="V58" s="1"/>
      <c r="W58" s="1"/>
      <c r="X58" s="1"/>
      <c r="Y58" s="1"/>
      <c r="Z58" s="1"/>
    </row>
    <row r="59" spans="2:26" ht="15.6">
      <c r="B59" s="2192"/>
      <c r="C59" s="2194" t="s">
        <v>1894</v>
      </c>
      <c r="D59" s="2195">
        <f t="shared" si="20"/>
        <v>1.7814991823177472E-4</v>
      </c>
      <c r="E59" s="2195">
        <f>Transportation!X106/1000000</f>
        <v>1.7882472852810721E-4</v>
      </c>
      <c r="F59" s="1"/>
      <c r="G59" s="1"/>
      <c r="H59" s="1"/>
      <c r="I59" s="1"/>
      <c r="J59" s="1"/>
      <c r="K59" s="1"/>
      <c r="L59" s="1"/>
      <c r="M59" s="1"/>
      <c r="N59" s="1"/>
      <c r="O59" s="1"/>
      <c r="P59" s="1"/>
      <c r="Q59" s="1"/>
      <c r="R59" s="1"/>
      <c r="S59" s="1"/>
      <c r="T59" s="1"/>
      <c r="U59" s="1"/>
      <c r="V59" s="1"/>
      <c r="W59" s="1"/>
      <c r="X59" s="1"/>
      <c r="Y59" s="1"/>
      <c r="Z59" s="1"/>
    </row>
    <row r="60" spans="2:26" ht="14.4">
      <c r="B60" s="2192"/>
      <c r="C60" s="2197" t="s">
        <v>27</v>
      </c>
      <c r="D60" s="2186">
        <f>SUM(D61:D63)</f>
        <v>2.171798321491742</v>
      </c>
      <c r="E60" s="2186">
        <f>SUM(E61:E63)</f>
        <v>2.1554378835589696</v>
      </c>
      <c r="F60" s="1"/>
      <c r="G60" s="1"/>
      <c r="H60" s="1"/>
      <c r="I60" s="1"/>
      <c r="J60" s="1"/>
      <c r="K60" s="1"/>
      <c r="L60" s="1"/>
      <c r="M60" s="1"/>
      <c r="N60" s="1"/>
      <c r="O60" s="1"/>
      <c r="P60" s="1"/>
      <c r="Q60" s="1"/>
      <c r="R60" s="1"/>
      <c r="S60" s="1"/>
      <c r="T60" s="1"/>
      <c r="U60" s="1"/>
      <c r="V60" s="1"/>
      <c r="W60" s="1"/>
      <c r="X60" s="1"/>
      <c r="Y60" s="1"/>
      <c r="Z60" s="1"/>
    </row>
    <row r="61" spans="2:26" ht="15.6">
      <c r="B61" s="2192"/>
      <c r="C61" s="2194" t="s">
        <v>1892</v>
      </c>
      <c r="D61" s="2195">
        <f>E61/_xlfn.XLOOKUP(C61,C$4:C$7,E$4:E$7,"ERROR")*_xlfn.XLOOKUP(C61,C$4:C$7,D$4:D$7,"ERROR")</f>
        <v>2.133145964549084</v>
      </c>
      <c r="E61" s="2195">
        <f>SUM(Transportation!O58:O60)</f>
        <v>2.133145964549084</v>
      </c>
      <c r="F61" s="1"/>
      <c r="G61" s="1"/>
      <c r="H61" s="1"/>
      <c r="I61" s="1"/>
      <c r="J61" s="1"/>
      <c r="K61" s="1"/>
      <c r="L61" s="1"/>
      <c r="M61" s="1"/>
      <c r="N61" s="1"/>
      <c r="O61" s="1"/>
      <c r="P61" s="1"/>
      <c r="Q61" s="1"/>
      <c r="R61" s="1"/>
      <c r="S61" s="1"/>
      <c r="T61" s="1"/>
      <c r="U61" s="1"/>
      <c r="V61" s="1"/>
      <c r="W61" s="1"/>
      <c r="X61" s="1"/>
      <c r="Y61" s="1"/>
      <c r="Z61" s="1"/>
    </row>
    <row r="62" spans="2:26" ht="15.6">
      <c r="B62" s="2192"/>
      <c r="C62" s="2194" t="s">
        <v>1893</v>
      </c>
      <c r="D62" s="2195">
        <f t="shared" ref="D62:D63" si="21">E62/_xlfn.XLOOKUP(C62,C$4:C$7,E$4:E$7,"ERROR")*_xlfn.XLOOKUP(C62,C$4:C$7,D$4:D$7,"ERROR")</f>
        <v>2.462038401804912E-2</v>
      </c>
      <c r="E62" s="2195">
        <f>SUM(Transportation!AE58:AE60)/1000000</f>
        <v>8.2067946726830394E-3</v>
      </c>
      <c r="F62" s="1"/>
      <c r="G62" s="1"/>
      <c r="H62" s="1"/>
      <c r="I62" s="1"/>
      <c r="J62" s="1"/>
      <c r="K62" s="1"/>
      <c r="L62" s="1"/>
      <c r="M62" s="1"/>
      <c r="N62" s="1"/>
      <c r="O62" s="1"/>
      <c r="P62" s="1"/>
      <c r="Q62" s="1"/>
      <c r="R62" s="1"/>
      <c r="S62" s="1"/>
      <c r="T62" s="1"/>
      <c r="U62" s="1"/>
      <c r="V62" s="1"/>
      <c r="W62" s="1"/>
      <c r="X62" s="1"/>
      <c r="Y62" s="1"/>
      <c r="Z62" s="1"/>
    </row>
    <row r="63" spans="2:26" ht="15.6">
      <c r="B63" s="2192"/>
      <c r="C63" s="2194" t="s">
        <v>1894</v>
      </c>
      <c r="D63" s="2195">
        <f t="shared" si="21"/>
        <v>1.4031972924609027E-2</v>
      </c>
      <c r="E63" s="2195">
        <f>SUM(Transportation!X58:X60)/1000000</f>
        <v>1.4085124337202243E-2</v>
      </c>
      <c r="F63" s="1"/>
      <c r="G63" s="1"/>
      <c r="H63" s="1"/>
      <c r="I63" s="1"/>
      <c r="J63" s="1"/>
      <c r="K63" s="1"/>
      <c r="L63" s="1"/>
      <c r="M63" s="1"/>
      <c r="N63" s="1"/>
      <c r="O63" s="1"/>
      <c r="P63" s="1"/>
      <c r="Q63" s="1"/>
      <c r="R63" s="1"/>
      <c r="S63" s="1"/>
      <c r="T63" s="1"/>
      <c r="U63" s="1"/>
      <c r="V63" s="1"/>
      <c r="W63" s="1"/>
      <c r="X63" s="1"/>
      <c r="Y63" s="1"/>
      <c r="Z63" s="1"/>
    </row>
    <row r="64" spans="2:26" ht="14.4">
      <c r="B64" s="2192"/>
      <c r="C64" s="2197" t="s">
        <v>28</v>
      </c>
      <c r="D64" s="2186">
        <f>SUM(D65:D67)</f>
        <v>0.18773605113589151</v>
      </c>
      <c r="E64" s="2186">
        <f>SUM(E65:E67)</f>
        <v>0.1869326530195651</v>
      </c>
      <c r="F64" s="1"/>
      <c r="G64" s="1"/>
      <c r="H64" s="1"/>
      <c r="I64" s="1"/>
      <c r="J64" s="1"/>
      <c r="K64" s="1"/>
      <c r="L64" s="1"/>
      <c r="M64" s="1"/>
      <c r="N64" s="1"/>
      <c r="O64" s="1"/>
      <c r="P64" s="1"/>
      <c r="Q64" s="1"/>
      <c r="R64" s="1"/>
      <c r="S64" s="1"/>
      <c r="T64" s="1"/>
      <c r="U64" s="1"/>
      <c r="V64" s="1"/>
      <c r="W64" s="1"/>
      <c r="X64" s="1"/>
      <c r="Y64" s="1"/>
      <c r="Z64" s="1"/>
    </row>
    <row r="65" spans="2:26" ht="15.6">
      <c r="B65" s="2192"/>
      <c r="C65" s="2194" t="s">
        <v>1892</v>
      </c>
      <c r="D65" s="2195">
        <f>E65/_xlfn.XLOOKUP(C65,C$4:C$7,E$4:E$7,"ERROR")*_xlfn.XLOOKUP(C65,C$4:C$7,D$4:D$7,"ERROR")</f>
        <v>0.18530507924942111</v>
      </c>
      <c r="E65" s="2195">
        <f>Transportation!O61</f>
        <v>0.18530507924942111</v>
      </c>
      <c r="F65" s="1"/>
      <c r="G65" s="1"/>
      <c r="H65" s="1"/>
      <c r="I65" s="1"/>
      <c r="J65" s="1"/>
      <c r="K65" s="1"/>
      <c r="L65" s="1"/>
      <c r="M65" s="1"/>
      <c r="N65" s="1"/>
      <c r="O65" s="1"/>
      <c r="P65" s="1"/>
      <c r="Q65" s="1"/>
      <c r="R65" s="1"/>
      <c r="S65" s="1"/>
      <c r="T65" s="1"/>
      <c r="U65" s="1"/>
      <c r="V65" s="1"/>
      <c r="W65" s="1"/>
      <c r="X65" s="1"/>
      <c r="Y65" s="1"/>
      <c r="Z65" s="1"/>
    </row>
    <row r="66" spans="2:26" ht="15.6">
      <c r="B66" s="2192"/>
      <c r="C66" s="2194" t="s">
        <v>1893</v>
      </c>
      <c r="D66" s="2195">
        <f t="shared" ref="D66:D67" si="22">E66/_xlfn.XLOOKUP(C66,C$4:C$7,E$4:E$7,"ERROR")*_xlfn.XLOOKUP(C66,C$4:C$7,D$4:D$7,"ERROR")</f>
        <v>1.21202302032E-3</v>
      </c>
      <c r="E66" s="2195">
        <f>Transportation!AE61/1000000</f>
        <v>4.0400767344000001E-4</v>
      </c>
      <c r="F66" s="1"/>
      <c r="G66" s="1"/>
      <c r="H66" s="1"/>
      <c r="I66" s="1"/>
      <c r="J66" s="1"/>
      <c r="K66" s="1"/>
      <c r="L66" s="1"/>
      <c r="M66" s="1"/>
      <c r="N66" s="1"/>
      <c r="O66" s="1"/>
      <c r="P66" s="1"/>
      <c r="Q66" s="1"/>
      <c r="R66" s="1"/>
      <c r="S66" s="1"/>
      <c r="T66" s="1"/>
      <c r="U66" s="1"/>
      <c r="V66" s="1"/>
      <c r="W66" s="1"/>
      <c r="X66" s="1"/>
      <c r="Y66" s="1"/>
      <c r="Z66" s="1"/>
    </row>
    <row r="67" spans="2:26" ht="15.6">
      <c r="B67" s="2192"/>
      <c r="C67" s="2194" t="s">
        <v>1894</v>
      </c>
      <c r="D67" s="2195">
        <f t="shared" si="22"/>
        <v>1.2189488661503997E-3</v>
      </c>
      <c r="E67" s="2195">
        <f>Transportation!X61/1000000</f>
        <v>1.2235660967039998E-3</v>
      </c>
      <c r="F67" s="1"/>
      <c r="G67" s="1"/>
      <c r="H67" s="1"/>
      <c r="I67" s="1"/>
      <c r="J67" s="1"/>
      <c r="K67" s="1"/>
      <c r="L67" s="1"/>
      <c r="M67" s="1"/>
      <c r="N67" s="1"/>
      <c r="O67" s="1"/>
      <c r="P67" s="1"/>
      <c r="Q67" s="1"/>
      <c r="R67" s="1"/>
      <c r="S67" s="1"/>
      <c r="T67" s="1"/>
      <c r="U67" s="1"/>
      <c r="V67" s="1"/>
      <c r="W67" s="1"/>
      <c r="X67" s="1"/>
      <c r="Y67" s="1"/>
      <c r="Z67" s="1"/>
    </row>
    <row r="68" spans="2:26" ht="14.4">
      <c r="B68" s="2192"/>
      <c r="C68" s="2197" t="s">
        <v>29</v>
      </c>
      <c r="D68" s="2186">
        <f>SUM(D69:D71)</f>
        <v>0.35514750448221621</v>
      </c>
      <c r="E68" s="2186">
        <f>SUM(E69:E71)</f>
        <v>0.35372820000769467</v>
      </c>
      <c r="F68" s="1"/>
      <c r="G68" s="1"/>
      <c r="H68" s="1"/>
      <c r="I68" s="1"/>
      <c r="J68" s="1"/>
      <c r="K68" s="1"/>
      <c r="L68" s="1"/>
      <c r="M68" s="1"/>
      <c r="N68" s="1"/>
      <c r="O68" s="1"/>
      <c r="P68" s="1"/>
      <c r="Q68" s="1"/>
      <c r="R68" s="1"/>
      <c r="S68" s="1"/>
      <c r="T68" s="1"/>
      <c r="U68" s="1"/>
      <c r="V68" s="1"/>
      <c r="W68" s="1"/>
      <c r="X68" s="1"/>
      <c r="Y68" s="1"/>
      <c r="Z68" s="1"/>
    </row>
    <row r="69" spans="2:26" ht="15.6">
      <c r="B69" s="2192"/>
      <c r="C69" s="2194" t="s">
        <v>1892</v>
      </c>
      <c r="D69" s="2195">
        <f>E69/_xlfn.XLOOKUP(C69,C$4:C$7,E$4:E$7,"ERROR")*_xlfn.XLOOKUP(C69,C$4:C$7,D$4:D$7,"ERROR")</f>
        <v>0.35066338940802455</v>
      </c>
      <c r="E69" s="2195">
        <f>Transportation!O62+Transportation!O70+Transportation!O71</f>
        <v>0.35066338940802455</v>
      </c>
      <c r="F69" s="1"/>
      <c r="G69" s="1"/>
      <c r="H69" s="1"/>
      <c r="I69" s="1"/>
      <c r="J69" s="1"/>
      <c r="K69" s="1"/>
      <c r="L69" s="1"/>
      <c r="M69" s="1"/>
      <c r="N69" s="1"/>
      <c r="O69" s="1"/>
      <c r="P69" s="1"/>
      <c r="Q69" s="1"/>
      <c r="R69" s="1"/>
      <c r="S69" s="1"/>
      <c r="T69" s="1"/>
      <c r="U69" s="1"/>
      <c r="V69" s="1"/>
      <c r="W69" s="1"/>
      <c r="X69" s="1"/>
      <c r="Y69" s="1"/>
      <c r="Z69" s="1"/>
    </row>
    <row r="70" spans="2:26" ht="15.6">
      <c r="B70" s="2192"/>
      <c r="C70" s="2194" t="s">
        <v>1893</v>
      </c>
      <c r="D70" s="2195">
        <f t="shared" ref="D70:D71" si="23">E70/_xlfn.XLOOKUP(C70,C$4:C$7,E$4:E$7,"ERROR")*_xlfn.XLOOKUP(C70,C$4:C$7,D$4:D$7,"ERROR")</f>
        <v>2.1422626912310397E-3</v>
      </c>
      <c r="E70" s="2195">
        <f>(Transportation!AE62+Transportation!AE70+Transportation!AE71)/1000000</f>
        <v>7.1408756374367996E-4</v>
      </c>
      <c r="F70" s="1"/>
      <c r="G70" s="1"/>
      <c r="H70" s="1"/>
      <c r="I70" s="1"/>
      <c r="J70" s="1"/>
      <c r="K70" s="1"/>
      <c r="L70" s="1"/>
      <c r="M70" s="1"/>
      <c r="N70" s="1"/>
      <c r="O70" s="1"/>
      <c r="P70" s="1"/>
      <c r="Q70" s="1"/>
      <c r="R70" s="1"/>
      <c r="S70" s="1"/>
      <c r="T70" s="1"/>
      <c r="U70" s="1"/>
      <c r="V70" s="1"/>
      <c r="W70" s="1"/>
      <c r="X70" s="1"/>
      <c r="Y70" s="1"/>
      <c r="Z70" s="1"/>
    </row>
    <row r="71" spans="2:26" ht="15.6">
      <c r="B71" s="2192"/>
      <c r="C71" s="2194" t="s">
        <v>1894</v>
      </c>
      <c r="D71" s="2195">
        <f t="shared" si="23"/>
        <v>2.3418523829606395E-3</v>
      </c>
      <c r="E71" s="2195">
        <f>(Transportation!X62+Transportation!X70+Transportation!X71)/1000000</f>
        <v>2.3507230359263998E-3</v>
      </c>
      <c r="F71" s="1"/>
      <c r="G71" s="1"/>
      <c r="H71" s="1"/>
      <c r="I71" s="1"/>
      <c r="J71" s="1"/>
      <c r="K71" s="1"/>
      <c r="L71" s="1"/>
      <c r="M71" s="1"/>
      <c r="N71" s="1"/>
      <c r="O71" s="1"/>
      <c r="P71" s="1"/>
      <c r="Q71" s="1"/>
      <c r="R71" s="1"/>
      <c r="S71" s="1"/>
      <c r="T71" s="1"/>
      <c r="U71" s="1"/>
      <c r="V71" s="1"/>
      <c r="W71" s="1"/>
      <c r="X71" s="1"/>
      <c r="Y71" s="1"/>
      <c r="Z71" s="1"/>
    </row>
    <row r="72" spans="2:26" ht="14.4">
      <c r="B72" s="2192"/>
      <c r="C72" s="2197" t="s">
        <v>30</v>
      </c>
      <c r="D72" s="2186">
        <f>SUM(D73:D75)</f>
        <v>0.45504484889968855</v>
      </c>
      <c r="E72" s="2186">
        <f>SUM(E73:E75)</f>
        <v>0.45504484889968855</v>
      </c>
      <c r="F72" s="1"/>
      <c r="G72" s="1"/>
      <c r="H72" s="1"/>
      <c r="I72" s="1"/>
      <c r="J72" s="1"/>
      <c r="K72" s="1"/>
      <c r="L72" s="1"/>
      <c r="M72" s="1"/>
      <c r="N72" s="1"/>
      <c r="O72" s="1"/>
      <c r="P72" s="1"/>
      <c r="Q72" s="1"/>
      <c r="R72" s="1"/>
      <c r="S72" s="1"/>
      <c r="T72" s="1"/>
      <c r="U72" s="1"/>
      <c r="V72" s="1"/>
      <c r="W72" s="1"/>
      <c r="X72" s="1"/>
      <c r="Y72" s="1"/>
      <c r="Z72" s="1"/>
    </row>
    <row r="73" spans="2:26" ht="15.6">
      <c r="B73" s="2192"/>
      <c r="C73" s="2194" t="s">
        <v>1892</v>
      </c>
      <c r="D73" s="2195">
        <f>E73/_xlfn.XLOOKUP(C73,C$4:C$7,E$4:E$7,"ERROR")*_xlfn.XLOOKUP(C73,C$4:C$7,D$4:D$7,"ERROR")</f>
        <v>0.45504484889968855</v>
      </c>
      <c r="E73" s="2195">
        <f>Transportation!O65+Transportation!O72+Transportation!S82</f>
        <v>0.45504484889968855</v>
      </c>
      <c r="F73" s="1"/>
      <c r="G73" s="1"/>
      <c r="H73" s="1"/>
      <c r="I73" s="1"/>
      <c r="J73" s="1"/>
      <c r="K73" s="1"/>
      <c r="L73" s="1"/>
      <c r="M73" s="1"/>
      <c r="N73" s="1"/>
      <c r="O73" s="1"/>
      <c r="P73" s="1"/>
      <c r="Q73" s="1"/>
      <c r="R73" s="1"/>
      <c r="S73" s="1"/>
      <c r="T73" s="1"/>
      <c r="U73" s="1"/>
      <c r="V73" s="1"/>
      <c r="W73" s="1"/>
      <c r="X73" s="1"/>
      <c r="Y73" s="1"/>
      <c r="Z73" s="1"/>
    </row>
    <row r="74" spans="2:26" ht="15.6">
      <c r="B74" s="2192"/>
      <c r="C74" s="2194" t="s">
        <v>1893</v>
      </c>
      <c r="D74" s="2195">
        <f t="shared" ref="D74:D75" si="24">E74/_xlfn.XLOOKUP(C74,C$4:C$7,E$4:E$7,"ERROR")*_xlfn.XLOOKUP(C74,C$4:C$7,D$4:D$7,"ERROR")</f>
        <v>0</v>
      </c>
      <c r="E74" s="2195">
        <v>0</v>
      </c>
      <c r="F74" s="1"/>
      <c r="G74" s="1"/>
      <c r="H74" s="1"/>
      <c r="I74" s="1"/>
      <c r="J74" s="1"/>
      <c r="K74" s="1"/>
      <c r="L74" s="1"/>
      <c r="M74" s="1"/>
      <c r="N74" s="1"/>
      <c r="O74" s="1"/>
      <c r="P74" s="1"/>
      <c r="Q74" s="1"/>
      <c r="R74" s="1"/>
      <c r="S74" s="1"/>
      <c r="T74" s="1"/>
      <c r="U74" s="1"/>
      <c r="V74" s="1"/>
      <c r="W74" s="1"/>
      <c r="X74" s="1"/>
      <c r="Y74" s="1"/>
      <c r="Z74" s="1"/>
    </row>
    <row r="75" spans="2:26" ht="15.6">
      <c r="B75" s="2192"/>
      <c r="C75" s="2194" t="s">
        <v>1894</v>
      </c>
      <c r="D75" s="2195">
        <f t="shared" si="24"/>
        <v>0</v>
      </c>
      <c r="E75" s="2195">
        <v>0</v>
      </c>
      <c r="F75" s="1"/>
      <c r="G75" s="1"/>
      <c r="H75" s="1"/>
      <c r="I75" s="1"/>
      <c r="J75" s="1"/>
      <c r="K75" s="1"/>
      <c r="L75" s="1"/>
      <c r="M75" s="1"/>
      <c r="N75" s="1"/>
      <c r="O75" s="1"/>
      <c r="P75" s="1"/>
      <c r="Q75" s="1"/>
      <c r="R75" s="1"/>
      <c r="S75" s="1"/>
      <c r="T75" s="1"/>
      <c r="U75" s="1"/>
      <c r="V75" s="1"/>
      <c r="W75" s="1"/>
      <c r="X75" s="1"/>
      <c r="Y75" s="1"/>
      <c r="Z75" s="1"/>
    </row>
    <row r="76" spans="2:26" ht="14.4">
      <c r="B76" s="2192"/>
      <c r="C76" s="2197" t="s">
        <v>31</v>
      </c>
      <c r="D76" s="2186">
        <f>SUM(D77:D79)</f>
        <v>2.4582278348614865</v>
      </c>
      <c r="E76" s="2186">
        <f>SUM(E77:E79)</f>
        <v>2.4539850563144467</v>
      </c>
      <c r="F76" s="1"/>
      <c r="G76" s="1"/>
      <c r="H76" s="1"/>
      <c r="I76" s="1"/>
      <c r="J76" s="1"/>
      <c r="K76" s="1"/>
      <c r="L76" s="1"/>
      <c r="M76" s="1"/>
      <c r="N76" s="1"/>
      <c r="O76" s="1"/>
      <c r="P76" s="1"/>
      <c r="Q76" s="1"/>
      <c r="R76" s="1"/>
      <c r="S76" s="1"/>
      <c r="T76" s="1"/>
      <c r="U76" s="1"/>
      <c r="V76" s="1"/>
      <c r="W76" s="1"/>
      <c r="X76" s="1"/>
      <c r="Y76" s="1"/>
      <c r="Z76" s="1"/>
    </row>
    <row r="77" spans="2:26" ht="15.6">
      <c r="B77" s="2192"/>
      <c r="C77" s="2194" t="s">
        <v>1892</v>
      </c>
      <c r="D77" s="2195">
        <f>E77/_xlfn.XLOOKUP(C77,C$4:C$7,E$4:E$7,"ERROR")*_xlfn.XLOOKUP(C77,C$4:C$7,D$4:D$7,"ERROR")</f>
        <v>2.4320521103533266</v>
      </c>
      <c r="E77" s="2195">
        <f>Transportation!O57+Transportation!O63+Transportation!O64</f>
        <v>2.4320521103533266</v>
      </c>
      <c r="F77" s="1"/>
      <c r="G77" s="1"/>
      <c r="H77" s="1"/>
      <c r="I77" s="1"/>
      <c r="J77" s="1"/>
      <c r="K77" s="1"/>
      <c r="L77" s="1"/>
      <c r="M77" s="1"/>
      <c r="N77" s="1"/>
      <c r="O77" s="1"/>
      <c r="P77" s="1"/>
      <c r="Q77" s="1"/>
      <c r="R77" s="1"/>
      <c r="S77" s="1"/>
      <c r="T77" s="1"/>
      <c r="U77" s="1"/>
      <c r="V77" s="1"/>
      <c r="W77" s="1"/>
      <c r="X77" s="1"/>
      <c r="Y77" s="1"/>
      <c r="Z77" s="1"/>
    </row>
    <row r="78" spans="2:26" ht="15.6">
      <c r="B78" s="2192"/>
      <c r="C78" s="2194" t="s">
        <v>1893</v>
      </c>
      <c r="D78" s="2195">
        <f t="shared" ref="D78:D79" si="25">E78/_xlfn.XLOOKUP(C78,C$4:C$7,E$4:E$7,"ERROR")*_xlfn.XLOOKUP(C78,C$4:C$7,D$4:D$7,"ERROR")</f>
        <v>6.4760975193599996E-3</v>
      </c>
      <c r="E78" s="2195">
        <f>(Transportation!AE57+Transportation!AE63+Transportation!AE64)/1000000</f>
        <v>2.1586991731200001E-3</v>
      </c>
      <c r="F78" s="1"/>
      <c r="G78" s="1"/>
      <c r="H78" s="1"/>
      <c r="I78" s="1"/>
      <c r="J78" s="1"/>
      <c r="K78" s="1"/>
      <c r="L78" s="1"/>
      <c r="M78" s="1"/>
      <c r="N78" s="1"/>
      <c r="O78" s="1"/>
      <c r="P78" s="1"/>
      <c r="Q78" s="1"/>
      <c r="R78" s="1"/>
      <c r="S78" s="1"/>
      <c r="T78" s="1"/>
      <c r="U78" s="1"/>
      <c r="V78" s="1"/>
      <c r="W78" s="1"/>
      <c r="X78" s="1"/>
      <c r="Y78" s="1"/>
      <c r="Z78" s="1"/>
    </row>
    <row r="79" spans="2:26" ht="15.6">
      <c r="B79" s="2196"/>
      <c r="C79" s="2194" t="s">
        <v>1894</v>
      </c>
      <c r="D79" s="2195">
        <f t="shared" si="25"/>
        <v>1.9699626988800005E-2</v>
      </c>
      <c r="E79" s="2195">
        <f>(Transportation!X57+Transportation!X63+Transportation!X64)/1000000</f>
        <v>1.9774246788000004E-2</v>
      </c>
      <c r="F79" s="1"/>
      <c r="G79" s="1"/>
      <c r="H79" s="1"/>
      <c r="I79" s="1"/>
      <c r="J79" s="1"/>
      <c r="K79" s="1"/>
      <c r="L79" s="1"/>
      <c r="M79" s="1"/>
      <c r="N79" s="1"/>
      <c r="O79" s="1"/>
      <c r="P79" s="1"/>
      <c r="Q79" s="1"/>
      <c r="R79" s="1"/>
      <c r="S79" s="1"/>
      <c r="T79" s="1"/>
      <c r="U79" s="1"/>
      <c r="V79" s="1"/>
      <c r="W79" s="1"/>
      <c r="X79" s="1"/>
      <c r="Y79" s="1"/>
      <c r="Z79" s="1"/>
    </row>
    <row r="80" spans="2:26" ht="14.4">
      <c r="B80" s="2187" t="s">
        <v>32</v>
      </c>
      <c r="C80" s="2188"/>
      <c r="D80" s="2189">
        <f t="shared" ref="D80" si="26">D81+D85+D89</f>
        <v>3.6392709455316554</v>
      </c>
      <c r="E80" s="2189">
        <f t="shared" ref="E80" si="27">E81+E85+E89</f>
        <v>1.4110491985893625</v>
      </c>
      <c r="F80" s="1"/>
      <c r="G80" s="1"/>
      <c r="H80" s="1"/>
      <c r="I80" s="1"/>
      <c r="J80" s="1"/>
      <c r="K80" s="1"/>
      <c r="L80" s="1"/>
      <c r="M80" s="1"/>
      <c r="N80" s="1"/>
      <c r="O80" s="1"/>
      <c r="P80" s="1"/>
      <c r="Q80" s="1"/>
      <c r="R80" s="1"/>
      <c r="S80" s="1"/>
      <c r="T80" s="1"/>
      <c r="U80" s="1"/>
      <c r="V80" s="1"/>
      <c r="W80" s="1"/>
      <c r="X80" s="1"/>
      <c r="Y80" s="1"/>
      <c r="Z80" s="1"/>
    </row>
    <row r="81" spans="2:26" ht="14.4">
      <c r="B81" s="2190"/>
      <c r="C81" s="2197" t="s">
        <v>1897</v>
      </c>
      <c r="D81" s="2186">
        <f>SUM(D82:D84)</f>
        <v>3.0720810753588554</v>
      </c>
      <c r="E81" s="2186">
        <f>SUM(E82:E84)</f>
        <v>1.2219859085317626</v>
      </c>
      <c r="F81" s="1"/>
      <c r="G81" s="1"/>
      <c r="H81" s="1"/>
      <c r="I81" s="1"/>
      <c r="J81" s="1"/>
      <c r="K81" s="1"/>
      <c r="L81" s="1"/>
      <c r="M81" s="1"/>
      <c r="N81" s="1"/>
      <c r="O81" s="1"/>
      <c r="P81" s="1"/>
      <c r="Q81" s="1"/>
      <c r="R81" s="1"/>
      <c r="S81" s="1"/>
      <c r="T81" s="1"/>
      <c r="U81" s="1"/>
      <c r="V81" s="1"/>
      <c r="W81" s="1"/>
      <c r="X81" s="1"/>
      <c r="Y81" s="1"/>
      <c r="Z81" s="1"/>
    </row>
    <row r="82" spans="2:26" ht="15.6">
      <c r="B82" s="2192"/>
      <c r="C82" s="2194" t="s">
        <v>1892</v>
      </c>
      <c r="D82" s="2195">
        <f>E82/_xlfn.XLOOKUP(C82,C$4:C$7,E$4:E$7,"ERROR")*_xlfn.XLOOKUP(C82,C$4:C$7,D$4:D$7,"ERROR")</f>
        <v>0.2967827255443754</v>
      </c>
      <c r="E82" s="2195">
        <f>'Natural Gas and Oil'!H70</f>
        <v>0.2967827255443754</v>
      </c>
      <c r="F82" s="1"/>
      <c r="G82" s="1"/>
      <c r="H82" s="1"/>
      <c r="I82" s="1"/>
      <c r="J82" s="1"/>
      <c r="K82" s="1"/>
      <c r="L82" s="1"/>
      <c r="M82" s="1"/>
      <c r="N82" s="1"/>
      <c r="O82" s="1"/>
      <c r="P82" s="1"/>
      <c r="Q82" s="1"/>
      <c r="R82" s="1"/>
      <c r="S82" s="1"/>
      <c r="T82" s="1"/>
      <c r="U82" s="1"/>
      <c r="V82" s="1"/>
      <c r="W82" s="1"/>
      <c r="X82" s="1"/>
      <c r="Y82" s="1"/>
      <c r="Z82" s="1"/>
    </row>
    <row r="83" spans="2:26" ht="15.6">
      <c r="B83" s="2192"/>
      <c r="C83" s="2194" t="s">
        <v>1893</v>
      </c>
      <c r="D83" s="2195">
        <f t="shared" ref="D83:D84" si="28">E83/_xlfn.XLOOKUP(C83,C$4:C$7,E$4:E$7,"ERROR")*_xlfn.XLOOKUP(C83,C$4:C$7,D$4:D$7,"ERROR")</f>
        <v>2.7751436293342762</v>
      </c>
      <c r="E83" s="2195">
        <f>'Natural Gas and Oil'!J70+'Natural Gas and Oil'!F51+'Natural Gas and Oil'!F34+'Natural Gas and Oil'!F10</f>
        <v>0.92504787644475872</v>
      </c>
      <c r="F83" s="1"/>
      <c r="G83" s="1"/>
      <c r="H83" s="1"/>
      <c r="I83" s="1"/>
      <c r="J83" s="1"/>
      <c r="K83" s="1"/>
      <c r="L83" s="1"/>
      <c r="M83" s="1"/>
      <c r="N83" s="1"/>
      <c r="O83" s="1"/>
      <c r="P83" s="1"/>
      <c r="Q83" s="1"/>
      <c r="R83" s="1"/>
      <c r="S83" s="1"/>
      <c r="T83" s="1"/>
      <c r="U83" s="1"/>
      <c r="V83" s="1"/>
      <c r="W83" s="1"/>
      <c r="X83" s="1"/>
      <c r="Y83" s="1"/>
      <c r="Z83" s="1"/>
    </row>
    <row r="84" spans="2:26" ht="15.6">
      <c r="B84" s="2192"/>
      <c r="C84" s="2194" t="s">
        <v>1894</v>
      </c>
      <c r="D84" s="2195">
        <f t="shared" si="28"/>
        <v>1.5472048020352645E-4</v>
      </c>
      <c r="E84" s="2195">
        <f>'Natural Gas and Oil'!I70</f>
        <v>1.5530654262853981E-4</v>
      </c>
      <c r="F84" s="1"/>
      <c r="G84" s="1"/>
      <c r="H84" s="1"/>
      <c r="I84" s="1"/>
      <c r="J84" s="1"/>
      <c r="K84" s="1"/>
      <c r="L84" s="1"/>
      <c r="M84" s="1"/>
      <c r="N84" s="1"/>
      <c r="O84" s="1"/>
      <c r="P84" s="1"/>
      <c r="Q84" s="1"/>
      <c r="R84" s="1"/>
      <c r="S84" s="1"/>
      <c r="T84" s="1"/>
      <c r="U84" s="1"/>
      <c r="V84" s="1"/>
      <c r="W84" s="1"/>
      <c r="X84" s="1"/>
      <c r="Y84" s="1"/>
      <c r="Z84" s="1"/>
    </row>
    <row r="85" spans="2:26" ht="14.4">
      <c r="B85" s="2192"/>
      <c r="C85" s="2197" t="s">
        <v>1898</v>
      </c>
      <c r="D85" s="2186">
        <f>SUM(D86:D88)</f>
        <v>0</v>
      </c>
      <c r="E85" s="2186">
        <f>SUM(E86:E88)</f>
        <v>0</v>
      </c>
      <c r="F85" s="1"/>
      <c r="G85" s="1"/>
      <c r="H85" s="1"/>
      <c r="I85" s="1"/>
      <c r="J85" s="1"/>
      <c r="K85" s="1"/>
      <c r="L85" s="1"/>
      <c r="M85" s="1"/>
      <c r="N85" s="1"/>
      <c r="O85" s="1"/>
      <c r="P85" s="1"/>
      <c r="Q85" s="1"/>
      <c r="R85" s="1"/>
      <c r="S85" s="1"/>
      <c r="T85" s="1"/>
      <c r="U85" s="1"/>
      <c r="V85" s="1"/>
      <c r="W85" s="1"/>
      <c r="X85" s="1"/>
      <c r="Y85" s="1"/>
      <c r="Z85" s="1"/>
    </row>
    <row r="86" spans="2:26" ht="15.6">
      <c r="B86" s="2192"/>
      <c r="C86" s="2194" t="s">
        <v>1892</v>
      </c>
      <c r="D86" s="2195">
        <f>E86/_xlfn.XLOOKUP(C86,C$4:C$7,E$4:E$7,"ERROR")*_xlfn.XLOOKUP(C86,C$4:C$7,D$4:D$7,"ERROR")</f>
        <v>0</v>
      </c>
      <c r="E86" s="2195">
        <v>0</v>
      </c>
      <c r="F86" s="1"/>
      <c r="G86" s="1"/>
      <c r="H86" s="1"/>
      <c r="I86" s="1"/>
      <c r="J86" s="1"/>
      <c r="K86" s="1"/>
      <c r="L86" s="1"/>
      <c r="M86" s="1"/>
      <c r="N86" s="1"/>
      <c r="O86" s="1"/>
      <c r="P86" s="1"/>
      <c r="Q86" s="1"/>
      <c r="R86" s="1"/>
      <c r="S86" s="1"/>
      <c r="T86" s="1"/>
      <c r="U86" s="1"/>
      <c r="V86" s="1"/>
      <c r="W86" s="1"/>
      <c r="X86" s="1"/>
      <c r="Y86" s="1"/>
      <c r="Z86" s="1"/>
    </row>
    <row r="87" spans="2:26" ht="15.6">
      <c r="B87" s="2192"/>
      <c r="C87" s="2194" t="s">
        <v>1893</v>
      </c>
      <c r="D87" s="2195">
        <f t="shared" ref="D87:D88" si="29">E87/_xlfn.XLOOKUP(C87,C$4:C$7,E$4:E$7,"ERROR")*_xlfn.XLOOKUP(C87,C$4:C$7,D$4:D$7,"ERROR")</f>
        <v>0</v>
      </c>
      <c r="E87" s="2195">
        <v>0</v>
      </c>
      <c r="F87" s="1"/>
      <c r="G87" s="1"/>
      <c r="H87" s="1"/>
      <c r="I87" s="1"/>
      <c r="J87" s="1"/>
      <c r="K87" s="1"/>
      <c r="L87" s="1"/>
      <c r="M87" s="1"/>
      <c r="N87" s="1"/>
      <c r="O87" s="1"/>
      <c r="P87" s="1"/>
      <c r="Q87" s="1"/>
      <c r="R87" s="1"/>
      <c r="S87" s="1"/>
      <c r="T87" s="1"/>
      <c r="U87" s="1"/>
      <c r="V87" s="1"/>
      <c r="W87" s="1"/>
      <c r="X87" s="1"/>
      <c r="Y87" s="1"/>
      <c r="Z87" s="1"/>
    </row>
    <row r="88" spans="2:26" ht="15.6">
      <c r="B88" s="2192"/>
      <c r="C88" s="2194" t="s">
        <v>1894</v>
      </c>
      <c r="D88" s="2195">
        <f t="shared" si="29"/>
        <v>0</v>
      </c>
      <c r="E88" s="2195">
        <v>0</v>
      </c>
      <c r="F88" s="1"/>
      <c r="G88" s="1"/>
      <c r="H88" s="1"/>
      <c r="I88" s="1"/>
      <c r="J88" s="1"/>
      <c r="K88" s="1"/>
      <c r="L88" s="1"/>
      <c r="M88" s="1"/>
      <c r="N88" s="1"/>
      <c r="O88" s="1"/>
      <c r="P88" s="1"/>
      <c r="Q88" s="1"/>
      <c r="R88" s="1"/>
      <c r="S88" s="1"/>
      <c r="T88" s="1"/>
      <c r="U88" s="1"/>
      <c r="V88" s="1"/>
      <c r="W88" s="1"/>
      <c r="X88" s="1"/>
      <c r="Y88" s="1"/>
      <c r="Z88" s="1"/>
    </row>
    <row r="89" spans="2:26" ht="14.4">
      <c r="B89" s="2192"/>
      <c r="C89" s="2197" t="s">
        <v>1400</v>
      </c>
      <c r="D89" s="2186">
        <f>SUM(D90:D92)</f>
        <v>0.56718987017279998</v>
      </c>
      <c r="E89" s="2186">
        <f>SUM(E90:E92)</f>
        <v>0.18906329005759998</v>
      </c>
      <c r="F89" s="1"/>
      <c r="G89" s="1"/>
      <c r="H89" s="1"/>
      <c r="I89" s="1"/>
      <c r="J89" s="1"/>
      <c r="K89" s="1"/>
      <c r="L89" s="1"/>
      <c r="M89" s="1"/>
      <c r="N89" s="1"/>
      <c r="O89" s="1"/>
      <c r="P89" s="1"/>
      <c r="Q89" s="1"/>
      <c r="R89" s="1"/>
      <c r="S89" s="1"/>
      <c r="T89" s="1"/>
      <c r="U89" s="1"/>
      <c r="V89" s="1"/>
      <c r="W89" s="1"/>
      <c r="X89" s="1"/>
      <c r="Y89" s="1"/>
      <c r="Z89" s="1"/>
    </row>
    <row r="90" spans="2:26" ht="15.6">
      <c r="B90" s="2192"/>
      <c r="C90" s="2194" t="s">
        <v>1892</v>
      </c>
      <c r="D90" s="2195">
        <f>E90/_xlfn.XLOOKUP(C90,C$4:C$7,E$4:E$7,"ERROR")*_xlfn.XLOOKUP(C90,C$4:C$7,D$4:D$7,"ERROR")</f>
        <v>0</v>
      </c>
      <c r="E90" s="2195">
        <v>0</v>
      </c>
      <c r="F90" s="1"/>
      <c r="G90" s="1"/>
      <c r="H90" s="1"/>
      <c r="I90" s="1"/>
      <c r="J90" s="1"/>
      <c r="K90" s="1"/>
      <c r="L90" s="1"/>
      <c r="M90" s="1"/>
      <c r="N90" s="1"/>
      <c r="O90" s="1"/>
      <c r="P90" s="1"/>
      <c r="Q90" s="1"/>
      <c r="R90" s="1"/>
      <c r="S90" s="1"/>
      <c r="T90" s="1"/>
      <c r="U90" s="1"/>
      <c r="V90" s="1"/>
      <c r="W90" s="1"/>
      <c r="X90" s="1"/>
      <c r="Y90" s="1"/>
      <c r="Z90" s="1"/>
    </row>
    <row r="91" spans="2:26" ht="15.6">
      <c r="B91" s="2192"/>
      <c r="C91" s="2194" t="s">
        <v>1893</v>
      </c>
      <c r="D91" s="2195">
        <f t="shared" ref="D91:D92" si="30">E91/_xlfn.XLOOKUP(C91,C$4:C$7,E$4:E$7,"ERROR")*_xlfn.XLOOKUP(C91,C$4:C$7,D$4:D$7,"ERROR")</f>
        <v>0.56718987017279998</v>
      </c>
      <c r="E91" s="2195">
        <f>Mining!C35+Mining!C36</f>
        <v>0.18906329005759998</v>
      </c>
      <c r="F91" s="1"/>
      <c r="G91" s="1"/>
      <c r="H91" s="1"/>
      <c r="I91" s="1"/>
      <c r="J91" s="1"/>
      <c r="K91" s="1"/>
      <c r="L91" s="1"/>
      <c r="M91" s="1"/>
      <c r="N91" s="1"/>
      <c r="O91" s="1"/>
      <c r="P91" s="1"/>
      <c r="Q91" s="1"/>
      <c r="R91" s="1"/>
      <c r="S91" s="1"/>
      <c r="T91" s="1"/>
      <c r="U91" s="1"/>
      <c r="V91" s="1"/>
      <c r="W91" s="1"/>
      <c r="X91" s="1"/>
      <c r="Y91" s="1"/>
      <c r="Z91" s="1"/>
    </row>
    <row r="92" spans="2:26" ht="15.6">
      <c r="B92" s="2196"/>
      <c r="C92" s="2194" t="s">
        <v>1894</v>
      </c>
      <c r="D92" s="2195">
        <f t="shared" si="30"/>
        <v>0</v>
      </c>
      <c r="E92" s="2195">
        <v>0</v>
      </c>
      <c r="F92" s="1"/>
      <c r="G92" s="1"/>
      <c r="H92" s="1"/>
      <c r="I92" s="1"/>
      <c r="J92" s="1"/>
      <c r="K92" s="1"/>
      <c r="L92" s="1"/>
      <c r="M92" s="1"/>
      <c r="N92" s="1"/>
      <c r="O92" s="1"/>
      <c r="P92" s="1"/>
      <c r="Q92" s="1"/>
      <c r="R92" s="1"/>
      <c r="S92" s="1"/>
      <c r="T92" s="1"/>
      <c r="U92" s="1"/>
      <c r="V92" s="1"/>
      <c r="W92" s="1"/>
      <c r="X92" s="1"/>
      <c r="Y92" s="1"/>
      <c r="Z92" s="1"/>
    </row>
    <row r="93" spans="2:26" ht="14.4">
      <c r="B93" s="2187" t="s">
        <v>36</v>
      </c>
      <c r="C93" s="2198"/>
      <c r="D93" s="2199">
        <f t="shared" ref="D93" si="31">D94+D98+D102+D106+D110+D114+D118+D122+D126</f>
        <v>8.1227905454762741</v>
      </c>
      <c r="E93" s="2199">
        <f t="shared" ref="E93" si="32">E94+E98+E102+E106+E110+E114+E118+E122+E126</f>
        <v>4.7723553201441673</v>
      </c>
      <c r="F93" s="1"/>
      <c r="G93" s="1"/>
      <c r="H93" s="1"/>
      <c r="I93" s="1"/>
      <c r="J93" s="1"/>
      <c r="K93" s="1"/>
      <c r="L93" s="1"/>
      <c r="M93" s="1"/>
      <c r="N93" s="1"/>
      <c r="O93" s="1"/>
      <c r="P93" s="1"/>
      <c r="Q93" s="1"/>
      <c r="R93" s="1"/>
      <c r="S93" s="1"/>
      <c r="T93" s="1"/>
      <c r="U93" s="1"/>
      <c r="V93" s="1"/>
      <c r="W93" s="1"/>
      <c r="X93" s="1"/>
      <c r="Y93" s="1"/>
      <c r="Z93" s="1"/>
    </row>
    <row r="94" spans="2:26" ht="14.4">
      <c r="B94" s="2190"/>
      <c r="C94" s="2197" t="s">
        <v>125</v>
      </c>
      <c r="D94" s="2186">
        <f>SUM(D95:D97)</f>
        <v>0.91825561308231174</v>
      </c>
      <c r="E94" s="2186">
        <f>SUM(E95:E97)</f>
        <v>0.91825561308231174</v>
      </c>
      <c r="F94" s="1"/>
      <c r="G94" s="1"/>
      <c r="H94" s="1"/>
      <c r="I94" s="1"/>
      <c r="J94" s="1"/>
      <c r="K94" s="1"/>
      <c r="L94" s="1"/>
      <c r="M94" s="1"/>
      <c r="N94" s="1"/>
      <c r="O94" s="1"/>
      <c r="P94" s="1"/>
      <c r="Q94" s="1"/>
      <c r="R94" s="1"/>
      <c r="S94" s="1"/>
      <c r="T94" s="1"/>
      <c r="U94" s="1"/>
      <c r="V94" s="1"/>
      <c r="W94" s="1"/>
      <c r="X94" s="1"/>
      <c r="Y94" s="1"/>
      <c r="Z94" s="1"/>
    </row>
    <row r="95" spans="2:26" ht="15.6">
      <c r="B95" s="2192"/>
      <c r="C95" s="2194" t="s">
        <v>1892</v>
      </c>
      <c r="D95" s="2195">
        <f>E95/_xlfn.XLOOKUP(C95,C$4:C$7,E$4:E$7,"ERROR")*_xlfn.XLOOKUP(C95,C$4:C$7,D$4:D$7,"ERROR")</f>
        <v>0.91825561308231174</v>
      </c>
      <c r="E95" s="2195">
        <f>Cement!G80</f>
        <v>0.91825561308231174</v>
      </c>
      <c r="F95" s="1"/>
      <c r="G95" s="1"/>
      <c r="H95" s="1"/>
      <c r="I95" s="1"/>
      <c r="J95" s="1"/>
      <c r="K95" s="1"/>
      <c r="L95" s="1"/>
      <c r="M95" s="1"/>
      <c r="N95" s="1"/>
      <c r="O95" s="1"/>
      <c r="P95" s="1"/>
      <c r="Q95" s="1"/>
      <c r="R95" s="1"/>
      <c r="S95" s="1"/>
      <c r="T95" s="1"/>
      <c r="U95" s="1"/>
      <c r="V95" s="1"/>
      <c r="W95" s="1"/>
      <c r="X95" s="1"/>
      <c r="Y95" s="1"/>
      <c r="Z95" s="1"/>
    </row>
    <row r="96" spans="2:26" ht="15.6">
      <c r="B96" s="2192"/>
      <c r="C96" s="2194" t="s">
        <v>1893</v>
      </c>
      <c r="D96" s="2195">
        <f t="shared" ref="D96:D97" si="33">E96/_xlfn.XLOOKUP(C96,C$4:C$7,E$4:E$7,"ERROR")*_xlfn.XLOOKUP(C96,C$4:C$7,D$4:D$7,"ERROR")</f>
        <v>0</v>
      </c>
      <c r="E96" s="2195">
        <v>0</v>
      </c>
      <c r="F96" s="1"/>
      <c r="G96" s="1"/>
      <c r="H96" s="1"/>
      <c r="I96" s="1"/>
      <c r="J96" s="1"/>
      <c r="K96" s="1"/>
      <c r="L96" s="1"/>
      <c r="M96" s="1"/>
      <c r="N96" s="1"/>
      <c r="O96" s="1"/>
      <c r="P96" s="1"/>
      <c r="Q96" s="1"/>
      <c r="R96" s="1"/>
      <c r="S96" s="1"/>
      <c r="T96" s="1"/>
      <c r="U96" s="1"/>
      <c r="V96" s="1"/>
      <c r="W96" s="1"/>
      <c r="X96" s="1"/>
      <c r="Y96" s="1"/>
      <c r="Z96" s="1"/>
    </row>
    <row r="97" spans="2:26" ht="15.6">
      <c r="B97" s="2192"/>
      <c r="C97" s="2194" t="s">
        <v>1894</v>
      </c>
      <c r="D97" s="2195">
        <f t="shared" si="33"/>
        <v>0</v>
      </c>
      <c r="E97" s="2195">
        <v>0</v>
      </c>
      <c r="F97" s="1"/>
      <c r="G97" s="1"/>
      <c r="H97" s="1"/>
      <c r="I97" s="1"/>
      <c r="J97" s="1"/>
      <c r="K97" s="1"/>
      <c r="L97" s="1"/>
      <c r="M97" s="1"/>
      <c r="N97" s="1"/>
      <c r="O97" s="1"/>
      <c r="P97" s="1"/>
      <c r="Q97" s="1"/>
      <c r="R97" s="1"/>
      <c r="S97" s="1"/>
      <c r="T97" s="1"/>
      <c r="U97" s="1"/>
      <c r="V97" s="1"/>
      <c r="W97" s="1"/>
      <c r="X97" s="1"/>
      <c r="Y97" s="1"/>
      <c r="Z97" s="1"/>
    </row>
    <row r="98" spans="2:26" ht="14.4">
      <c r="B98" s="2192"/>
      <c r="C98" s="2197" t="s">
        <v>1899</v>
      </c>
      <c r="D98" s="2186">
        <f>SUM(D99:D101)</f>
        <v>8.5604639999999996E-2</v>
      </c>
      <c r="E98" s="2186">
        <f>SUM(E99:E101)</f>
        <v>8.5604639999999996E-2</v>
      </c>
      <c r="F98" s="1"/>
      <c r="G98" s="1"/>
      <c r="H98" s="1"/>
      <c r="I98" s="1"/>
      <c r="J98" s="1"/>
      <c r="K98" s="1"/>
      <c r="L98" s="1"/>
      <c r="M98" s="1"/>
      <c r="N98" s="1"/>
      <c r="O98" s="1"/>
      <c r="P98" s="1"/>
      <c r="Q98" s="1"/>
      <c r="R98" s="1"/>
      <c r="S98" s="1"/>
      <c r="T98" s="1"/>
      <c r="U98" s="1"/>
      <c r="V98" s="1"/>
      <c r="W98" s="1"/>
      <c r="X98" s="1"/>
      <c r="Y98" s="1"/>
      <c r="Z98" s="1"/>
    </row>
    <row r="99" spans="2:26" ht="15.6">
      <c r="B99" s="2192"/>
      <c r="C99" s="2194" t="s">
        <v>1892</v>
      </c>
      <c r="D99" s="2195">
        <f>E99/_xlfn.XLOOKUP(C99,C$4:C$7,E$4:E$7,"ERROR")*_xlfn.XLOOKUP(C99,C$4:C$7,D$4:D$7,"ERROR")</f>
        <v>8.5604639999999996E-2</v>
      </c>
      <c r="E99" s="2195">
        <f>'LimeT&amp;DSodaODS'!D43/1000000</f>
        <v>8.5604639999999996E-2</v>
      </c>
      <c r="F99" s="1"/>
      <c r="G99" s="1"/>
      <c r="H99" s="1"/>
      <c r="I99" s="1"/>
      <c r="J99" s="1"/>
      <c r="K99" s="1"/>
      <c r="L99" s="1"/>
      <c r="M99" s="1"/>
      <c r="N99" s="1"/>
      <c r="O99" s="1"/>
      <c r="P99" s="1"/>
      <c r="Q99" s="1"/>
      <c r="R99" s="1"/>
      <c r="S99" s="1"/>
      <c r="T99" s="1"/>
      <c r="U99" s="1"/>
      <c r="V99" s="1"/>
      <c r="W99" s="1"/>
      <c r="X99" s="1"/>
      <c r="Y99" s="1"/>
      <c r="Z99" s="1"/>
    </row>
    <row r="100" spans="2:26" ht="15.6">
      <c r="B100" s="2192"/>
      <c r="C100" s="2194" t="s">
        <v>1893</v>
      </c>
      <c r="D100" s="2195">
        <f t="shared" ref="D100:D101" si="34">E100/_xlfn.XLOOKUP(C100,C$4:C$7,E$4:E$7,"ERROR")*_xlfn.XLOOKUP(C100,C$4:C$7,D$4:D$7,"ERROR")</f>
        <v>0</v>
      </c>
      <c r="E100" s="2195">
        <v>0</v>
      </c>
      <c r="F100" s="1"/>
      <c r="G100" s="1"/>
      <c r="H100" s="1"/>
      <c r="I100" s="1"/>
      <c r="J100" s="1"/>
      <c r="K100" s="1"/>
      <c r="L100" s="1"/>
      <c r="M100" s="1"/>
      <c r="N100" s="1"/>
      <c r="O100" s="1"/>
      <c r="P100" s="1"/>
      <c r="Q100" s="1"/>
      <c r="R100" s="1"/>
      <c r="S100" s="1"/>
      <c r="T100" s="1"/>
      <c r="U100" s="1"/>
      <c r="V100" s="1"/>
      <c r="W100" s="1"/>
      <c r="X100" s="1"/>
      <c r="Y100" s="1"/>
      <c r="Z100" s="1"/>
    </row>
    <row r="101" spans="2:26" ht="15.6">
      <c r="B101" s="2192"/>
      <c r="C101" s="2194" t="s">
        <v>1894</v>
      </c>
      <c r="D101" s="2195">
        <f t="shared" si="34"/>
        <v>0</v>
      </c>
      <c r="E101" s="2195">
        <v>0</v>
      </c>
      <c r="F101" s="1"/>
      <c r="G101" s="1"/>
      <c r="H101" s="1"/>
      <c r="I101" s="1"/>
      <c r="J101" s="1"/>
      <c r="K101" s="1"/>
      <c r="L101" s="1"/>
      <c r="M101" s="1"/>
      <c r="N101" s="1"/>
      <c r="O101" s="1"/>
      <c r="P101" s="1"/>
      <c r="Q101" s="1"/>
      <c r="R101" s="1"/>
      <c r="S101" s="1"/>
      <c r="T101" s="1"/>
      <c r="U101" s="1"/>
      <c r="V101" s="1"/>
      <c r="W101" s="1"/>
      <c r="X101" s="1"/>
      <c r="Y101" s="1"/>
      <c r="Z101" s="1"/>
    </row>
    <row r="102" spans="2:26" ht="14.4">
      <c r="B102" s="2192"/>
      <c r="C102" s="2197" t="s">
        <v>1900</v>
      </c>
      <c r="D102" s="2186">
        <f>SUM(D103:D105)</f>
        <v>4.0365128549999997E-2</v>
      </c>
      <c r="E102" s="2186">
        <f>SUM(E103:E105)</f>
        <v>4.0365128549999997E-2</v>
      </c>
      <c r="F102" s="1"/>
      <c r="G102" s="1"/>
      <c r="H102" s="1"/>
      <c r="I102" s="1"/>
      <c r="J102" s="1"/>
      <c r="K102" s="1"/>
      <c r="L102" s="1"/>
      <c r="M102" s="1"/>
      <c r="N102" s="1"/>
      <c r="O102" s="1"/>
      <c r="P102" s="1"/>
      <c r="Q102" s="1"/>
      <c r="R102" s="1"/>
      <c r="S102" s="1"/>
      <c r="T102" s="1"/>
      <c r="U102" s="1"/>
      <c r="V102" s="1"/>
      <c r="W102" s="1"/>
      <c r="X102" s="1"/>
      <c r="Y102" s="1"/>
      <c r="Z102" s="1"/>
    </row>
    <row r="103" spans="2:26" ht="15.6">
      <c r="B103" s="2192"/>
      <c r="C103" s="2194" t="s">
        <v>1892</v>
      </c>
      <c r="D103" s="2195">
        <f>E103/_xlfn.XLOOKUP(C103,C$4:C$7,E$4:E$7,"ERROR")*_xlfn.XLOOKUP(C103,C$4:C$7,D$4:D$7,"ERROR")</f>
        <v>4.0365128549999997E-2</v>
      </c>
      <c r="E103" s="2195">
        <f>'LimeT&amp;DSodaODS'!D44/1000000</f>
        <v>4.0365128549999997E-2</v>
      </c>
      <c r="F103" s="1"/>
      <c r="G103" s="1"/>
      <c r="H103" s="1"/>
      <c r="I103" s="1"/>
      <c r="J103" s="1"/>
      <c r="K103" s="1"/>
      <c r="L103" s="1"/>
      <c r="M103" s="1"/>
      <c r="N103" s="1"/>
      <c r="O103" s="1"/>
      <c r="P103" s="1"/>
      <c r="Q103" s="1"/>
      <c r="R103" s="1"/>
      <c r="S103" s="1"/>
      <c r="T103" s="1"/>
      <c r="U103" s="1"/>
      <c r="V103" s="1"/>
      <c r="W103" s="1"/>
      <c r="X103" s="1"/>
      <c r="Y103" s="1"/>
      <c r="Z103" s="1"/>
    </row>
    <row r="104" spans="2:26" ht="15.6">
      <c r="B104" s="2192"/>
      <c r="C104" s="2194" t="s">
        <v>1893</v>
      </c>
      <c r="D104" s="2195">
        <f t="shared" ref="D104:D105" si="35">E104/_xlfn.XLOOKUP(C104,C$4:C$7,E$4:E$7,"ERROR")*_xlfn.XLOOKUP(C104,C$4:C$7,D$4:D$7,"ERROR")</f>
        <v>0</v>
      </c>
      <c r="E104" s="2195">
        <v>0</v>
      </c>
      <c r="F104" s="1"/>
      <c r="G104" s="1"/>
      <c r="H104" s="1"/>
      <c r="I104" s="1"/>
      <c r="J104" s="1"/>
      <c r="K104" s="1"/>
      <c r="L104" s="1"/>
      <c r="M104" s="1"/>
      <c r="N104" s="1"/>
      <c r="O104" s="1"/>
      <c r="P104" s="1"/>
      <c r="Q104" s="1"/>
      <c r="R104" s="1"/>
      <c r="S104" s="1"/>
      <c r="T104" s="1"/>
      <c r="U104" s="1"/>
      <c r="V104" s="1"/>
      <c r="W104" s="1"/>
      <c r="X104" s="1"/>
      <c r="Y104" s="1"/>
      <c r="Z104" s="1"/>
    </row>
    <row r="105" spans="2:26" ht="15.6">
      <c r="B105" s="2192"/>
      <c r="C105" s="2194" t="s">
        <v>1894</v>
      </c>
      <c r="D105" s="2195">
        <f t="shared" si="35"/>
        <v>0</v>
      </c>
      <c r="E105" s="2195">
        <v>0</v>
      </c>
      <c r="F105" s="1"/>
      <c r="G105" s="1"/>
      <c r="H105" s="1"/>
      <c r="I105" s="1"/>
      <c r="J105" s="1"/>
      <c r="K105" s="1"/>
      <c r="L105" s="1"/>
      <c r="M105" s="1"/>
      <c r="N105" s="1"/>
      <c r="O105" s="1"/>
      <c r="P105" s="1"/>
      <c r="Q105" s="1"/>
      <c r="R105" s="1"/>
      <c r="S105" s="1"/>
      <c r="T105" s="1"/>
      <c r="U105" s="1"/>
      <c r="V105" s="1"/>
      <c r="W105" s="1"/>
      <c r="X105" s="1"/>
      <c r="Y105" s="1"/>
      <c r="Z105" s="1"/>
    </row>
    <row r="106" spans="2:26" ht="14.4">
      <c r="B106" s="2192"/>
      <c r="C106" s="2197" t="s">
        <v>1901</v>
      </c>
      <c r="D106" s="2186">
        <f>SUM(D107:D109)</f>
        <v>0.90971243984396266</v>
      </c>
      <c r="E106" s="2186">
        <f>SUM(E107:E109)</f>
        <v>0.90971243984396266</v>
      </c>
      <c r="F106" s="1"/>
      <c r="G106" s="1"/>
      <c r="H106" s="1"/>
      <c r="I106" s="1"/>
      <c r="J106" s="1"/>
      <c r="K106" s="1"/>
      <c r="L106" s="1"/>
      <c r="M106" s="1"/>
      <c r="N106" s="1"/>
      <c r="O106" s="1"/>
      <c r="P106" s="1"/>
      <c r="Q106" s="1"/>
      <c r="R106" s="1"/>
      <c r="S106" s="1"/>
      <c r="T106" s="1"/>
      <c r="U106" s="1"/>
      <c r="V106" s="1"/>
      <c r="W106" s="1"/>
      <c r="X106" s="1"/>
      <c r="Y106" s="1"/>
      <c r="Z106" s="1"/>
    </row>
    <row r="107" spans="2:26" ht="15.6">
      <c r="B107" s="2192"/>
      <c r="C107" s="2194" t="s">
        <v>1892</v>
      </c>
      <c r="D107" s="2195">
        <f>E107/_xlfn.XLOOKUP(C107,C$4:C$7,E$4:E$7,"ERROR")*_xlfn.XLOOKUP(C107,C$4:C$7,D$4:D$7,"ERROR")</f>
        <v>0.90971243984396266</v>
      </c>
      <c r="E107" s="2195">
        <f>'Iron And Steel'!F18/1000000</f>
        <v>0.90971243984396266</v>
      </c>
      <c r="F107" s="1"/>
      <c r="G107" s="1"/>
      <c r="H107" s="1"/>
      <c r="I107" s="1"/>
      <c r="J107" s="1"/>
      <c r="K107" s="1"/>
      <c r="L107" s="1"/>
      <c r="M107" s="1"/>
      <c r="N107" s="1"/>
      <c r="O107" s="1"/>
      <c r="P107" s="1"/>
      <c r="Q107" s="1"/>
      <c r="R107" s="1"/>
      <c r="S107" s="1"/>
      <c r="T107" s="1"/>
      <c r="U107" s="1"/>
      <c r="V107" s="1"/>
      <c r="W107" s="1"/>
      <c r="X107" s="1"/>
      <c r="Y107" s="1"/>
      <c r="Z107" s="1"/>
    </row>
    <row r="108" spans="2:26" ht="15.6">
      <c r="B108" s="2192"/>
      <c r="C108" s="2194" t="s">
        <v>1893</v>
      </c>
      <c r="D108" s="2195">
        <f t="shared" ref="D108:D109" si="36">E108/_xlfn.XLOOKUP(C108,C$4:C$7,E$4:E$7,"ERROR")*_xlfn.XLOOKUP(C108,C$4:C$7,D$4:D$7,"ERROR")</f>
        <v>0</v>
      </c>
      <c r="E108" s="2195">
        <v>0</v>
      </c>
      <c r="F108" s="1"/>
      <c r="G108" s="1"/>
      <c r="H108" s="1"/>
      <c r="I108" s="1"/>
      <c r="J108" s="1"/>
      <c r="K108" s="1"/>
      <c r="L108" s="1"/>
      <c r="M108" s="1"/>
      <c r="N108" s="1"/>
      <c r="O108" s="1"/>
      <c r="P108" s="1"/>
      <c r="Q108" s="1"/>
      <c r="R108" s="1"/>
      <c r="S108" s="1"/>
      <c r="T108" s="1"/>
      <c r="U108" s="1"/>
      <c r="V108" s="1"/>
      <c r="W108" s="1"/>
      <c r="X108" s="1"/>
      <c r="Y108" s="1"/>
      <c r="Z108" s="1"/>
    </row>
    <row r="109" spans="2:26" ht="15.6">
      <c r="B109" s="2192"/>
      <c r="C109" s="2194" t="s">
        <v>1894</v>
      </c>
      <c r="D109" s="2195">
        <f t="shared" si="36"/>
        <v>0</v>
      </c>
      <c r="E109" s="2195">
        <v>0</v>
      </c>
      <c r="F109" s="1"/>
      <c r="G109" s="1"/>
      <c r="H109" s="1"/>
      <c r="I109" s="1"/>
      <c r="J109" s="1"/>
      <c r="K109" s="1"/>
      <c r="L109" s="1"/>
      <c r="M109" s="1"/>
      <c r="N109" s="1"/>
      <c r="O109" s="1"/>
      <c r="P109" s="1"/>
      <c r="Q109" s="1"/>
      <c r="R109" s="1"/>
      <c r="S109" s="1"/>
      <c r="T109" s="1"/>
      <c r="U109" s="1"/>
      <c r="V109" s="1"/>
      <c r="W109" s="1"/>
      <c r="X109" s="1"/>
      <c r="Y109" s="1"/>
      <c r="Z109" s="1"/>
    </row>
    <row r="110" spans="2:26" ht="14.4">
      <c r="B110" s="2192"/>
      <c r="C110" s="2197" t="s">
        <v>134</v>
      </c>
      <c r="D110" s="2186">
        <f>SUM(D111:D113)</f>
        <v>6.0454015339999998</v>
      </c>
      <c r="E110" s="2186">
        <f>SUM(E111:E113)</f>
        <v>2.6529663086678923</v>
      </c>
      <c r="F110" s="1"/>
      <c r="G110" s="1"/>
      <c r="H110" s="1"/>
      <c r="I110" s="1"/>
      <c r="J110" s="1"/>
      <c r="K110" s="1"/>
      <c r="L110" s="1"/>
      <c r="M110" s="1"/>
      <c r="N110" s="1"/>
      <c r="O110" s="1"/>
      <c r="P110" s="1"/>
      <c r="Q110" s="1"/>
      <c r="R110" s="1"/>
      <c r="S110" s="1"/>
      <c r="T110" s="1"/>
      <c r="U110" s="1"/>
      <c r="V110" s="1"/>
      <c r="W110" s="1"/>
      <c r="X110" s="1"/>
      <c r="Y110" s="1"/>
      <c r="Z110" s="1"/>
    </row>
    <row r="111" spans="2:26" ht="15.6">
      <c r="B111" s="2192"/>
      <c r="C111" s="2194" t="s">
        <v>1892</v>
      </c>
      <c r="D111" s="2195">
        <f>E111/_xlfn.XLOOKUP(C111,C$4:C$7,E$4:E$7,"ERROR")*_xlfn.XLOOKUP(C111,C$4:C$7,D$4:D$7,"ERROR")</f>
        <v>0</v>
      </c>
      <c r="E111" s="2195">
        <v>0</v>
      </c>
      <c r="F111" s="1"/>
      <c r="G111" s="1"/>
      <c r="H111" s="1"/>
      <c r="I111" s="1"/>
      <c r="J111" s="1"/>
      <c r="K111" s="1"/>
      <c r="L111" s="1"/>
      <c r="M111" s="1"/>
      <c r="N111" s="1"/>
      <c r="O111" s="1"/>
      <c r="P111" s="1"/>
      <c r="Q111" s="1"/>
      <c r="R111" s="1"/>
      <c r="S111" s="1"/>
      <c r="T111" s="1"/>
      <c r="U111" s="1"/>
      <c r="V111" s="1"/>
      <c r="W111" s="1"/>
      <c r="X111" s="1"/>
      <c r="Y111" s="1"/>
      <c r="Z111" s="1"/>
    </row>
    <row r="112" spans="2:26" ht="15.6">
      <c r="B112" s="2192"/>
      <c r="C112" s="2194" t="s">
        <v>1893</v>
      </c>
      <c r="D112" s="2195">
        <f t="shared" ref="D112" si="37">E112/_xlfn.XLOOKUP(C112,C$4:C$7,E$4:E$7,"ERROR")*_xlfn.XLOOKUP(C112,C$4:C$7,D$4:D$7,"ERROR")</f>
        <v>0</v>
      </c>
      <c r="E112" s="2195">
        <v>0</v>
      </c>
      <c r="F112" s="1"/>
      <c r="G112" s="1"/>
      <c r="H112" s="1"/>
      <c r="I112" s="1"/>
      <c r="J112" s="1"/>
      <c r="K112" s="1"/>
      <c r="L112" s="1"/>
      <c r="M112" s="1"/>
      <c r="N112" s="1"/>
      <c r="O112" s="1"/>
      <c r="P112" s="1"/>
      <c r="Q112" s="1"/>
      <c r="R112" s="1"/>
      <c r="S112" s="1"/>
      <c r="T112" s="1"/>
      <c r="U112" s="1"/>
      <c r="V112" s="1"/>
      <c r="W112" s="1"/>
      <c r="X112" s="1"/>
      <c r="Y112" s="1"/>
      <c r="Z112" s="1"/>
    </row>
    <row r="113" spans="2:26" ht="15.6">
      <c r="B113" s="2192"/>
      <c r="C113" s="2194" t="s">
        <v>1902</v>
      </c>
      <c r="D113" s="2195">
        <f>'LimeT&amp;DSodaODS'!Z15</f>
        <v>6.0454015339999998</v>
      </c>
      <c r="E113" s="2195">
        <f>'LimeT&amp;DSodaODS'!D51/1000000</f>
        <v>2.6529663086678923</v>
      </c>
      <c r="F113" s="1"/>
      <c r="G113" s="1"/>
      <c r="H113" s="1"/>
      <c r="I113" s="1"/>
      <c r="J113" s="1"/>
      <c r="K113" s="1"/>
      <c r="L113" s="1"/>
      <c r="M113" s="1"/>
      <c r="N113" s="1"/>
      <c r="O113" s="1"/>
      <c r="P113" s="1"/>
      <c r="Q113" s="1"/>
      <c r="R113" s="1"/>
      <c r="S113" s="1"/>
      <c r="T113" s="1"/>
      <c r="U113" s="1"/>
      <c r="V113" s="1"/>
      <c r="W113" s="1"/>
      <c r="X113" s="1"/>
      <c r="Y113" s="1"/>
      <c r="Z113" s="1"/>
    </row>
    <row r="114" spans="2:26" ht="14.4">
      <c r="B114" s="2192"/>
      <c r="C114" s="2197" t="s">
        <v>1903</v>
      </c>
      <c r="D114" s="2186">
        <f>SUM(D115:D117)</f>
        <v>0.1225</v>
      </c>
      <c r="E114" s="2186">
        <f>SUM(E115:E117)</f>
        <v>0.16450000000000001</v>
      </c>
      <c r="F114" s="1"/>
      <c r="G114" s="1"/>
      <c r="H114" s="1"/>
      <c r="I114" s="1"/>
      <c r="J114" s="1"/>
      <c r="K114" s="1"/>
      <c r="L114" s="1"/>
      <c r="M114" s="1"/>
      <c r="N114" s="1"/>
      <c r="O114" s="1"/>
      <c r="P114" s="1"/>
      <c r="Q114" s="1"/>
      <c r="R114" s="1"/>
      <c r="S114" s="1"/>
      <c r="T114" s="1"/>
      <c r="U114" s="1"/>
      <c r="V114" s="1"/>
      <c r="W114" s="1"/>
      <c r="X114" s="1"/>
      <c r="Y114" s="1"/>
      <c r="Z114" s="1"/>
    </row>
    <row r="115" spans="2:26" ht="15.6">
      <c r="B115" s="2192"/>
      <c r="C115" s="2194" t="s">
        <v>1892</v>
      </c>
      <c r="D115" s="2195">
        <f>E115/_xlfn.XLOOKUP(C115,C$4:C$7,E$4:E$7,"ERROR")*_xlfn.XLOOKUP(C115,C$4:C$7,D$4:D$7,"ERROR")</f>
        <v>0</v>
      </c>
      <c r="E115" s="2195">
        <v>0</v>
      </c>
      <c r="F115" s="1"/>
      <c r="G115" s="1"/>
      <c r="H115" s="1"/>
      <c r="I115" s="1"/>
      <c r="J115" s="1"/>
      <c r="K115" s="1"/>
      <c r="L115" s="1"/>
      <c r="M115" s="1"/>
      <c r="N115" s="1"/>
      <c r="O115" s="1"/>
      <c r="P115" s="1"/>
      <c r="Q115" s="1"/>
      <c r="R115" s="1"/>
      <c r="S115" s="1"/>
      <c r="T115" s="1"/>
      <c r="U115" s="1"/>
      <c r="V115" s="1"/>
      <c r="W115" s="1"/>
      <c r="X115" s="1"/>
      <c r="Y115" s="1"/>
      <c r="Z115" s="1"/>
    </row>
    <row r="116" spans="2:26" ht="15.6">
      <c r="B116" s="2192"/>
      <c r="C116" s="2194" t="s">
        <v>1893</v>
      </c>
      <c r="D116" s="2195">
        <f t="shared" ref="D116" si="38">E116/_xlfn.XLOOKUP(C116,C$4:C$7,E$4:E$7,"ERROR")*_xlfn.XLOOKUP(C116,C$4:C$7,D$4:D$7,"ERROR")</f>
        <v>0</v>
      </c>
      <c r="E116" s="2195">
        <v>0</v>
      </c>
      <c r="F116" s="1"/>
      <c r="G116" s="1"/>
      <c r="H116" s="1"/>
      <c r="I116" s="1"/>
      <c r="J116" s="1"/>
      <c r="K116" s="1"/>
      <c r="L116" s="1"/>
      <c r="M116" s="1"/>
      <c r="N116" s="1"/>
      <c r="O116" s="1"/>
      <c r="P116" s="1"/>
      <c r="Q116" s="1"/>
      <c r="R116" s="1"/>
      <c r="S116" s="1"/>
      <c r="T116" s="1"/>
      <c r="U116" s="1"/>
      <c r="V116" s="1"/>
      <c r="W116" s="1"/>
      <c r="X116" s="1"/>
      <c r="Y116" s="1"/>
      <c r="Z116" s="1"/>
    </row>
    <row r="117" spans="2:26" ht="15.6">
      <c r="B117" s="2192"/>
      <c r="C117" s="2194" t="s">
        <v>1902</v>
      </c>
      <c r="D117" s="2195">
        <f>E117/_xlfn.XLOOKUP("SF6",C$4:C$7,E$4:E$7,"ERROR")*_xlfn.XLOOKUP("SF6",C$4:C$7,D$4:D$7,"ERROR")</f>
        <v>0.1225</v>
      </c>
      <c r="E117" s="2195">
        <f>'LimeT&amp;DSodaODS'!D54/1000000</f>
        <v>0.16450000000000001</v>
      </c>
      <c r="F117" s="1"/>
      <c r="G117" s="1"/>
      <c r="H117" s="1"/>
      <c r="I117" s="1"/>
      <c r="J117" s="1"/>
      <c r="K117" s="1"/>
      <c r="L117" s="1"/>
      <c r="M117" s="1"/>
      <c r="N117" s="1"/>
      <c r="O117" s="1"/>
      <c r="P117" s="1"/>
      <c r="Q117" s="1"/>
      <c r="R117" s="1"/>
      <c r="S117" s="1"/>
      <c r="T117" s="1"/>
      <c r="U117" s="1"/>
      <c r="V117" s="1"/>
      <c r="W117" s="1"/>
      <c r="X117" s="1"/>
      <c r="Y117" s="1"/>
      <c r="Z117" s="1"/>
    </row>
    <row r="118" spans="2:26" ht="14.4">
      <c r="B118" s="2192"/>
      <c r="C118" s="2197" t="s">
        <v>135</v>
      </c>
      <c r="D118" s="2186">
        <f>SUM(D119:D121)</f>
        <v>0</v>
      </c>
      <c r="E118" s="2186">
        <f>SUM(E119:E121)</f>
        <v>0</v>
      </c>
      <c r="F118" s="1"/>
      <c r="G118" s="1"/>
      <c r="H118" s="1"/>
      <c r="I118" s="1"/>
      <c r="J118" s="1"/>
      <c r="K118" s="1"/>
      <c r="L118" s="1"/>
      <c r="M118" s="1"/>
      <c r="N118" s="1"/>
      <c r="O118" s="1"/>
      <c r="P118" s="1"/>
      <c r="Q118" s="1"/>
      <c r="R118" s="1"/>
      <c r="S118" s="1"/>
      <c r="T118" s="1"/>
      <c r="U118" s="1"/>
      <c r="V118" s="1"/>
      <c r="W118" s="1"/>
      <c r="X118" s="1"/>
      <c r="Y118" s="1"/>
      <c r="Z118" s="1"/>
    </row>
    <row r="119" spans="2:26" ht="15.6">
      <c r="B119" s="2192"/>
      <c r="C119" s="2194" t="s">
        <v>1892</v>
      </c>
      <c r="D119" s="2195">
        <f>E119/_xlfn.XLOOKUP(C119,C$4:C$7,E$4:E$7,"ERROR")*_xlfn.XLOOKUP(C119,C$4:C$7,D$4:D$7,"ERROR")</f>
        <v>0</v>
      </c>
      <c r="E119" s="2195">
        <v>0</v>
      </c>
      <c r="F119" s="1"/>
      <c r="G119" s="1"/>
      <c r="H119" s="1"/>
      <c r="I119" s="1"/>
      <c r="J119" s="1"/>
      <c r="K119" s="1"/>
      <c r="L119" s="1"/>
      <c r="M119" s="1"/>
      <c r="N119" s="1"/>
      <c r="O119" s="1"/>
      <c r="P119" s="1"/>
      <c r="Q119" s="1"/>
      <c r="R119" s="1"/>
      <c r="S119" s="1"/>
      <c r="T119" s="1"/>
      <c r="U119" s="1"/>
      <c r="V119" s="1"/>
      <c r="W119" s="1"/>
      <c r="X119" s="1"/>
      <c r="Y119" s="1"/>
      <c r="Z119" s="1"/>
    </row>
    <row r="120" spans="2:26" ht="15.6">
      <c r="B120" s="2192"/>
      <c r="C120" s="2194" t="s">
        <v>1893</v>
      </c>
      <c r="D120" s="2195">
        <f t="shared" ref="D120" si="39">E120/_xlfn.XLOOKUP(C120,C$4:C$7,E$4:E$7,"ERROR")*_xlfn.XLOOKUP(C120,C$4:C$7,D$4:D$7,"ERROR")</f>
        <v>0</v>
      </c>
      <c r="E120" s="2195">
        <v>0</v>
      </c>
      <c r="F120" s="1"/>
      <c r="G120" s="1"/>
      <c r="H120" s="1"/>
      <c r="I120" s="1"/>
      <c r="J120" s="1"/>
      <c r="K120" s="1"/>
      <c r="L120" s="1"/>
      <c r="M120" s="1"/>
      <c r="N120" s="1"/>
      <c r="O120" s="1"/>
      <c r="P120" s="1"/>
      <c r="Q120" s="1"/>
      <c r="R120" s="1"/>
      <c r="S120" s="1"/>
      <c r="T120" s="1"/>
      <c r="U120" s="1"/>
      <c r="V120" s="1"/>
      <c r="W120" s="1"/>
      <c r="X120" s="1"/>
      <c r="Y120" s="1"/>
      <c r="Z120" s="1"/>
    </row>
    <row r="121" spans="2:26" ht="15.6">
      <c r="B121" s="2192"/>
      <c r="C121" s="2194" t="s">
        <v>1902</v>
      </c>
      <c r="D121" s="2195">
        <f>E121</f>
        <v>0</v>
      </c>
      <c r="E121" s="2195">
        <v>0</v>
      </c>
      <c r="F121" s="1"/>
      <c r="G121" s="1"/>
      <c r="H121" s="1"/>
      <c r="I121" s="1"/>
      <c r="J121" s="1"/>
      <c r="K121" s="1"/>
      <c r="L121" s="1"/>
      <c r="M121" s="1"/>
      <c r="N121" s="1"/>
      <c r="O121" s="1"/>
      <c r="P121" s="1"/>
      <c r="Q121" s="1"/>
      <c r="R121" s="1"/>
      <c r="S121" s="1"/>
      <c r="T121" s="1"/>
      <c r="U121" s="1"/>
      <c r="V121" s="1"/>
      <c r="W121" s="1"/>
      <c r="X121" s="1"/>
      <c r="Y121" s="1"/>
      <c r="Z121" s="1"/>
    </row>
    <row r="122" spans="2:26" ht="14.4">
      <c r="B122" s="2192"/>
      <c r="C122" s="2197" t="s">
        <v>1904</v>
      </c>
      <c r="D122" s="2186">
        <f>SUM(D123:D125)</f>
        <v>9.5118999999999998E-4</v>
      </c>
      <c r="E122" s="2186">
        <f>SUM(E123:E125)</f>
        <v>9.5118999999999998E-4</v>
      </c>
      <c r="F122" s="1"/>
      <c r="G122" s="1"/>
      <c r="H122" s="1"/>
      <c r="I122" s="1"/>
      <c r="J122" s="1"/>
      <c r="K122" s="1"/>
      <c r="L122" s="1"/>
      <c r="M122" s="1"/>
      <c r="N122" s="1"/>
      <c r="O122" s="1"/>
      <c r="P122" s="1"/>
      <c r="Q122" s="1"/>
      <c r="R122" s="1"/>
      <c r="S122" s="1"/>
      <c r="T122" s="1"/>
      <c r="U122" s="1"/>
      <c r="V122" s="1"/>
      <c r="W122" s="1"/>
      <c r="X122" s="1"/>
      <c r="Y122" s="1"/>
      <c r="Z122" s="1"/>
    </row>
    <row r="123" spans="2:26" ht="15.6">
      <c r="B123" s="2192"/>
      <c r="C123" s="2194" t="s">
        <v>1892</v>
      </c>
      <c r="D123" s="2195">
        <f>E123/_xlfn.XLOOKUP(C123,C$4:C$7,E$4:E$7,"ERROR")*_xlfn.XLOOKUP(C123,C$4:C$7,D$4:D$7,"ERROR")</f>
        <v>9.5118999999999998E-4</v>
      </c>
      <c r="E123" s="2195">
        <f>'LimeT&amp;DSodaODS'!D45/1000000</f>
        <v>9.5118999999999998E-4</v>
      </c>
      <c r="F123" s="1"/>
      <c r="G123" s="1"/>
      <c r="H123" s="1"/>
      <c r="I123" s="1"/>
      <c r="J123" s="1"/>
      <c r="K123" s="1"/>
      <c r="L123" s="1"/>
      <c r="M123" s="1"/>
      <c r="N123" s="1"/>
      <c r="O123" s="1"/>
      <c r="P123" s="1"/>
      <c r="Q123" s="1"/>
      <c r="R123" s="1"/>
      <c r="S123" s="1"/>
      <c r="T123" s="1"/>
      <c r="U123" s="1"/>
      <c r="V123" s="1"/>
      <c r="W123" s="1"/>
      <c r="X123" s="1"/>
      <c r="Y123" s="1"/>
      <c r="Z123" s="1"/>
    </row>
    <row r="124" spans="2:26" ht="15.6">
      <c r="B124" s="2192"/>
      <c r="C124" s="2194" t="s">
        <v>1893</v>
      </c>
      <c r="D124" s="2195">
        <f t="shared" ref="D124" si="40">E124/_xlfn.XLOOKUP(C124,C$4:C$7,E$4:E$7,"ERROR")*_xlfn.XLOOKUP(C124,C$4:C$7,D$4:D$7,"ERROR")</f>
        <v>0</v>
      </c>
      <c r="E124" s="2195">
        <v>0</v>
      </c>
      <c r="F124" s="1"/>
      <c r="G124" s="1"/>
      <c r="H124" s="1"/>
      <c r="I124" s="1"/>
      <c r="J124" s="1"/>
      <c r="K124" s="1"/>
      <c r="L124" s="1"/>
      <c r="M124" s="1"/>
      <c r="N124" s="1"/>
      <c r="O124" s="1"/>
      <c r="P124" s="1"/>
      <c r="Q124" s="1"/>
      <c r="R124" s="1"/>
      <c r="S124" s="1"/>
      <c r="T124" s="1"/>
      <c r="U124" s="1"/>
      <c r="V124" s="1"/>
      <c r="W124" s="1"/>
      <c r="X124" s="1"/>
      <c r="Y124" s="1"/>
      <c r="Z124" s="1"/>
    </row>
    <row r="125" spans="2:26" ht="15.6">
      <c r="B125" s="2192"/>
      <c r="C125" s="2194" t="s">
        <v>1902</v>
      </c>
      <c r="D125" s="2195">
        <f>E125</f>
        <v>0</v>
      </c>
      <c r="E125" s="2195">
        <v>0</v>
      </c>
      <c r="F125" s="1"/>
      <c r="G125" s="1"/>
      <c r="H125" s="1"/>
      <c r="I125" s="1"/>
      <c r="J125" s="1"/>
      <c r="K125" s="1"/>
      <c r="L125" s="1"/>
      <c r="M125" s="1"/>
      <c r="N125" s="1"/>
      <c r="O125" s="1"/>
      <c r="P125" s="1"/>
      <c r="Q125" s="1"/>
      <c r="R125" s="1"/>
      <c r="S125" s="1"/>
      <c r="T125" s="1"/>
      <c r="U125" s="1"/>
      <c r="V125" s="1"/>
      <c r="W125" s="1"/>
      <c r="X125" s="1"/>
      <c r="Y125" s="1"/>
      <c r="Z125" s="1"/>
    </row>
    <row r="126" spans="2:26" ht="14.4">
      <c r="B126" s="2192"/>
      <c r="C126" s="2197" t="s">
        <v>139</v>
      </c>
      <c r="D126" s="2186">
        <f>SUM(D127:D129)</f>
        <v>0</v>
      </c>
      <c r="E126" s="2186">
        <f>SUM(E127:E129)</f>
        <v>0</v>
      </c>
      <c r="F126" s="1"/>
      <c r="G126" s="1"/>
      <c r="H126" s="1"/>
      <c r="I126" s="1"/>
      <c r="J126" s="1"/>
      <c r="K126" s="1"/>
      <c r="L126" s="1"/>
      <c r="M126" s="1"/>
      <c r="N126" s="1"/>
      <c r="O126" s="1"/>
      <c r="P126" s="1"/>
      <c r="Q126" s="1"/>
      <c r="R126" s="1"/>
      <c r="S126" s="1"/>
      <c r="T126" s="1"/>
      <c r="U126" s="1"/>
      <c r="V126" s="1"/>
      <c r="W126" s="1"/>
      <c r="X126" s="1"/>
      <c r="Y126" s="1"/>
      <c r="Z126" s="1"/>
    </row>
    <row r="127" spans="2:26" ht="15.6">
      <c r="B127" s="2192"/>
      <c r="C127" s="2194" t="s">
        <v>1892</v>
      </c>
      <c r="D127" s="2195">
        <f>E127/_xlfn.XLOOKUP(C127,C$4:C$7,E$4:E$7,"ERROR")*_xlfn.XLOOKUP(C127,C$4:C$7,D$4:D$7,"ERROR")</f>
        <v>0</v>
      </c>
      <c r="E127" s="2195">
        <v>0</v>
      </c>
      <c r="F127" s="1"/>
      <c r="G127" s="1"/>
      <c r="H127" s="1"/>
      <c r="I127" s="1"/>
      <c r="J127" s="1"/>
      <c r="K127" s="1"/>
      <c r="L127" s="1"/>
      <c r="M127" s="1"/>
      <c r="N127" s="1"/>
      <c r="O127" s="1"/>
      <c r="P127" s="1"/>
      <c r="Q127" s="1"/>
      <c r="R127" s="1"/>
      <c r="S127" s="1"/>
      <c r="T127" s="1"/>
      <c r="U127" s="1"/>
      <c r="V127" s="1"/>
      <c r="W127" s="1"/>
      <c r="X127" s="1"/>
      <c r="Y127" s="1"/>
      <c r="Z127" s="1"/>
    </row>
    <row r="128" spans="2:26" ht="15.6">
      <c r="B128" s="2192"/>
      <c r="C128" s="2194" t="s">
        <v>1893</v>
      </c>
      <c r="D128" s="2195">
        <f t="shared" ref="D128" si="41">E128/_xlfn.XLOOKUP(C128,C$4:C$7,E$4:E$7,"ERROR")*_xlfn.XLOOKUP(C128,C$4:C$7,D$4:D$7,"ERROR")</f>
        <v>0</v>
      </c>
      <c r="E128" s="2195">
        <v>0</v>
      </c>
      <c r="F128" s="1"/>
      <c r="G128" s="1"/>
      <c r="H128" s="1"/>
      <c r="I128" s="1"/>
      <c r="J128" s="1"/>
      <c r="K128" s="1"/>
      <c r="L128" s="1"/>
      <c r="M128" s="1"/>
      <c r="N128" s="1"/>
      <c r="O128" s="1"/>
      <c r="P128" s="1"/>
      <c r="Q128" s="1"/>
      <c r="R128" s="1"/>
      <c r="S128" s="1"/>
      <c r="T128" s="1"/>
      <c r="U128" s="1"/>
      <c r="V128" s="1"/>
      <c r="W128" s="1"/>
      <c r="X128" s="1"/>
      <c r="Y128" s="1"/>
      <c r="Z128" s="1"/>
    </row>
    <row r="129" spans="2:26" ht="15.6">
      <c r="B129" s="2196"/>
      <c r="C129" s="2194" t="s">
        <v>1902</v>
      </c>
      <c r="D129" s="2195">
        <f>E129</f>
        <v>0</v>
      </c>
      <c r="E129" s="2195">
        <v>0</v>
      </c>
      <c r="F129" s="1"/>
      <c r="G129" s="1"/>
      <c r="H129" s="1"/>
      <c r="I129" s="1"/>
      <c r="J129" s="1"/>
      <c r="K129" s="1"/>
      <c r="L129" s="1"/>
      <c r="M129" s="1"/>
      <c r="N129" s="1"/>
      <c r="O129" s="1"/>
      <c r="P129" s="1"/>
      <c r="Q129" s="1"/>
      <c r="R129" s="1"/>
      <c r="S129" s="1"/>
      <c r="T129" s="1"/>
      <c r="U129" s="1"/>
      <c r="V129" s="1"/>
      <c r="W129" s="1"/>
      <c r="X129" s="1"/>
      <c r="Y129" s="1"/>
      <c r="Z129" s="1"/>
    </row>
    <row r="130" spans="2:26" ht="14.4">
      <c r="B130" s="2187" t="s">
        <v>46</v>
      </c>
      <c r="C130" s="2198"/>
      <c r="D130" s="2189">
        <f t="shared" ref="D130" si="42">D131+D135+D139+D143+D147</f>
        <v>3.0005982724866644</v>
      </c>
      <c r="E130" s="2189">
        <f t="shared" ref="E130" si="43">E131+E135+E139+E143+E147</f>
        <v>1.7512811923737004</v>
      </c>
      <c r="F130" s="1"/>
      <c r="G130" s="1"/>
      <c r="H130" s="1"/>
      <c r="I130" s="1"/>
      <c r="J130" s="1"/>
      <c r="K130" s="1"/>
      <c r="L130" s="1"/>
      <c r="M130" s="1"/>
      <c r="N130" s="1"/>
      <c r="O130" s="1"/>
      <c r="P130" s="1"/>
      <c r="Q130" s="1"/>
      <c r="R130" s="1"/>
      <c r="S130" s="1"/>
      <c r="T130" s="1"/>
      <c r="U130" s="1"/>
      <c r="V130" s="1"/>
      <c r="W130" s="1"/>
      <c r="X130" s="1"/>
      <c r="Y130" s="1"/>
      <c r="Z130" s="1"/>
    </row>
    <row r="131" spans="2:26" ht="14.4">
      <c r="B131" s="2190"/>
      <c r="C131" s="2197" t="s">
        <v>47</v>
      </c>
      <c r="D131" s="2186">
        <f>SUM(D132:D134)</f>
        <v>1.4874784770154672</v>
      </c>
      <c r="E131" s="2186">
        <f>SUM(E132:E134)</f>
        <v>0.4958261590051557</v>
      </c>
      <c r="F131" s="1"/>
      <c r="G131" s="1"/>
      <c r="H131" s="1"/>
      <c r="I131" s="1"/>
      <c r="J131" s="1"/>
      <c r="K131" s="1"/>
      <c r="L131" s="1"/>
      <c r="M131" s="1"/>
      <c r="N131" s="1"/>
      <c r="O131" s="1"/>
      <c r="P131" s="1"/>
      <c r="Q131" s="1"/>
      <c r="R131" s="1"/>
      <c r="S131" s="1"/>
      <c r="T131" s="1"/>
      <c r="U131" s="1"/>
      <c r="V131" s="1"/>
      <c r="W131" s="1"/>
      <c r="X131" s="1"/>
      <c r="Y131" s="1"/>
      <c r="Z131" s="1"/>
    </row>
    <row r="132" spans="2:26" ht="15.6">
      <c r="B132" s="2192"/>
      <c r="C132" s="2194" t="s">
        <v>1892</v>
      </c>
      <c r="D132" s="2195">
        <f>E132/_xlfn.XLOOKUP(C132,C$4:C$7,E$4:E$7,"ERROR")*_xlfn.XLOOKUP(C132,C$4:C$7,D$4:D$7,"ERROR")</f>
        <v>0</v>
      </c>
      <c r="E132" s="2195">
        <v>0</v>
      </c>
      <c r="F132" s="1"/>
      <c r="G132" s="1"/>
      <c r="H132" s="1"/>
      <c r="I132" s="1"/>
      <c r="J132" s="1"/>
      <c r="K132" s="1"/>
      <c r="L132" s="1"/>
      <c r="M132" s="1"/>
      <c r="N132" s="1"/>
      <c r="O132" s="1"/>
      <c r="P132" s="1"/>
      <c r="Q132" s="1"/>
      <c r="R132" s="1"/>
      <c r="S132" s="1"/>
      <c r="T132" s="1"/>
      <c r="U132" s="1"/>
      <c r="V132" s="1"/>
      <c r="W132" s="1"/>
      <c r="X132" s="1"/>
      <c r="Y132" s="1"/>
      <c r="Z132" s="1"/>
    </row>
    <row r="133" spans="2:26" ht="15.6">
      <c r="B133" s="2192"/>
      <c r="C133" s="2194" t="s">
        <v>1893</v>
      </c>
      <c r="D133" s="2195">
        <f t="shared" ref="D133:D134" si="44">E133/_xlfn.XLOOKUP(C133,C$4:C$7,E$4:E$7,"ERROR")*_xlfn.XLOOKUP(C133,C$4:C$7,D$4:D$7,"ERROR")</f>
        <v>1.4874784770154672</v>
      </c>
      <c r="E133" s="2195">
        <f>Agricultural!M25</f>
        <v>0.4958261590051557</v>
      </c>
      <c r="F133" s="1"/>
      <c r="G133" s="1"/>
      <c r="H133" s="1"/>
      <c r="I133" s="1"/>
      <c r="J133" s="1"/>
      <c r="K133" s="1"/>
      <c r="L133" s="1"/>
      <c r="M133" s="1"/>
      <c r="N133" s="1"/>
      <c r="O133" s="1"/>
      <c r="P133" s="1"/>
      <c r="Q133" s="1"/>
      <c r="R133" s="1"/>
      <c r="S133" s="1"/>
      <c r="T133" s="1"/>
      <c r="U133" s="1"/>
      <c r="V133" s="1"/>
      <c r="W133" s="1"/>
      <c r="X133" s="1"/>
      <c r="Y133" s="1"/>
      <c r="Z133" s="1"/>
    </row>
    <row r="134" spans="2:26" ht="15.6">
      <c r="B134" s="2192"/>
      <c r="C134" s="2194" t="s">
        <v>1894</v>
      </c>
      <c r="D134" s="2195">
        <f t="shared" si="44"/>
        <v>0</v>
      </c>
      <c r="E134" s="2195">
        <v>0</v>
      </c>
      <c r="F134" s="1"/>
      <c r="G134" s="1"/>
      <c r="H134" s="1"/>
      <c r="I134" s="1"/>
      <c r="J134" s="1"/>
      <c r="K134" s="1"/>
      <c r="L134" s="1"/>
      <c r="M134" s="1"/>
      <c r="N134" s="1"/>
      <c r="O134" s="1"/>
      <c r="P134" s="1"/>
      <c r="Q134" s="1"/>
      <c r="R134" s="1"/>
      <c r="S134" s="1"/>
      <c r="T134" s="1"/>
      <c r="U134" s="1"/>
      <c r="V134" s="1"/>
      <c r="W134" s="1"/>
      <c r="X134" s="1"/>
      <c r="Y134" s="1"/>
      <c r="Z134" s="1"/>
    </row>
    <row r="135" spans="2:26" ht="14.4">
      <c r="B135" s="2192"/>
      <c r="C135" s="2197" t="s">
        <v>48</v>
      </c>
      <c r="D135" s="2186">
        <f>SUM(D136:D138)</f>
        <v>0.5731878833278542</v>
      </c>
      <c r="E135" s="2186">
        <f>SUM(E136:E138)</f>
        <v>0.32251825305624321</v>
      </c>
      <c r="F135" s="1"/>
      <c r="G135" s="1"/>
      <c r="H135" s="1"/>
      <c r="I135" s="1"/>
      <c r="J135" s="1"/>
      <c r="K135" s="1"/>
      <c r="L135" s="1"/>
      <c r="M135" s="1"/>
      <c r="N135" s="1"/>
      <c r="O135" s="1"/>
      <c r="P135" s="1"/>
      <c r="Q135" s="1"/>
      <c r="R135" s="1"/>
      <c r="S135" s="1"/>
      <c r="T135" s="1"/>
      <c r="U135" s="1"/>
      <c r="V135" s="1"/>
      <c r="W135" s="1"/>
      <c r="X135" s="1"/>
      <c r="Y135" s="1"/>
      <c r="Z135" s="1"/>
    </row>
    <row r="136" spans="2:26" ht="15.6">
      <c r="B136" s="2192"/>
      <c r="C136" s="2194" t="s">
        <v>1892</v>
      </c>
      <c r="D136" s="2195">
        <f>E136/_xlfn.XLOOKUP(C136,C$4:C$7,E$4:E$7,"ERROR")*_xlfn.XLOOKUP(C136,C$4:C$7,D$4:D$7,"ERROR")</f>
        <v>0</v>
      </c>
      <c r="E136" s="2195">
        <v>0</v>
      </c>
      <c r="F136" s="1"/>
      <c r="G136" s="1"/>
      <c r="H136" s="1"/>
      <c r="I136" s="1"/>
      <c r="J136" s="1"/>
      <c r="K136" s="1"/>
      <c r="L136" s="1"/>
      <c r="M136" s="1"/>
      <c r="N136" s="1"/>
      <c r="O136" s="1"/>
      <c r="P136" s="1"/>
      <c r="Q136" s="1"/>
      <c r="R136" s="1"/>
      <c r="S136" s="1"/>
      <c r="T136" s="1"/>
      <c r="U136" s="1"/>
      <c r="V136" s="1"/>
      <c r="W136" s="1"/>
      <c r="X136" s="1"/>
      <c r="Y136" s="1"/>
      <c r="Z136" s="1"/>
    </row>
    <row r="137" spans="2:26" ht="15.6">
      <c r="B137" s="2192"/>
      <c r="C137" s="2194" t="s">
        <v>1893</v>
      </c>
      <c r="D137" s="2195">
        <f t="shared" ref="D137:D138" si="45">E137/_xlfn.XLOOKUP(C137,C$4:C$7,E$4:E$7,"ERROR")*_xlfn.XLOOKUP(C137,C$4:C$7,D$4:D$7,"ERROR")</f>
        <v>0.37711847613013089</v>
      </c>
      <c r="E137" s="2195">
        <f>Agricultural!W61</f>
        <v>0.12570615871004365</v>
      </c>
      <c r="F137" s="1"/>
      <c r="G137" s="1"/>
      <c r="H137" s="1"/>
      <c r="I137" s="1"/>
      <c r="J137" s="1"/>
      <c r="K137" s="1"/>
      <c r="L137" s="1"/>
      <c r="M137" s="1"/>
      <c r="N137" s="1"/>
      <c r="O137" s="1"/>
      <c r="P137" s="1"/>
      <c r="Q137" s="1"/>
      <c r="R137" s="1"/>
      <c r="S137" s="1"/>
      <c r="T137" s="1"/>
      <c r="U137" s="1"/>
      <c r="V137" s="1"/>
      <c r="W137" s="1"/>
      <c r="X137" s="1"/>
      <c r="Y137" s="1"/>
      <c r="Z137" s="1"/>
    </row>
    <row r="138" spans="2:26" ht="15.6">
      <c r="B138" s="2192"/>
      <c r="C138" s="2194" t="s">
        <v>1894</v>
      </c>
      <c r="D138" s="2195">
        <f t="shared" si="45"/>
        <v>0.19606940719772331</v>
      </c>
      <c r="E138" s="2195">
        <f>Agricultural!U89</f>
        <v>0.19681209434619956</v>
      </c>
      <c r="F138" s="1"/>
      <c r="G138" s="1"/>
      <c r="H138" s="1"/>
      <c r="I138" s="1"/>
      <c r="J138" s="1"/>
      <c r="K138" s="1"/>
      <c r="L138" s="1"/>
      <c r="M138" s="1"/>
      <c r="N138" s="1"/>
      <c r="O138" s="1"/>
      <c r="P138" s="1"/>
      <c r="Q138" s="1"/>
      <c r="R138" s="1"/>
      <c r="S138" s="1"/>
      <c r="T138" s="1"/>
      <c r="U138" s="1"/>
      <c r="V138" s="1"/>
      <c r="W138" s="1"/>
      <c r="X138" s="1"/>
      <c r="Y138" s="1"/>
      <c r="Z138" s="1"/>
    </row>
    <row r="139" spans="2:26" ht="14.4">
      <c r="B139" s="2192"/>
      <c r="C139" s="2197" t="s">
        <v>49</v>
      </c>
      <c r="D139" s="2186">
        <f>SUM(D140:D142)</f>
        <v>0.8125556237748438</v>
      </c>
      <c r="E139" s="2186">
        <f>SUM(E140:E142)</f>
        <v>0.81563348598611207</v>
      </c>
      <c r="F139" s="1"/>
      <c r="G139" s="1"/>
      <c r="H139" s="1"/>
      <c r="I139" s="1"/>
      <c r="J139" s="1"/>
      <c r="K139" s="1"/>
      <c r="L139" s="1"/>
      <c r="M139" s="1"/>
      <c r="N139" s="1"/>
      <c r="O139" s="1"/>
      <c r="P139" s="1"/>
      <c r="Q139" s="1"/>
      <c r="R139" s="1"/>
      <c r="S139" s="1"/>
      <c r="T139" s="1"/>
      <c r="U139" s="1"/>
      <c r="V139" s="1"/>
      <c r="W139" s="1"/>
      <c r="X139" s="1"/>
      <c r="Y139" s="1"/>
      <c r="Z139" s="1"/>
    </row>
    <row r="140" spans="2:26" ht="15.6">
      <c r="B140" s="2192"/>
      <c r="C140" s="2194" t="s">
        <v>1892</v>
      </c>
      <c r="D140" s="2195">
        <f>E140/_xlfn.XLOOKUP(C140,C$4:C$7,E$4:E$7,"ERROR")*_xlfn.XLOOKUP(C140,C$4:C$7,D$4:D$7,"ERROR")</f>
        <v>0</v>
      </c>
      <c r="E140" s="2195">
        <v>0</v>
      </c>
      <c r="F140" s="1"/>
      <c r="G140" s="1"/>
      <c r="H140" s="1"/>
      <c r="I140" s="1"/>
      <c r="J140" s="1"/>
      <c r="K140" s="1"/>
      <c r="L140" s="1"/>
      <c r="M140" s="1"/>
      <c r="N140" s="1"/>
      <c r="O140" s="1"/>
      <c r="P140" s="1"/>
      <c r="Q140" s="1"/>
      <c r="R140" s="1"/>
      <c r="S140" s="1"/>
      <c r="T140" s="1"/>
      <c r="U140" s="1"/>
      <c r="V140" s="1"/>
      <c r="W140" s="1"/>
      <c r="X140" s="1"/>
      <c r="Y140" s="1"/>
      <c r="Z140" s="1"/>
    </row>
    <row r="141" spans="2:26" ht="15.6">
      <c r="B141" s="2192"/>
      <c r="C141" s="2194" t="s">
        <v>1893</v>
      </c>
      <c r="D141" s="2195">
        <f t="shared" ref="D141:D142" si="46">E141/_xlfn.XLOOKUP(C141,C$4:C$7,E$4:E$7,"ERROR")*_xlfn.XLOOKUP(C141,C$4:C$7,D$4:D$7,"ERROR")</f>
        <v>0</v>
      </c>
      <c r="E141" s="2195">
        <v>0</v>
      </c>
      <c r="F141" s="1"/>
      <c r="G141" s="1"/>
      <c r="H141" s="1"/>
      <c r="I141" s="1"/>
      <c r="J141" s="1"/>
      <c r="K141" s="1"/>
      <c r="L141" s="1"/>
      <c r="M141" s="1"/>
      <c r="N141" s="1"/>
      <c r="O141" s="1"/>
      <c r="P141" s="1"/>
      <c r="Q141" s="1"/>
      <c r="R141" s="1"/>
      <c r="S141" s="1"/>
      <c r="T141" s="1"/>
      <c r="U141" s="1"/>
      <c r="V141" s="1"/>
      <c r="W141" s="1"/>
      <c r="X141" s="1"/>
      <c r="Y141" s="1"/>
      <c r="Z141" s="1"/>
    </row>
    <row r="142" spans="2:26" ht="15.6">
      <c r="B142" s="2192"/>
      <c r="C142" s="2194" t="s">
        <v>1894</v>
      </c>
      <c r="D142" s="2195">
        <f t="shared" si="46"/>
        <v>0.8125556237748438</v>
      </c>
      <c r="E142" s="2195">
        <f>Agricultural!E233</f>
        <v>0.81563348598611207</v>
      </c>
      <c r="F142" s="1"/>
      <c r="G142" s="1"/>
      <c r="H142" s="1"/>
      <c r="I142" s="1"/>
      <c r="J142" s="1"/>
      <c r="K142" s="1"/>
      <c r="L142" s="1"/>
      <c r="M142" s="1"/>
      <c r="N142" s="1"/>
      <c r="O142" s="1"/>
      <c r="P142" s="1"/>
      <c r="Q142" s="1"/>
      <c r="R142" s="1"/>
      <c r="S142" s="1"/>
      <c r="T142" s="1"/>
      <c r="U142" s="1"/>
      <c r="V142" s="1"/>
      <c r="W142" s="1"/>
      <c r="X142" s="1"/>
      <c r="Y142" s="1"/>
      <c r="Z142" s="1"/>
    </row>
    <row r="143" spans="2:26" ht="14.4">
      <c r="B143" s="2192"/>
      <c r="C143" s="2197" t="s">
        <v>50</v>
      </c>
      <c r="D143" s="2186">
        <f>SUM(D144:D146)</f>
        <v>1.7250228368499237E-2</v>
      </c>
      <c r="E143" s="2186">
        <f>SUM(E144:E146)</f>
        <v>7.1772343261893648E-3</v>
      </c>
      <c r="F143" s="1"/>
      <c r="G143" s="1"/>
      <c r="H143" s="1"/>
      <c r="I143" s="1"/>
      <c r="J143" s="1"/>
      <c r="K143" s="1"/>
      <c r="L143" s="1"/>
      <c r="M143" s="1"/>
      <c r="N143" s="1"/>
      <c r="O143" s="1"/>
      <c r="P143" s="1"/>
      <c r="Q143" s="1"/>
      <c r="R143" s="1"/>
      <c r="S143" s="1"/>
      <c r="T143" s="1"/>
      <c r="U143" s="1"/>
      <c r="V143" s="1"/>
      <c r="W143" s="1"/>
      <c r="X143" s="1"/>
      <c r="Y143" s="1"/>
      <c r="Z143" s="1"/>
    </row>
    <row r="144" spans="2:26" ht="15.6">
      <c r="B144" s="2192"/>
      <c r="C144" s="2194" t="s">
        <v>1892</v>
      </c>
      <c r="D144" s="2195">
        <f>E144/_xlfn.XLOOKUP(C144,C$4:C$7,E$4:E$7,"ERROR")*_xlfn.XLOOKUP(C144,C$4:C$7,D$4:D$7,"ERROR")</f>
        <v>0</v>
      </c>
      <c r="E144" s="2195">
        <v>0</v>
      </c>
      <c r="F144" s="1"/>
      <c r="G144" s="1"/>
      <c r="H144" s="1"/>
      <c r="I144" s="1"/>
      <c r="J144" s="1"/>
      <c r="K144" s="1"/>
      <c r="L144" s="1"/>
      <c r="M144" s="1"/>
      <c r="N144" s="1"/>
      <c r="O144" s="1"/>
      <c r="P144" s="1"/>
      <c r="Q144" s="1"/>
      <c r="R144" s="1"/>
      <c r="S144" s="1"/>
      <c r="T144" s="1"/>
      <c r="U144" s="1"/>
      <c r="V144" s="1"/>
      <c r="W144" s="1"/>
      <c r="X144" s="1"/>
      <c r="Y144" s="1"/>
      <c r="Z144" s="1"/>
    </row>
    <row r="145" spans="2:26" ht="15.6">
      <c r="B145" s="2192"/>
      <c r="C145" s="2194" t="s">
        <v>1893</v>
      </c>
      <c r="D145" s="2195">
        <f t="shared" ref="D145:D146" si="47">E145/_xlfn.XLOOKUP(C145,C$4:C$7,E$4:E$7,"ERROR")*_xlfn.XLOOKUP(C145,C$4:C$7,D$4:D$7,"ERROR")</f>
        <v>1.5121585624510204E-2</v>
      </c>
      <c r="E145" s="2195">
        <f>Agricultural!E243</f>
        <v>5.0405285415034019E-3</v>
      </c>
      <c r="F145" s="1"/>
      <c r="G145" s="1"/>
      <c r="H145" s="1"/>
      <c r="I145" s="1"/>
      <c r="J145" s="1"/>
      <c r="K145" s="1"/>
      <c r="L145" s="1"/>
      <c r="M145" s="1"/>
      <c r="N145" s="1"/>
      <c r="O145" s="1"/>
      <c r="P145" s="1"/>
      <c r="Q145" s="1"/>
      <c r="R145" s="1"/>
      <c r="S145" s="1"/>
      <c r="T145" s="1"/>
      <c r="U145" s="1"/>
      <c r="V145" s="1"/>
      <c r="W145" s="1"/>
      <c r="X145" s="1"/>
      <c r="Y145" s="1"/>
      <c r="Z145" s="1"/>
    </row>
    <row r="146" spans="2:26" ht="15.6">
      <c r="B146" s="2192"/>
      <c r="C146" s="2194" t="s">
        <v>1894</v>
      </c>
      <c r="D146" s="2195">
        <f t="shared" si="47"/>
        <v>2.128642743989034E-3</v>
      </c>
      <c r="E146" s="2195">
        <f>Agricultural!E247</f>
        <v>2.1367057846859625E-3</v>
      </c>
      <c r="F146" s="1"/>
      <c r="G146" s="1"/>
      <c r="H146" s="1"/>
      <c r="I146" s="1"/>
      <c r="J146" s="1"/>
      <c r="K146" s="1"/>
      <c r="L146" s="1"/>
      <c r="M146" s="1"/>
      <c r="N146" s="1"/>
      <c r="O146" s="1"/>
      <c r="P146" s="1"/>
      <c r="Q146" s="1"/>
      <c r="R146" s="1"/>
      <c r="S146" s="1"/>
      <c r="T146" s="1"/>
      <c r="U146" s="1"/>
      <c r="V146" s="1"/>
      <c r="W146" s="1"/>
      <c r="X146" s="1"/>
      <c r="Y146" s="1"/>
      <c r="Z146" s="1"/>
    </row>
    <row r="147" spans="2:26" ht="14.4">
      <c r="B147" s="2192"/>
      <c r="C147" s="2197" t="s">
        <v>1905</v>
      </c>
      <c r="D147" s="2186">
        <f>SUM(D148:D150)</f>
        <v>0.11012606</v>
      </c>
      <c r="E147" s="2186">
        <f>SUM(E148:E150)</f>
        <v>0.11012606</v>
      </c>
      <c r="F147" s="1"/>
      <c r="G147" s="1"/>
      <c r="H147" s="1"/>
      <c r="I147" s="1"/>
      <c r="J147" s="1"/>
      <c r="K147" s="1"/>
      <c r="L147" s="1"/>
      <c r="M147" s="1"/>
      <c r="N147" s="1"/>
      <c r="O147" s="1"/>
      <c r="P147" s="1"/>
      <c r="Q147" s="1"/>
      <c r="R147" s="1"/>
      <c r="S147" s="1"/>
      <c r="T147" s="1"/>
      <c r="U147" s="1"/>
      <c r="V147" s="1"/>
      <c r="W147" s="1"/>
      <c r="X147" s="1"/>
      <c r="Y147" s="1"/>
      <c r="Z147" s="1"/>
    </row>
    <row r="148" spans="2:26" ht="15.6">
      <c r="B148" s="2192"/>
      <c r="C148" s="2194" t="s">
        <v>1892</v>
      </c>
      <c r="D148" s="2195">
        <f>E148/_xlfn.XLOOKUP(C148,C$4:C$7,E$4:E$7,"ERROR")*_xlfn.XLOOKUP(C148,C$4:C$7,D$4:D$7,"ERROR")</f>
        <v>0.11012606</v>
      </c>
      <c r="E148" s="2195">
        <f>Agriculture_Liming!G8+Agriculture_Liming!G22</f>
        <v>0.11012606</v>
      </c>
      <c r="F148" s="1"/>
      <c r="G148" s="1"/>
      <c r="H148" s="1"/>
      <c r="I148" s="1"/>
      <c r="J148" s="1"/>
      <c r="K148" s="1"/>
      <c r="L148" s="1"/>
      <c r="M148" s="1"/>
      <c r="N148" s="1"/>
      <c r="O148" s="1"/>
      <c r="P148" s="1"/>
      <c r="Q148" s="1"/>
      <c r="R148" s="1"/>
      <c r="S148" s="1"/>
      <c r="T148" s="1"/>
      <c r="U148" s="1"/>
      <c r="V148" s="1"/>
      <c r="W148" s="1"/>
      <c r="X148" s="1"/>
      <c r="Y148" s="1"/>
      <c r="Z148" s="1"/>
    </row>
    <row r="149" spans="2:26" ht="15.6">
      <c r="B149" s="2192"/>
      <c r="C149" s="2194" t="s">
        <v>1893</v>
      </c>
      <c r="D149" s="2195">
        <f t="shared" ref="D149:D150" si="48">E149/_xlfn.XLOOKUP(C149,C$4:C$7,E$4:E$7,"ERROR")*_xlfn.XLOOKUP(C149,C$4:C$7,D$4:D$7,"ERROR")</f>
        <v>0</v>
      </c>
      <c r="E149" s="2195">
        <v>0</v>
      </c>
      <c r="F149" s="1"/>
      <c r="G149" s="1"/>
      <c r="H149" s="1"/>
      <c r="I149" s="1"/>
      <c r="J149" s="1"/>
      <c r="K149" s="1"/>
      <c r="L149" s="1"/>
      <c r="M149" s="1"/>
      <c r="N149" s="1"/>
      <c r="O149" s="1"/>
      <c r="P149" s="1"/>
      <c r="Q149" s="1"/>
      <c r="R149" s="1"/>
      <c r="S149" s="1"/>
      <c r="T149" s="1"/>
      <c r="U149" s="1"/>
      <c r="V149" s="1"/>
      <c r="W149" s="1"/>
      <c r="X149" s="1"/>
      <c r="Y149" s="1"/>
      <c r="Z149" s="1"/>
    </row>
    <row r="150" spans="2:26" ht="15.6">
      <c r="B150" s="2196"/>
      <c r="C150" s="2194" t="s">
        <v>1894</v>
      </c>
      <c r="D150" s="2195">
        <f t="shared" si="48"/>
        <v>0</v>
      </c>
      <c r="E150" s="2195">
        <v>0</v>
      </c>
      <c r="F150" s="1"/>
      <c r="G150" s="1"/>
      <c r="H150" s="1"/>
      <c r="I150" s="1"/>
      <c r="J150" s="1"/>
      <c r="K150" s="1"/>
      <c r="L150" s="1"/>
      <c r="M150" s="1"/>
      <c r="N150" s="1"/>
      <c r="O150" s="1"/>
      <c r="P150" s="1"/>
      <c r="Q150" s="1"/>
      <c r="R150" s="1"/>
      <c r="S150" s="1"/>
      <c r="T150" s="1"/>
      <c r="U150" s="1"/>
      <c r="V150" s="1"/>
      <c r="W150" s="1"/>
      <c r="X150" s="1"/>
      <c r="Y150" s="1"/>
      <c r="Z150" s="1"/>
    </row>
    <row r="151" spans="2:26" ht="14.4">
      <c r="B151" s="2200" t="s">
        <v>51</v>
      </c>
      <c r="C151" s="2201"/>
      <c r="D151" s="2199">
        <f t="shared" ref="D151" si="49">D152+D156+D160+D164</f>
        <v>9.573508905430133</v>
      </c>
      <c r="E151" s="2199">
        <f t="shared" ref="E151" si="50">E152+E156+E160+E164</f>
        <v>4.6018621258690979</v>
      </c>
      <c r="F151" s="1"/>
      <c r="G151" s="1"/>
      <c r="H151" s="1"/>
      <c r="I151" s="1"/>
      <c r="J151" s="1"/>
      <c r="K151" s="1"/>
      <c r="L151" s="1"/>
      <c r="M151" s="1"/>
      <c r="N151" s="1"/>
      <c r="O151" s="1"/>
      <c r="P151" s="1"/>
      <c r="Q151" s="1"/>
      <c r="R151" s="1"/>
      <c r="S151" s="1"/>
      <c r="T151" s="1"/>
      <c r="U151" s="1"/>
      <c r="V151" s="1"/>
      <c r="W151" s="1"/>
      <c r="X151" s="1"/>
      <c r="Y151" s="1"/>
      <c r="Z151" s="1"/>
    </row>
    <row r="152" spans="2:26" ht="14.4">
      <c r="B152" s="2190"/>
      <c r="C152" s="2197" t="s">
        <v>52</v>
      </c>
      <c r="D152" s="2186">
        <f>SUM(D153:D155)</f>
        <v>1.4388139931447346</v>
      </c>
      <c r="E152" s="2186">
        <f>SUM(E153:E155)</f>
        <v>1.4383505426152741</v>
      </c>
      <c r="F152" s="1"/>
      <c r="G152" s="1"/>
      <c r="H152" s="1"/>
      <c r="I152" s="1"/>
      <c r="J152" s="1"/>
      <c r="K152" s="1"/>
      <c r="L152" s="1"/>
      <c r="M152" s="1"/>
      <c r="N152" s="1"/>
      <c r="O152" s="1"/>
      <c r="P152" s="1"/>
      <c r="Q152" s="1"/>
      <c r="R152" s="1"/>
      <c r="S152" s="1"/>
      <c r="T152" s="1"/>
      <c r="U152" s="1"/>
      <c r="V152" s="1"/>
      <c r="W152" s="1"/>
      <c r="X152" s="1"/>
      <c r="Y152" s="1"/>
      <c r="Z152" s="1"/>
    </row>
    <row r="153" spans="2:26" ht="15.6">
      <c r="B153" s="2192"/>
      <c r="C153" s="2194" t="s">
        <v>1892</v>
      </c>
      <c r="D153" s="2195">
        <f>E153/_xlfn.XLOOKUP(C153,C$4:C$7,E$4:E$7,"ERROR")*_xlfn.XLOOKUP(C153,C$4:C$7,D$4:D$7,"ERROR")</f>
        <v>1.4294177546745599</v>
      </c>
      <c r="E153" s="2195">
        <f>(Incinerators!AC23*0.9072)/1000000</f>
        <v>1.4294177546745599</v>
      </c>
      <c r="F153" s="1"/>
      <c r="G153" s="1"/>
      <c r="H153" s="1"/>
      <c r="I153" s="1"/>
      <c r="J153" s="1"/>
      <c r="K153" s="1"/>
      <c r="L153" s="1"/>
      <c r="M153" s="1"/>
      <c r="N153" s="1"/>
      <c r="O153" s="1"/>
      <c r="P153" s="1"/>
      <c r="Q153" s="1"/>
      <c r="R153" s="1"/>
      <c r="S153" s="1"/>
      <c r="T153" s="1"/>
      <c r="U153" s="1"/>
      <c r="V153" s="1"/>
      <c r="W153" s="1"/>
      <c r="X153" s="1"/>
      <c r="Y153" s="1"/>
      <c r="Z153" s="1"/>
    </row>
    <row r="154" spans="2:26" ht="15.6">
      <c r="B154" s="2192"/>
      <c r="C154" s="2194" t="s">
        <v>1893</v>
      </c>
      <c r="D154" s="2195">
        <f t="shared" ref="D154:D155" si="51">E154/_xlfn.XLOOKUP(C154,C$4:C$7,E$4:E$7,"ERROR")*_xlfn.XLOOKUP(C154,C$4:C$7,D$4:D$7,"ERROR")</f>
        <v>7.4433434038266957E-4</v>
      </c>
      <c r="E154" s="2195">
        <f>(Incinerators!AC29*0.9072)/1000000</f>
        <v>2.4811144679422317E-4</v>
      </c>
      <c r="F154" s="1"/>
      <c r="G154" s="1"/>
      <c r="H154" s="1"/>
      <c r="I154" s="1"/>
      <c r="J154" s="1"/>
      <c r="K154" s="1"/>
      <c r="L154" s="1"/>
      <c r="M154" s="1"/>
      <c r="N154" s="1"/>
      <c r="O154" s="1"/>
      <c r="P154" s="1"/>
      <c r="Q154" s="1"/>
      <c r="R154" s="1"/>
      <c r="S154" s="1"/>
      <c r="T154" s="1"/>
      <c r="U154" s="1"/>
      <c r="V154" s="1"/>
      <c r="W154" s="1"/>
      <c r="X154" s="1"/>
      <c r="Y154" s="1"/>
      <c r="Z154" s="1"/>
    </row>
    <row r="155" spans="2:26" ht="15.6">
      <c r="B155" s="2192"/>
      <c r="C155" s="2194" t="s">
        <v>1894</v>
      </c>
      <c r="D155" s="2195">
        <f t="shared" si="51"/>
        <v>8.6519041297920003E-3</v>
      </c>
      <c r="E155" s="2195">
        <f>Incinerators!AC35*0.9072/1000000</f>
        <v>8.6846764939199992E-3</v>
      </c>
      <c r="F155" s="1"/>
      <c r="G155" s="1"/>
      <c r="H155" s="1"/>
      <c r="I155" s="1"/>
      <c r="J155" s="1"/>
      <c r="K155" s="1"/>
      <c r="L155" s="1"/>
      <c r="M155" s="1"/>
      <c r="N155" s="1"/>
      <c r="O155" s="1"/>
      <c r="P155" s="1"/>
      <c r="Q155" s="1"/>
      <c r="R155" s="1"/>
      <c r="S155" s="1"/>
      <c r="T155" s="1"/>
      <c r="U155" s="1"/>
      <c r="V155" s="1"/>
      <c r="W155" s="1"/>
      <c r="X155" s="1"/>
      <c r="Y155" s="1"/>
      <c r="Z155" s="1"/>
    </row>
    <row r="156" spans="2:26" ht="14.4">
      <c r="B156" s="2192"/>
      <c r="C156" s="2197" t="s">
        <v>53</v>
      </c>
      <c r="D156" s="2186">
        <f>SUM(D157:D159)</f>
        <v>6.3828545356817488</v>
      </c>
      <c r="E156" s="2186">
        <f>SUM(E157:E159)</f>
        <v>2.4577647810036094</v>
      </c>
      <c r="F156" s="1"/>
      <c r="G156" s="1"/>
      <c r="H156" s="1"/>
      <c r="I156" s="1"/>
      <c r="J156" s="1"/>
      <c r="K156" s="1"/>
      <c r="L156" s="1"/>
      <c r="M156" s="1"/>
      <c r="N156" s="1"/>
      <c r="O156" s="1"/>
      <c r="P156" s="1"/>
      <c r="Q156" s="1"/>
      <c r="R156" s="1"/>
      <c r="S156" s="1"/>
      <c r="T156" s="1"/>
      <c r="U156" s="1"/>
      <c r="V156" s="1"/>
      <c r="W156" s="1"/>
      <c r="X156" s="1"/>
      <c r="Y156" s="1"/>
      <c r="Z156" s="1"/>
    </row>
    <row r="157" spans="2:26" ht="15.6">
      <c r="B157" s="2192"/>
      <c r="C157" s="2194" t="s">
        <v>1892</v>
      </c>
      <c r="D157" s="2195">
        <f>E157/_xlfn.XLOOKUP(C157,C$4:C$7,E$4:E$7,"ERROR")*_xlfn.XLOOKUP(C157,C$4:C$7,D$4:D$7,"ERROR")</f>
        <v>0.49521990366453977</v>
      </c>
      <c r="E157" s="2195">
        <f>Landfills!U104+Landfills!U108</f>
        <v>0.49521990366453977</v>
      </c>
      <c r="F157" s="1"/>
      <c r="G157" s="1"/>
      <c r="H157" s="1"/>
      <c r="I157" s="1"/>
      <c r="J157" s="1"/>
      <c r="K157" s="1"/>
      <c r="L157" s="1"/>
      <c r="M157" s="1"/>
      <c r="N157" s="1"/>
      <c r="O157" s="1"/>
      <c r="P157" s="1"/>
      <c r="Q157" s="1"/>
      <c r="R157" s="1"/>
      <c r="S157" s="1"/>
      <c r="T157" s="1"/>
      <c r="U157" s="1"/>
      <c r="V157" s="1"/>
      <c r="W157" s="1"/>
      <c r="X157" s="1"/>
      <c r="Y157" s="1"/>
      <c r="Z157" s="1"/>
    </row>
    <row r="158" spans="2:26" ht="15.6">
      <c r="B158" s="2192"/>
      <c r="C158" s="2194" t="s">
        <v>1893</v>
      </c>
      <c r="D158" s="2195">
        <f t="shared" ref="D158:D159" si="52">E158/_xlfn.XLOOKUP(C158,C$4:C$7,E$4:E$7,"ERROR")*_xlfn.XLOOKUP(C158,C$4:C$7,D$4:D$7,"ERROR")</f>
        <v>5.8876346320172086</v>
      </c>
      <c r="E158" s="2195">
        <f>Landfills!U111</f>
        <v>1.9625448773390695</v>
      </c>
      <c r="F158" s="1"/>
      <c r="G158" s="1"/>
      <c r="H158" s="1"/>
      <c r="I158" s="1"/>
      <c r="J158" s="1"/>
      <c r="K158" s="1"/>
      <c r="L158" s="1"/>
      <c r="M158" s="1"/>
      <c r="N158" s="1"/>
      <c r="O158" s="1"/>
      <c r="P158" s="1"/>
      <c r="Q158" s="1"/>
      <c r="R158" s="1"/>
      <c r="S158" s="1"/>
      <c r="T158" s="1"/>
      <c r="U158" s="1"/>
      <c r="V158" s="1"/>
      <c r="W158" s="1"/>
      <c r="X158" s="1"/>
      <c r="Y158" s="1"/>
      <c r="Z158" s="1"/>
    </row>
    <row r="159" spans="2:26" ht="15.6">
      <c r="B159" s="2192"/>
      <c r="C159" s="2194" t="s">
        <v>1894</v>
      </c>
      <c r="D159" s="2195">
        <f t="shared" si="52"/>
        <v>0</v>
      </c>
      <c r="E159" s="2195">
        <v>0</v>
      </c>
      <c r="F159" s="1"/>
      <c r="G159" s="1"/>
      <c r="H159" s="1"/>
      <c r="I159" s="1"/>
      <c r="J159" s="1"/>
      <c r="K159" s="1"/>
      <c r="L159" s="1"/>
      <c r="M159" s="1"/>
      <c r="N159" s="1"/>
      <c r="O159" s="1"/>
      <c r="P159" s="1"/>
      <c r="Q159" s="1"/>
      <c r="R159" s="1"/>
      <c r="S159" s="1"/>
      <c r="T159" s="1"/>
      <c r="U159" s="1"/>
      <c r="V159" s="1"/>
      <c r="W159" s="1"/>
      <c r="X159" s="1"/>
      <c r="Y159" s="1"/>
      <c r="Z159" s="1"/>
    </row>
    <row r="160" spans="2:26" ht="14.4">
      <c r="B160" s="2192"/>
      <c r="C160" s="2197" t="s">
        <v>54</v>
      </c>
      <c r="D160" s="2186">
        <f>SUM(D161:D163)</f>
        <v>1.7188403766036497</v>
      </c>
      <c r="E160" s="2186">
        <f>SUM(E161:E163)</f>
        <v>0.67274680225021388</v>
      </c>
      <c r="F160" s="1"/>
      <c r="G160" s="1"/>
      <c r="H160" s="1"/>
      <c r="I160" s="1"/>
      <c r="J160" s="1"/>
      <c r="K160" s="1"/>
      <c r="L160" s="1"/>
      <c r="M160" s="1"/>
      <c r="N160" s="1"/>
      <c r="O160" s="1"/>
      <c r="P160" s="1"/>
      <c r="Q160" s="1"/>
      <c r="R160" s="1"/>
      <c r="S160" s="1"/>
      <c r="T160" s="1"/>
      <c r="U160" s="1"/>
      <c r="V160" s="1"/>
      <c r="W160" s="1"/>
      <c r="X160" s="1"/>
      <c r="Y160" s="1"/>
      <c r="Z160" s="1"/>
    </row>
    <row r="161" spans="2:26" ht="15.6">
      <c r="B161" s="2192"/>
      <c r="C161" s="2194" t="s">
        <v>1892</v>
      </c>
      <c r="D161" s="2195">
        <f>E161/_xlfn.XLOOKUP(C161,C$4:C$7,E$4:E$7,"ERROR")*_xlfn.XLOOKUP(C161,C$4:C$7,D$4:D$7,"ERROR")</f>
        <v>0</v>
      </c>
      <c r="E161" s="2195">
        <v>0</v>
      </c>
      <c r="F161" s="1"/>
      <c r="G161" s="1"/>
      <c r="H161" s="1"/>
      <c r="I161" s="1"/>
      <c r="J161" s="1"/>
      <c r="K161" s="1"/>
      <c r="L161" s="1"/>
      <c r="M161" s="1"/>
      <c r="N161" s="1"/>
      <c r="O161" s="1"/>
      <c r="P161" s="1"/>
      <c r="Q161" s="1"/>
      <c r="R161" s="1"/>
      <c r="S161" s="1"/>
      <c r="T161" s="1"/>
      <c r="U161" s="1"/>
      <c r="V161" s="1"/>
      <c r="W161" s="1"/>
      <c r="X161" s="1"/>
      <c r="Y161" s="1"/>
      <c r="Z161" s="1"/>
    </row>
    <row r="162" spans="2:26" ht="15.6">
      <c r="B162" s="2192"/>
      <c r="C162" s="2194" t="s">
        <v>1893</v>
      </c>
      <c r="D162" s="2195">
        <f t="shared" ref="D162:D163" si="53">E162/_xlfn.XLOOKUP(C162,C$4:C$7,E$4:E$7,"ERROR")*_xlfn.XLOOKUP(C162,C$4:C$7,D$4:D$7,"ERROR")</f>
        <v>1.5699861243271793</v>
      </c>
      <c r="E162" s="2195">
        <f>Wastewater!C29+Wastewater!C31</f>
        <v>0.52332870810905985</v>
      </c>
      <c r="F162" s="1"/>
      <c r="G162" s="1"/>
      <c r="H162" s="1"/>
      <c r="I162" s="1"/>
      <c r="J162" s="1"/>
      <c r="K162" s="1"/>
      <c r="L162" s="1"/>
      <c r="M162" s="1"/>
      <c r="N162" s="1"/>
      <c r="O162" s="1"/>
      <c r="P162" s="1"/>
      <c r="Q162" s="1"/>
      <c r="R162" s="1"/>
      <c r="S162" s="1"/>
      <c r="T162" s="1"/>
      <c r="U162" s="1"/>
      <c r="V162" s="1"/>
      <c r="W162" s="1"/>
      <c r="X162" s="1"/>
      <c r="Y162" s="1"/>
      <c r="Z162" s="1"/>
    </row>
    <row r="163" spans="2:26" ht="15.6">
      <c r="B163" s="2192"/>
      <c r="C163" s="2194" t="s">
        <v>1894</v>
      </c>
      <c r="D163" s="2195">
        <f t="shared" si="53"/>
        <v>0.14885425227647039</v>
      </c>
      <c r="E163" s="2195">
        <f>Wastewater!C30</f>
        <v>0.14941809414115398</v>
      </c>
      <c r="F163" s="1"/>
      <c r="G163" s="1"/>
      <c r="H163" s="1"/>
      <c r="I163" s="1"/>
      <c r="J163" s="1"/>
      <c r="K163" s="1"/>
      <c r="L163" s="1"/>
      <c r="M163" s="1"/>
      <c r="N163" s="1"/>
      <c r="O163" s="1"/>
      <c r="P163" s="1"/>
      <c r="Q163" s="1"/>
      <c r="R163" s="1"/>
      <c r="S163" s="1"/>
      <c r="T163" s="1"/>
      <c r="U163" s="1"/>
      <c r="V163" s="1"/>
      <c r="W163" s="1"/>
      <c r="X163" s="1"/>
      <c r="Y163" s="1"/>
      <c r="Z163" s="1"/>
    </row>
    <row r="164" spans="2:26" ht="14.4">
      <c r="B164" s="2192"/>
      <c r="C164" s="2197" t="s">
        <v>55</v>
      </c>
      <c r="D164" s="2186">
        <f>SUM(D165:D167)</f>
        <v>3.3000000000000002E-2</v>
      </c>
      <c r="E164" s="2186">
        <f>SUM(E165:E167)</f>
        <v>3.3000000000000002E-2</v>
      </c>
      <c r="F164" s="1"/>
      <c r="G164" s="1"/>
      <c r="H164" s="1"/>
      <c r="I164" s="1"/>
      <c r="J164" s="1"/>
      <c r="K164" s="1"/>
      <c r="L164" s="1"/>
      <c r="M164" s="1"/>
      <c r="N164" s="1"/>
      <c r="O164" s="1"/>
      <c r="P164" s="1"/>
      <c r="Q164" s="1"/>
      <c r="R164" s="1"/>
      <c r="S164" s="1"/>
      <c r="T164" s="1"/>
      <c r="U164" s="1"/>
      <c r="V164" s="1"/>
      <c r="W164" s="1"/>
      <c r="X164" s="1"/>
      <c r="Y164" s="1"/>
      <c r="Z164" s="1"/>
    </row>
    <row r="165" spans="2:26" ht="15.6">
      <c r="B165" s="2192"/>
      <c r="C165" s="2194" t="s">
        <v>1892</v>
      </c>
      <c r="D165" s="2195">
        <f>E165/_xlfn.XLOOKUP(C165,C$4:C$7,E$4:E$7,"ERROR")*_xlfn.XLOOKUP(C165,C$4:C$7,D$4:D$7,"ERROR")</f>
        <v>3.3000000000000002E-2</v>
      </c>
      <c r="E165" s="2195">
        <f>OpenBurn!D7</f>
        <v>3.3000000000000002E-2</v>
      </c>
      <c r="F165" s="1"/>
      <c r="G165" s="1"/>
      <c r="H165" s="1"/>
      <c r="I165" s="1"/>
      <c r="J165" s="1"/>
      <c r="K165" s="1"/>
      <c r="L165" s="1"/>
      <c r="M165" s="1"/>
      <c r="N165" s="1"/>
      <c r="O165" s="1"/>
      <c r="P165" s="1"/>
      <c r="Q165" s="1"/>
      <c r="R165" s="1"/>
      <c r="S165" s="1"/>
      <c r="T165" s="1"/>
      <c r="U165" s="1"/>
      <c r="V165" s="1"/>
      <c r="W165" s="1"/>
      <c r="X165" s="1"/>
      <c r="Y165" s="1"/>
      <c r="Z165" s="1"/>
    </row>
    <row r="166" spans="2:26" ht="15.6">
      <c r="B166" s="2192"/>
      <c r="C166" s="2194" t="s">
        <v>1893</v>
      </c>
      <c r="D166" s="2195">
        <f t="shared" ref="D166:D167" si="54">E166/_xlfn.XLOOKUP(C166,C$4:C$7,E$4:E$7,"ERROR")*_xlfn.XLOOKUP(C166,C$4:C$7,D$4:D$7,"ERROR")</f>
        <v>0</v>
      </c>
      <c r="E166" s="2195">
        <v>0</v>
      </c>
      <c r="F166" s="1"/>
      <c r="G166" s="1"/>
      <c r="H166" s="1"/>
      <c r="I166" s="1"/>
      <c r="J166" s="1"/>
      <c r="K166" s="1"/>
      <c r="L166" s="1"/>
      <c r="M166" s="1"/>
      <c r="N166" s="1"/>
      <c r="O166" s="1"/>
      <c r="P166" s="1"/>
      <c r="Q166" s="1"/>
      <c r="R166" s="1"/>
      <c r="S166" s="1"/>
      <c r="T166" s="1"/>
      <c r="U166" s="1"/>
      <c r="V166" s="1"/>
      <c r="W166" s="1"/>
      <c r="X166" s="1"/>
      <c r="Y166" s="1"/>
      <c r="Z166" s="1"/>
    </row>
    <row r="167" spans="2:26" ht="15.6">
      <c r="B167" s="2196"/>
      <c r="C167" s="2194" t="s">
        <v>1894</v>
      </c>
      <c r="D167" s="2195">
        <f t="shared" si="54"/>
        <v>0</v>
      </c>
      <c r="E167" s="2195">
        <v>0</v>
      </c>
      <c r="F167" s="1"/>
      <c r="G167" s="1"/>
      <c r="H167" s="1"/>
      <c r="I167" s="1"/>
      <c r="J167" s="1"/>
      <c r="K167" s="1"/>
      <c r="L167" s="1"/>
      <c r="M167" s="1"/>
      <c r="N167" s="1"/>
      <c r="O167" s="1"/>
      <c r="P167" s="1"/>
      <c r="Q167" s="1"/>
      <c r="R167" s="1"/>
      <c r="S167" s="1"/>
      <c r="T167" s="1"/>
      <c r="U167" s="1"/>
      <c r="V167" s="1"/>
      <c r="W167" s="1"/>
      <c r="X167" s="1"/>
      <c r="Y167" s="1"/>
      <c r="Z167" s="1"/>
    </row>
    <row r="168" spans="2:26" ht="14.4">
      <c r="B168" s="2225" t="s">
        <v>56</v>
      </c>
      <c r="C168" s="2226"/>
      <c r="D168" s="2189">
        <f t="shared" ref="D168" si="55">D151+D130+D93+D80+D47+D30+D11</f>
        <v>114.22014627694183</v>
      </c>
      <c r="E168" s="2189">
        <f t="shared" ref="E168" si="56">E151+E130+E93+E80+E47+E30+E11</f>
        <v>102.06298905070504</v>
      </c>
      <c r="F168" s="1"/>
      <c r="G168" s="1"/>
      <c r="H168" s="1"/>
      <c r="I168" s="1"/>
      <c r="J168" s="1"/>
      <c r="K168" s="1"/>
      <c r="L168" s="1"/>
      <c r="M168" s="1"/>
      <c r="N168" s="1"/>
      <c r="O168" s="1"/>
      <c r="P168" s="1"/>
      <c r="Q168" s="1"/>
      <c r="R168" s="1"/>
      <c r="S168" s="1"/>
      <c r="T168" s="1"/>
      <c r="U168" s="1"/>
      <c r="V168" s="1"/>
      <c r="W168" s="1"/>
      <c r="X168" s="1"/>
      <c r="Y168" s="1"/>
      <c r="Z168" s="1"/>
    </row>
    <row r="169" spans="2:26" ht="14.4">
      <c r="B169" s="2202"/>
      <c r="C169" s="2203"/>
      <c r="D169" s="2204"/>
      <c r="E169" s="2205"/>
      <c r="F169" s="1"/>
      <c r="G169" s="1"/>
      <c r="H169" s="1"/>
      <c r="I169" s="1"/>
      <c r="J169" s="1"/>
      <c r="K169" s="1"/>
      <c r="L169" s="1"/>
      <c r="M169" s="1"/>
      <c r="N169" s="1"/>
      <c r="O169" s="1"/>
      <c r="P169" s="1"/>
      <c r="Q169" s="1"/>
      <c r="R169" s="1"/>
      <c r="S169" s="1"/>
      <c r="T169" s="1"/>
      <c r="U169" s="1"/>
      <c r="V169" s="1"/>
      <c r="W169" s="1"/>
      <c r="X169" s="1"/>
      <c r="Y169" s="1"/>
      <c r="Z169" s="1"/>
    </row>
    <row r="170" spans="2:26" ht="14.4">
      <c r="B170" s="2225" t="s">
        <v>57</v>
      </c>
      <c r="C170" s="2226"/>
      <c r="D170" s="2189">
        <f t="shared" ref="D170" si="57">D171+D172+D173+D175+D178+D179</f>
        <v>-8.5560684314357882</v>
      </c>
      <c r="E170" s="2189">
        <f t="shared" ref="E170" si="58">E171+E172+E173+E175+E178+E179</f>
        <v>-9.3438924728087827</v>
      </c>
      <c r="F170" s="1"/>
      <c r="G170" s="1"/>
      <c r="H170" s="1"/>
      <c r="I170" s="1"/>
      <c r="J170" s="1"/>
      <c r="K170" s="1"/>
      <c r="L170" s="1"/>
      <c r="M170" s="1"/>
      <c r="N170" s="1"/>
      <c r="O170" s="1"/>
      <c r="P170" s="1"/>
      <c r="Q170" s="1"/>
      <c r="R170" s="1"/>
      <c r="S170" s="1"/>
      <c r="T170" s="1"/>
      <c r="U170" s="1"/>
      <c r="V170" s="1"/>
      <c r="W170" s="1"/>
      <c r="X170" s="1"/>
      <c r="Y170" s="1"/>
      <c r="Z170" s="1"/>
    </row>
    <row r="171" spans="2:26" ht="14.4">
      <c r="B171" s="2190"/>
      <c r="C171" s="2191" t="s">
        <v>58</v>
      </c>
      <c r="D171" s="2195">
        <f>E171</f>
        <v>-7.9136360000000012</v>
      </c>
      <c r="E171" s="2195">
        <f>Land_Use!C238</f>
        <v>-7.9136360000000012</v>
      </c>
      <c r="F171" s="1"/>
      <c r="G171" s="1"/>
      <c r="H171" s="1"/>
      <c r="I171" s="1"/>
      <c r="J171" s="1"/>
      <c r="K171" s="1"/>
      <c r="L171" s="1"/>
      <c r="M171" s="1"/>
      <c r="N171" s="1"/>
      <c r="O171" s="1"/>
      <c r="P171" s="1"/>
      <c r="Q171" s="1"/>
      <c r="R171" s="1"/>
      <c r="S171" s="1"/>
      <c r="T171" s="1"/>
      <c r="U171" s="1"/>
      <c r="V171" s="1"/>
      <c r="W171" s="1"/>
      <c r="X171" s="1"/>
      <c r="Y171" s="1"/>
      <c r="Z171" s="1"/>
    </row>
    <row r="172" spans="2:26" ht="14.4">
      <c r="B172" s="2192"/>
      <c r="C172" s="2191" t="s">
        <v>59</v>
      </c>
      <c r="D172" s="2195">
        <f>E172</f>
        <v>-0.93822819744427544</v>
      </c>
      <c r="E172" s="2195">
        <f>Land_Use!C245</f>
        <v>-0.93822819744427544</v>
      </c>
      <c r="F172" s="1"/>
      <c r="G172" s="1"/>
      <c r="H172" s="1"/>
      <c r="I172" s="1"/>
      <c r="J172" s="1"/>
      <c r="K172" s="1"/>
      <c r="L172" s="1"/>
      <c r="M172" s="1"/>
      <c r="N172" s="1"/>
      <c r="O172" s="1"/>
      <c r="P172" s="1"/>
      <c r="Q172" s="1"/>
      <c r="R172" s="1"/>
      <c r="S172" s="1"/>
      <c r="T172" s="1"/>
      <c r="U172" s="1"/>
      <c r="V172" s="1"/>
      <c r="W172" s="1"/>
      <c r="X172" s="1"/>
      <c r="Y172" s="1"/>
      <c r="Z172" s="1"/>
    </row>
    <row r="173" spans="2:26" ht="14.4">
      <c r="B173" s="2192"/>
      <c r="C173" s="2191" t="s">
        <v>60</v>
      </c>
      <c r="D173" s="2206">
        <f t="shared" ref="D173" si="59">D174</f>
        <v>1.6550186399999996E-2</v>
      </c>
      <c r="E173" s="2206">
        <f t="shared" ref="E173" si="60">E174</f>
        <v>1.6612876499999998E-2</v>
      </c>
      <c r="F173" s="1"/>
      <c r="G173" s="1"/>
      <c r="H173" s="1"/>
      <c r="I173" s="1"/>
      <c r="J173" s="1"/>
      <c r="K173" s="1"/>
      <c r="L173" s="1"/>
      <c r="M173" s="1"/>
      <c r="N173" s="1"/>
      <c r="O173" s="1"/>
      <c r="P173" s="1"/>
      <c r="Q173" s="1"/>
      <c r="R173" s="1"/>
      <c r="S173" s="1"/>
      <c r="T173" s="1"/>
      <c r="U173" s="1"/>
      <c r="V173" s="1"/>
      <c r="W173" s="1"/>
      <c r="X173" s="1"/>
      <c r="Y173" s="1"/>
      <c r="Z173" s="1"/>
    </row>
    <row r="174" spans="2:26" ht="15.6">
      <c r="B174" s="2192"/>
      <c r="C174" s="2194" t="s">
        <v>1894</v>
      </c>
      <c r="D174" s="2195">
        <f>E174/_xlfn.XLOOKUP(C174,C$4:C$7,E$4:E$7,"ERROR")*_xlfn.XLOOKUP(C174,C$4:C$7,D$4:D$7,"ERROR")</f>
        <v>1.6550186399999996E-2</v>
      </c>
      <c r="E174" s="2195">
        <f>Land_Use!C249</f>
        <v>1.6612876499999998E-2</v>
      </c>
      <c r="F174" s="1"/>
      <c r="G174" s="1"/>
      <c r="H174" s="1"/>
      <c r="I174" s="1"/>
      <c r="J174" s="1"/>
      <c r="K174" s="1"/>
      <c r="L174" s="1"/>
      <c r="M174" s="1"/>
      <c r="N174" s="1"/>
      <c r="O174" s="1"/>
      <c r="P174" s="1"/>
      <c r="Q174" s="1"/>
      <c r="R174" s="1"/>
      <c r="S174" s="1"/>
      <c r="T174" s="1"/>
      <c r="U174" s="1"/>
      <c r="V174" s="1"/>
      <c r="W174" s="1"/>
      <c r="X174" s="1"/>
      <c r="Y174" s="1"/>
      <c r="Z174" s="1"/>
    </row>
    <row r="175" spans="2:26" ht="14.4">
      <c r="B175" s="2192"/>
      <c r="C175" s="2191" t="s">
        <v>61</v>
      </c>
      <c r="D175" s="2206">
        <f t="shared" ref="D175" si="61">D176+D177</f>
        <v>0.18665031640803839</v>
      </c>
      <c r="E175" s="2206">
        <f t="shared" ref="E175" si="62">E176+E177</f>
        <v>6.7339237264091995E-2</v>
      </c>
      <c r="F175" s="1"/>
      <c r="G175" s="1"/>
      <c r="H175" s="1"/>
      <c r="I175" s="1"/>
      <c r="J175" s="1"/>
      <c r="K175" s="1"/>
      <c r="L175" s="1"/>
      <c r="M175" s="1"/>
      <c r="N175" s="1"/>
      <c r="O175" s="1"/>
      <c r="P175" s="1"/>
      <c r="Q175" s="1"/>
      <c r="R175" s="1"/>
      <c r="S175" s="1"/>
      <c r="T175" s="1"/>
      <c r="U175" s="1"/>
      <c r="V175" s="1"/>
      <c r="W175" s="1"/>
      <c r="X175" s="1"/>
      <c r="Y175" s="1"/>
      <c r="Z175" s="1"/>
    </row>
    <row r="176" spans="2:26" ht="15.6">
      <c r="B176" s="2192"/>
      <c r="C176" s="2194" t="s">
        <v>1893</v>
      </c>
      <c r="D176" s="2195">
        <f>E176/_xlfn.XLOOKUP(C176,C$4:C$7,E$4:E$7,"ERROR")*_xlfn.XLOOKUP(C176,C$4:C$7,D$4:D$7,"ERROR")</f>
        <v>0.17901002943734398</v>
      </c>
      <c r="E176" s="2195">
        <f>Land_Use!C251</f>
        <v>5.9670009812447994E-2</v>
      </c>
      <c r="F176" s="1"/>
      <c r="G176" s="1"/>
      <c r="H176" s="1"/>
      <c r="I176" s="1"/>
      <c r="J176" s="1"/>
      <c r="K176" s="1"/>
      <c r="L176" s="1"/>
      <c r="M176" s="1"/>
      <c r="N176" s="1"/>
      <c r="O176" s="1"/>
      <c r="P176" s="1"/>
      <c r="Q176" s="1"/>
      <c r="R176" s="1"/>
      <c r="S176" s="1"/>
      <c r="T176" s="1"/>
      <c r="U176" s="1"/>
      <c r="V176" s="1"/>
      <c r="W176" s="1"/>
      <c r="X176" s="1"/>
      <c r="Y176" s="1"/>
      <c r="Z176" s="1"/>
    </row>
    <row r="177" spans="2:26" ht="15.6">
      <c r="B177" s="2192"/>
      <c r="C177" s="2194" t="s">
        <v>1894</v>
      </c>
      <c r="D177" s="2195">
        <f>E177/_xlfn.XLOOKUP(C177,C$4:C$7,E$4:E$7,"ERROR")*_xlfn.XLOOKUP(C177,C$4:C$7,D$4:D$7,"ERROR")</f>
        <v>7.6402869706943995E-3</v>
      </c>
      <c r="E177" s="2195">
        <f>Land_Use!C252</f>
        <v>7.6692274516439998E-3</v>
      </c>
      <c r="F177" s="1"/>
      <c r="G177" s="1"/>
      <c r="H177" s="1"/>
      <c r="I177" s="1"/>
      <c r="J177" s="1"/>
      <c r="K177" s="1"/>
      <c r="L177" s="1"/>
      <c r="M177" s="1"/>
      <c r="N177" s="1"/>
      <c r="O177" s="1"/>
      <c r="P177" s="1"/>
      <c r="Q177" s="1"/>
      <c r="R177" s="1"/>
      <c r="S177" s="1"/>
      <c r="T177" s="1"/>
      <c r="U177" s="1"/>
      <c r="V177" s="1"/>
      <c r="W177" s="1"/>
      <c r="X177" s="1"/>
      <c r="Y177" s="1"/>
      <c r="Z177" s="1"/>
    </row>
    <row r="178" spans="2:26" ht="14.4">
      <c r="B178" s="2192"/>
      <c r="C178" s="2191" t="s">
        <v>62</v>
      </c>
      <c r="D178" s="2195">
        <f>E178</f>
        <v>-0.29799999999999999</v>
      </c>
      <c r="E178" s="2195">
        <f>Land_Use!C253</f>
        <v>-0.29799999999999999</v>
      </c>
      <c r="F178" s="1"/>
      <c r="G178" s="1"/>
      <c r="H178" s="1"/>
      <c r="I178" s="1"/>
      <c r="J178" s="1"/>
      <c r="K178" s="1"/>
      <c r="L178" s="1"/>
      <c r="M178" s="1"/>
      <c r="N178" s="1"/>
      <c r="O178" s="1"/>
      <c r="P178" s="1"/>
      <c r="Q178" s="1"/>
      <c r="R178" s="1"/>
      <c r="S178" s="1"/>
      <c r="T178" s="1"/>
      <c r="U178" s="1"/>
      <c r="V178" s="1"/>
      <c r="W178" s="1"/>
      <c r="X178" s="1"/>
      <c r="Y178" s="1"/>
      <c r="Z178" s="1"/>
    </row>
    <row r="179" spans="2:26" ht="14.4">
      <c r="B179" s="2192"/>
      <c r="C179" s="2191" t="s">
        <v>63</v>
      </c>
      <c r="D179" s="2206">
        <f t="shared" ref="D179" si="63">D180+D181</f>
        <v>0.39059526320045113</v>
      </c>
      <c r="E179" s="2206">
        <f t="shared" ref="E179" si="64">E180+E181</f>
        <v>-0.27798038912859746</v>
      </c>
      <c r="F179" s="1"/>
      <c r="G179" s="1"/>
      <c r="H179" s="1"/>
      <c r="I179" s="1"/>
      <c r="J179" s="1"/>
      <c r="K179" s="1"/>
      <c r="L179" s="1"/>
      <c r="M179" s="1"/>
      <c r="N179" s="1"/>
      <c r="O179" s="1"/>
      <c r="P179" s="1"/>
      <c r="Q179" s="1"/>
      <c r="R179" s="1"/>
      <c r="S179" s="1"/>
      <c r="T179" s="1"/>
      <c r="U179" s="1"/>
      <c r="V179" s="1"/>
      <c r="W179" s="1"/>
      <c r="X179" s="1"/>
      <c r="Y179" s="1"/>
      <c r="Z179" s="1"/>
    </row>
    <row r="180" spans="2:26" ht="15.6">
      <c r="B180" s="2192"/>
      <c r="C180" s="2194" t="s">
        <v>1892</v>
      </c>
      <c r="D180" s="2195">
        <f>E180/_xlfn.XLOOKUP(C180,C$4:C$7,E$4:E$7,"ERROR")*_xlfn.XLOOKUP(C180,C$4:C$7,D$4:D$7,"ERROR")</f>
        <v>-0.6122682152931217</v>
      </c>
      <c r="E180" s="2195">
        <f>Land_Use!C255</f>
        <v>-0.6122682152931217</v>
      </c>
      <c r="F180" s="1"/>
      <c r="G180" s="1"/>
      <c r="H180" s="1"/>
      <c r="I180" s="1"/>
      <c r="J180" s="1"/>
      <c r="K180" s="1"/>
      <c r="L180" s="1"/>
      <c r="M180" s="1"/>
      <c r="N180" s="1"/>
      <c r="O180" s="1"/>
      <c r="P180" s="1"/>
      <c r="Q180" s="1"/>
      <c r="R180" s="1"/>
      <c r="S180" s="1"/>
      <c r="T180" s="1"/>
      <c r="U180" s="1"/>
      <c r="V180" s="1"/>
      <c r="W180" s="1"/>
      <c r="X180" s="1"/>
      <c r="Y180" s="1"/>
      <c r="Z180" s="1"/>
    </row>
    <row r="181" spans="2:26" ht="15.6">
      <c r="B181" s="2196"/>
      <c r="C181" s="2194" t="s">
        <v>1893</v>
      </c>
      <c r="D181" s="2195">
        <f>E181/_xlfn.XLOOKUP(C181,C$4:C$7,E$4:E$7,"ERROR")*_xlfn.XLOOKUP(C181,C$4:C$7,D$4:D$7,"ERROR")</f>
        <v>1.0028634784935728</v>
      </c>
      <c r="E181" s="2195">
        <f>Land_Use!C256</f>
        <v>0.33428782616452424</v>
      </c>
      <c r="F181" s="1"/>
      <c r="G181" s="1"/>
      <c r="H181" s="1"/>
      <c r="I181" s="1"/>
      <c r="J181" s="1"/>
      <c r="K181" s="1"/>
      <c r="L181" s="1"/>
      <c r="M181" s="1"/>
      <c r="N181" s="1"/>
      <c r="O181" s="1"/>
      <c r="P181" s="1"/>
      <c r="Q181" s="1"/>
      <c r="R181" s="1"/>
      <c r="S181" s="1"/>
      <c r="T181" s="1"/>
      <c r="U181" s="1"/>
      <c r="V181" s="1"/>
      <c r="W181" s="1"/>
      <c r="X181" s="1"/>
      <c r="Y181" s="1"/>
      <c r="Z181" s="1"/>
    </row>
    <row r="182" spans="2:26" ht="14.4">
      <c r="B182" s="2227" t="s">
        <v>64</v>
      </c>
      <c r="C182" s="2228"/>
      <c r="D182" s="2189">
        <f t="shared" ref="D182" si="65">D168+D170</f>
        <v>105.66407784550604</v>
      </c>
      <c r="E182" s="2189">
        <f t="shared" ref="E182" si="66">E168+E170</f>
        <v>92.719096577896266</v>
      </c>
      <c r="F182" s="1"/>
      <c r="G182" s="1"/>
      <c r="H182" s="1"/>
      <c r="I182" s="1"/>
      <c r="J182" s="1"/>
      <c r="K182" s="1"/>
      <c r="L182" s="1"/>
      <c r="M182" s="1"/>
      <c r="N182" s="1"/>
      <c r="O182" s="1"/>
      <c r="P182" s="1"/>
      <c r="Q182" s="1"/>
      <c r="R182" s="1"/>
      <c r="S182" s="1"/>
      <c r="T182" s="1"/>
      <c r="U182" s="1"/>
      <c r="V182" s="1"/>
      <c r="W182" s="1"/>
      <c r="X182" s="1"/>
      <c r="Y182" s="1"/>
      <c r="Z182" s="1"/>
    </row>
    <row r="183" spans="2:26" ht="15" thickBot="1">
      <c r="B183" s="2208"/>
      <c r="C183" s="2209"/>
      <c r="D183" s="2207"/>
      <c r="E183" s="2207"/>
      <c r="F183" s="1"/>
      <c r="G183" s="1"/>
      <c r="H183" s="1"/>
      <c r="I183" s="1"/>
      <c r="J183" s="1"/>
      <c r="K183" s="1"/>
      <c r="L183" s="1"/>
      <c r="M183" s="1"/>
      <c r="N183" s="1"/>
      <c r="O183" s="1"/>
      <c r="P183" s="1"/>
      <c r="Q183" s="1"/>
      <c r="R183" s="1"/>
      <c r="S183" s="1"/>
      <c r="T183" s="1"/>
      <c r="U183" s="1"/>
      <c r="V183" s="1"/>
      <c r="W183" s="1"/>
      <c r="X183" s="1"/>
      <c r="Y183" s="1"/>
      <c r="Z183" s="1"/>
    </row>
    <row r="184" spans="2:26" ht="14.4">
      <c r="B184" s="1"/>
      <c r="C184" s="1"/>
      <c r="D184" s="32"/>
      <c r="E184" s="31"/>
      <c r="F184" s="1"/>
      <c r="G184" s="1"/>
      <c r="H184" s="1"/>
      <c r="I184" s="1"/>
      <c r="J184" s="1"/>
      <c r="K184" s="1"/>
      <c r="L184" s="1"/>
      <c r="M184" s="1"/>
      <c r="N184" s="1"/>
      <c r="O184" s="1"/>
      <c r="P184" s="1"/>
      <c r="Q184" s="1"/>
      <c r="R184" s="1"/>
      <c r="S184" s="1"/>
      <c r="T184" s="1"/>
      <c r="U184" s="1"/>
      <c r="V184" s="1"/>
      <c r="W184" s="1"/>
      <c r="X184" s="1"/>
      <c r="Y184" s="1"/>
      <c r="Z184" s="1"/>
    </row>
    <row r="185" spans="2:26" ht="15" thickBot="1">
      <c r="B185" s="1"/>
      <c r="C185" s="1"/>
      <c r="D185" s="33"/>
      <c r="E185" s="31"/>
      <c r="F185" s="1"/>
      <c r="G185" s="1"/>
      <c r="H185" s="1"/>
      <c r="I185" s="1"/>
      <c r="J185" s="1"/>
      <c r="K185" s="1"/>
      <c r="L185" s="1"/>
      <c r="M185" s="1"/>
      <c r="N185" s="1"/>
      <c r="O185" s="1"/>
      <c r="P185" s="1"/>
      <c r="Q185" s="1"/>
      <c r="R185" s="1"/>
      <c r="S185" s="1"/>
      <c r="T185" s="1"/>
      <c r="U185" s="1"/>
      <c r="V185" s="1"/>
      <c r="W185" s="1"/>
      <c r="X185" s="1"/>
      <c r="Y185" s="1"/>
      <c r="Z185" s="1"/>
    </row>
    <row r="186" spans="2:26" ht="14.4">
      <c r="B186" s="2210"/>
      <c r="C186" s="2211"/>
      <c r="D186" s="2212" t="s">
        <v>1890</v>
      </c>
      <c r="E186" s="2213" t="s">
        <v>1891</v>
      </c>
      <c r="F186" s="1"/>
      <c r="G186" s="1"/>
      <c r="H186" s="1"/>
      <c r="I186" s="1"/>
      <c r="J186" s="1"/>
      <c r="K186" s="1"/>
      <c r="L186" s="1"/>
      <c r="M186" s="1"/>
      <c r="N186" s="1"/>
      <c r="O186" s="1"/>
      <c r="P186" s="1"/>
      <c r="Q186" s="1"/>
      <c r="R186" s="1"/>
      <c r="S186" s="1"/>
      <c r="T186" s="1"/>
      <c r="U186" s="1"/>
      <c r="V186" s="1"/>
      <c r="W186" s="1"/>
      <c r="X186" s="1"/>
      <c r="Y186" s="1"/>
      <c r="Z186" s="1"/>
    </row>
    <row r="187" spans="2:26" ht="14.4">
      <c r="B187" s="2210"/>
      <c r="C187" s="2214" t="s">
        <v>65</v>
      </c>
      <c r="D187" s="2215">
        <f>D11</f>
        <v>37.877432788613689</v>
      </c>
      <c r="E187" s="2216">
        <f t="shared" ref="E187" si="67">E11</f>
        <v>37.851631414583636</v>
      </c>
      <c r="F187" s="1"/>
      <c r="G187" s="1"/>
      <c r="H187" s="1"/>
      <c r="I187" s="1"/>
      <c r="J187" s="1"/>
      <c r="K187" s="1"/>
      <c r="L187" s="1"/>
      <c r="M187" s="1"/>
      <c r="N187" s="1"/>
      <c r="O187" s="1"/>
      <c r="P187" s="1"/>
      <c r="Q187" s="1"/>
      <c r="R187" s="1"/>
      <c r="S187" s="1"/>
      <c r="T187" s="1"/>
      <c r="U187" s="1"/>
      <c r="V187" s="1"/>
      <c r="W187" s="1"/>
      <c r="X187" s="1"/>
      <c r="Y187" s="1"/>
      <c r="Z187" s="1"/>
    </row>
    <row r="188" spans="2:26" ht="14.4">
      <c r="B188" s="2210"/>
      <c r="C188" s="2214" t="s">
        <v>66</v>
      </c>
      <c r="D188" s="2215">
        <f>D30</f>
        <v>15.373424795345901</v>
      </c>
      <c r="E188" s="2216">
        <f t="shared" ref="E188" si="68">E30</f>
        <v>15.084213077367663</v>
      </c>
      <c r="F188" s="1"/>
      <c r="G188" s="1"/>
      <c r="H188" s="1"/>
      <c r="I188" s="1"/>
      <c r="J188" s="1"/>
      <c r="K188" s="1"/>
      <c r="L188" s="1"/>
      <c r="M188" s="1"/>
      <c r="N188" s="1"/>
      <c r="O188" s="1"/>
      <c r="P188" s="1"/>
      <c r="Q188" s="1"/>
      <c r="R188" s="1"/>
      <c r="S188" s="1"/>
      <c r="T188" s="1"/>
      <c r="U188" s="1"/>
      <c r="V188" s="1"/>
      <c r="W188" s="1"/>
      <c r="X188" s="1"/>
      <c r="Y188" s="1"/>
      <c r="Z188" s="1"/>
    </row>
    <row r="189" spans="2:26" ht="14.4">
      <c r="B189" s="2210"/>
      <c r="C189" s="2214" t="s">
        <v>67</v>
      </c>
      <c r="D189" s="2215">
        <f>D48+D56</f>
        <v>28.266262672844618</v>
      </c>
      <c r="E189" s="2216">
        <f t="shared" ref="E189" si="69">E48+E56</f>
        <v>28.249073186393829</v>
      </c>
      <c r="F189" s="1"/>
      <c r="G189" s="1"/>
      <c r="H189" s="1"/>
      <c r="I189" s="1"/>
      <c r="J189" s="1"/>
      <c r="K189" s="1"/>
      <c r="L189" s="1"/>
      <c r="M189" s="1"/>
      <c r="N189" s="1"/>
      <c r="O189" s="1"/>
      <c r="P189" s="1"/>
      <c r="Q189" s="1"/>
      <c r="R189" s="1"/>
      <c r="S189" s="1"/>
      <c r="T189" s="1"/>
      <c r="U189" s="1"/>
      <c r="V189" s="1"/>
      <c r="W189" s="1"/>
      <c r="X189" s="1"/>
      <c r="Y189" s="1"/>
      <c r="Z189" s="1"/>
    </row>
    <row r="190" spans="2:26" ht="14.4">
      <c r="C190" s="2214" t="s">
        <v>68</v>
      </c>
      <c r="D190" s="2215">
        <f>D52+D60+D64+D68+D72+D76</f>
        <v>8.3668573512128965</v>
      </c>
      <c r="E190" s="2216">
        <f t="shared" ref="E190" si="70">E52+E60+E64+E68+E72+E76</f>
        <v>8.3415235353835868</v>
      </c>
      <c r="F190" s="1"/>
      <c r="G190" s="1"/>
      <c r="H190" s="1"/>
      <c r="I190" s="1"/>
      <c r="J190" s="1"/>
      <c r="K190" s="1"/>
      <c r="L190" s="1"/>
      <c r="M190" s="1"/>
      <c r="N190" s="1"/>
      <c r="O190" s="1"/>
      <c r="P190" s="1"/>
      <c r="Q190" s="1"/>
      <c r="R190" s="1"/>
      <c r="S190" s="1"/>
      <c r="T190" s="1"/>
      <c r="U190" s="1"/>
      <c r="V190" s="1"/>
      <c r="W190" s="1"/>
      <c r="X190" s="1"/>
      <c r="Y190" s="1"/>
      <c r="Z190" s="1"/>
    </row>
    <row r="191" spans="2:26" ht="14.4">
      <c r="C191" s="2214" t="str">
        <f>B80</f>
        <v>Fossil Fuel Industry</v>
      </c>
      <c r="D191" s="2215">
        <f>D80</f>
        <v>3.6392709455316554</v>
      </c>
      <c r="E191" s="2216">
        <f t="shared" ref="E191" si="71">E80</f>
        <v>1.4110491985893625</v>
      </c>
      <c r="F191" s="1"/>
      <c r="G191" s="1"/>
      <c r="H191" s="1"/>
      <c r="I191" s="1"/>
      <c r="J191" s="1"/>
      <c r="K191" s="1"/>
      <c r="L191" s="1"/>
      <c r="M191" s="1"/>
      <c r="N191" s="1"/>
      <c r="O191" s="1"/>
      <c r="P191" s="1"/>
      <c r="Q191" s="1"/>
      <c r="R191" s="1"/>
      <c r="S191" s="1"/>
      <c r="T191" s="1"/>
      <c r="U191" s="1"/>
      <c r="V191" s="1"/>
      <c r="W191" s="1"/>
      <c r="X191" s="1"/>
      <c r="Y191" s="1"/>
      <c r="Z191" s="1"/>
    </row>
    <row r="192" spans="2:26" ht="14.4">
      <c r="C192" s="2214" t="str">
        <f>B93</f>
        <v>Industrial Processes and Product Use</v>
      </c>
      <c r="D192" s="2215">
        <f>D93</f>
        <v>8.1227905454762741</v>
      </c>
      <c r="E192" s="2216">
        <f t="shared" ref="E192" si="72">E93</f>
        <v>4.7723553201441673</v>
      </c>
      <c r="F192" s="1"/>
      <c r="G192" s="1"/>
      <c r="H192" s="1"/>
      <c r="I192" s="1"/>
      <c r="J192" s="1"/>
      <c r="K192" s="1"/>
      <c r="L192" s="1"/>
      <c r="M192" s="1"/>
      <c r="N192" s="1"/>
      <c r="O192" s="1"/>
      <c r="P192" s="1"/>
      <c r="Q192" s="1"/>
      <c r="R192" s="1"/>
      <c r="S192" s="1"/>
      <c r="T192" s="1"/>
      <c r="U192" s="1"/>
      <c r="V192" s="1"/>
      <c r="W192" s="1"/>
      <c r="X192" s="1"/>
      <c r="Y192" s="1"/>
      <c r="Z192" s="1"/>
    </row>
    <row r="193" spans="2:26" ht="14.4">
      <c r="C193" s="2214" t="str">
        <f>B130</f>
        <v>Agriculture</v>
      </c>
      <c r="D193" s="2215">
        <f>D130</f>
        <v>3.0005982724866644</v>
      </c>
      <c r="E193" s="2216">
        <f t="shared" ref="E193" si="73">E130</f>
        <v>1.7512811923737004</v>
      </c>
      <c r="F193" s="1"/>
      <c r="G193" s="1"/>
      <c r="H193" s="1"/>
      <c r="I193" s="1"/>
      <c r="J193" s="1"/>
      <c r="K193" s="1"/>
      <c r="L193" s="1"/>
      <c r="M193" s="1"/>
      <c r="N193" s="1"/>
      <c r="O193" s="1"/>
      <c r="P193" s="1"/>
      <c r="Q193" s="1"/>
      <c r="R193" s="1"/>
      <c r="S193" s="1"/>
      <c r="T193" s="1"/>
      <c r="U193" s="1"/>
      <c r="V193" s="1"/>
      <c r="W193" s="1"/>
      <c r="X193" s="1"/>
      <c r="Y193" s="1"/>
      <c r="Z193" s="1"/>
    </row>
    <row r="194" spans="2:26" ht="14.4">
      <c r="C194" s="2214" t="str">
        <f>B151</f>
        <v>Waste Management</v>
      </c>
      <c r="D194" s="2215">
        <f>D151</f>
        <v>9.573508905430133</v>
      </c>
      <c r="E194" s="2216">
        <f>E151</f>
        <v>4.6018621258690979</v>
      </c>
      <c r="F194" s="1"/>
      <c r="G194" s="1"/>
      <c r="H194" s="1"/>
      <c r="I194" s="1"/>
      <c r="J194" s="1"/>
      <c r="K194" s="1"/>
      <c r="L194" s="1"/>
      <c r="M194" s="1"/>
      <c r="N194" s="1"/>
      <c r="O194" s="1"/>
      <c r="P194" s="1"/>
      <c r="Q194" s="1"/>
      <c r="R194" s="1"/>
      <c r="S194" s="1"/>
      <c r="T194" s="1"/>
      <c r="U194" s="1"/>
      <c r="V194" s="1"/>
      <c r="W194" s="1"/>
      <c r="X194" s="1"/>
      <c r="Y194" s="1"/>
      <c r="Z194" s="1"/>
    </row>
    <row r="195" spans="2:26" ht="15" thickBot="1">
      <c r="C195" s="2217"/>
      <c r="D195" s="2224">
        <f t="shared" ref="D195:E195" si="74">SUM(D187:D194)</f>
        <v>114.22014627694183</v>
      </c>
      <c r="E195" s="2218">
        <f t="shared" si="74"/>
        <v>102.06298905070506</v>
      </c>
      <c r="F195" s="1"/>
      <c r="G195" s="1"/>
      <c r="H195" s="1"/>
      <c r="I195" s="1"/>
      <c r="J195" s="1"/>
      <c r="K195" s="1"/>
      <c r="L195" s="1"/>
      <c r="M195" s="1"/>
      <c r="N195" s="1"/>
      <c r="O195" s="1"/>
      <c r="P195" s="1"/>
      <c r="Q195" s="1"/>
      <c r="R195" s="1"/>
      <c r="S195" s="1"/>
      <c r="T195" s="1"/>
      <c r="U195" s="1"/>
      <c r="V195" s="1"/>
      <c r="W195" s="1"/>
      <c r="X195" s="1"/>
      <c r="Y195" s="1"/>
      <c r="Z195" s="1"/>
    </row>
    <row r="196" spans="2:26" ht="14.4">
      <c r="B196" s="1"/>
      <c r="C196" s="1"/>
      <c r="E196" s="31"/>
      <c r="F196" s="1"/>
      <c r="G196" s="1"/>
      <c r="H196" s="1"/>
      <c r="I196" s="1"/>
      <c r="J196" s="1"/>
      <c r="K196" s="1"/>
      <c r="L196" s="1"/>
      <c r="M196" s="1"/>
      <c r="N196" s="1"/>
      <c r="O196" s="1"/>
      <c r="P196" s="1"/>
      <c r="Q196" s="1"/>
      <c r="R196" s="1"/>
      <c r="S196" s="1"/>
      <c r="T196" s="1"/>
      <c r="U196" s="1"/>
      <c r="V196" s="1"/>
      <c r="W196" s="1"/>
      <c r="X196" s="1"/>
      <c r="Y196" s="1"/>
      <c r="Z196" s="1"/>
    </row>
    <row r="197" spans="2:26" ht="14.4">
      <c r="B197" s="1"/>
      <c r="C197" s="1"/>
      <c r="E197" s="31"/>
      <c r="F197" s="1"/>
      <c r="G197" s="1"/>
      <c r="H197" s="1"/>
      <c r="I197" s="1"/>
      <c r="J197" s="1"/>
      <c r="K197" s="1"/>
      <c r="L197" s="1"/>
      <c r="M197" s="1"/>
      <c r="N197" s="1"/>
      <c r="O197" s="1"/>
      <c r="P197" s="1"/>
      <c r="Q197" s="1"/>
      <c r="R197" s="1"/>
      <c r="S197" s="1"/>
      <c r="T197" s="1"/>
      <c r="U197" s="1"/>
      <c r="V197" s="1"/>
      <c r="W197" s="1"/>
      <c r="X197" s="1"/>
      <c r="Y197" s="1"/>
      <c r="Z197" s="1"/>
    </row>
    <row r="198" spans="2:26" ht="14.4">
      <c r="B198" s="1"/>
      <c r="C198" s="1"/>
      <c r="E198" s="31"/>
      <c r="F198" s="1"/>
      <c r="G198" s="1"/>
      <c r="H198" s="1"/>
      <c r="I198" s="1"/>
      <c r="J198" s="1"/>
      <c r="K198" s="1"/>
      <c r="L198" s="1"/>
      <c r="M198" s="1"/>
      <c r="N198" s="1"/>
      <c r="O198" s="1"/>
      <c r="P198" s="1"/>
      <c r="Q198" s="1"/>
      <c r="R198" s="1"/>
      <c r="S198" s="1"/>
      <c r="T198" s="1"/>
      <c r="U198" s="1"/>
      <c r="V198" s="1"/>
      <c r="W198" s="1"/>
      <c r="X198" s="1"/>
      <c r="Y198" s="1"/>
      <c r="Z198" s="1"/>
    </row>
    <row r="199" spans="2:26" ht="14.4">
      <c r="B199" s="1"/>
      <c r="C199" s="1"/>
      <c r="D199" s="1"/>
      <c r="E199" s="31"/>
      <c r="F199" s="1"/>
      <c r="G199" s="1"/>
      <c r="H199" s="1"/>
      <c r="I199" s="1"/>
      <c r="J199" s="1"/>
      <c r="K199" s="1"/>
      <c r="L199" s="1"/>
      <c r="M199" s="1"/>
      <c r="N199" s="1"/>
      <c r="O199" s="1"/>
      <c r="P199" s="1"/>
      <c r="Q199" s="1"/>
      <c r="R199" s="1"/>
      <c r="S199" s="1"/>
      <c r="T199" s="1"/>
      <c r="U199" s="1"/>
      <c r="V199" s="1"/>
      <c r="W199" s="1"/>
      <c r="X199" s="1"/>
      <c r="Y199" s="1"/>
      <c r="Z199" s="1"/>
    </row>
    <row r="200" spans="2:26" ht="14.4">
      <c r="B200" s="1"/>
      <c r="C200" s="1"/>
      <c r="D200" s="1"/>
      <c r="E200" s="31"/>
      <c r="F200" s="1"/>
      <c r="G200" s="1"/>
      <c r="H200" s="1"/>
      <c r="I200" s="1"/>
      <c r="J200" s="1"/>
      <c r="K200" s="1"/>
      <c r="L200" s="1"/>
      <c r="M200" s="1"/>
      <c r="N200" s="1"/>
      <c r="O200" s="1"/>
      <c r="P200" s="1"/>
      <c r="Q200" s="1"/>
      <c r="R200" s="1"/>
      <c r="S200" s="1"/>
      <c r="T200" s="1"/>
      <c r="U200" s="1"/>
      <c r="V200" s="1"/>
      <c r="W200" s="1"/>
      <c r="X200" s="1"/>
      <c r="Y200" s="1"/>
      <c r="Z200" s="1"/>
    </row>
    <row r="201" spans="2:26" ht="14.4">
      <c r="B201" s="1"/>
      <c r="C201" s="1"/>
      <c r="D201" s="1"/>
      <c r="E201" s="31"/>
      <c r="F201" s="1"/>
      <c r="G201" s="1"/>
      <c r="H201" s="1"/>
      <c r="I201" s="1"/>
      <c r="J201" s="1"/>
      <c r="K201" s="1"/>
      <c r="L201" s="1"/>
      <c r="M201" s="1"/>
      <c r="N201" s="1"/>
      <c r="O201" s="1"/>
      <c r="P201" s="1"/>
      <c r="Q201" s="1"/>
      <c r="R201" s="1"/>
      <c r="S201" s="1"/>
      <c r="T201" s="1"/>
      <c r="U201" s="1"/>
      <c r="V201" s="1"/>
      <c r="W201" s="1"/>
      <c r="X201" s="1"/>
      <c r="Y201" s="1"/>
      <c r="Z201" s="1"/>
    </row>
    <row r="202" spans="2:26" ht="14.4">
      <c r="B202" s="1"/>
      <c r="C202" s="1"/>
      <c r="D202" s="1"/>
      <c r="E202" s="31"/>
      <c r="F202" s="1"/>
      <c r="G202" s="1"/>
      <c r="H202" s="1"/>
      <c r="I202" s="1"/>
      <c r="J202" s="1"/>
      <c r="K202" s="1"/>
      <c r="L202" s="1"/>
      <c r="M202" s="1"/>
      <c r="N202" s="1"/>
      <c r="O202" s="1"/>
      <c r="P202" s="1"/>
      <c r="Q202" s="1"/>
      <c r="R202" s="1"/>
      <c r="S202" s="1"/>
      <c r="T202" s="1"/>
      <c r="U202" s="1"/>
      <c r="V202" s="1"/>
      <c r="W202" s="1"/>
      <c r="X202" s="1"/>
      <c r="Y202" s="1"/>
      <c r="Z202" s="1"/>
    </row>
    <row r="203" spans="2:26" ht="14.4">
      <c r="B203" s="1"/>
      <c r="C203" s="1"/>
      <c r="D203" s="1"/>
      <c r="E203" s="31"/>
      <c r="F203" s="1"/>
      <c r="G203" s="1"/>
      <c r="H203" s="1"/>
      <c r="I203" s="1"/>
      <c r="J203" s="1"/>
      <c r="K203" s="1"/>
      <c r="L203" s="1"/>
      <c r="M203" s="1"/>
      <c r="N203" s="1"/>
      <c r="O203" s="1"/>
      <c r="P203" s="1"/>
      <c r="Q203" s="1"/>
      <c r="R203" s="1"/>
      <c r="S203" s="1"/>
      <c r="T203" s="1"/>
      <c r="U203" s="1"/>
      <c r="V203" s="1"/>
      <c r="W203" s="1"/>
      <c r="X203" s="1"/>
      <c r="Y203" s="1"/>
      <c r="Z203" s="1"/>
    </row>
    <row r="204" spans="2:26" ht="14.4">
      <c r="B204" s="1"/>
      <c r="C204" s="1"/>
      <c r="D204" s="1"/>
      <c r="E204" s="31"/>
      <c r="F204" s="1"/>
      <c r="G204" s="1"/>
      <c r="H204" s="1"/>
      <c r="I204" s="1"/>
      <c r="J204" s="1"/>
      <c r="K204" s="1"/>
      <c r="L204" s="1"/>
      <c r="M204" s="1"/>
      <c r="N204" s="1"/>
      <c r="O204" s="1"/>
      <c r="P204" s="1"/>
      <c r="Q204" s="1"/>
      <c r="R204" s="1"/>
      <c r="S204" s="1"/>
      <c r="T204" s="1"/>
      <c r="U204" s="1"/>
      <c r="V204" s="1"/>
      <c r="W204" s="1"/>
      <c r="X204" s="1"/>
      <c r="Y204" s="1"/>
      <c r="Z204" s="1"/>
    </row>
    <row r="205" spans="2:26" ht="14.4">
      <c r="B205" s="1"/>
      <c r="C205" s="1"/>
      <c r="D205" s="1"/>
      <c r="E205" s="31"/>
      <c r="F205" s="1"/>
      <c r="G205" s="1"/>
      <c r="H205" s="1"/>
      <c r="I205" s="1"/>
      <c r="J205" s="1"/>
      <c r="K205" s="1"/>
      <c r="L205" s="1"/>
      <c r="M205" s="1"/>
      <c r="N205" s="1"/>
      <c r="O205" s="1"/>
      <c r="P205" s="1"/>
      <c r="Q205" s="1"/>
      <c r="R205" s="1"/>
      <c r="S205" s="1"/>
      <c r="T205" s="1"/>
      <c r="U205" s="1"/>
      <c r="V205" s="1"/>
      <c r="W205" s="1"/>
      <c r="X205" s="1"/>
      <c r="Y205" s="1"/>
      <c r="Z205" s="1"/>
    </row>
    <row r="206" spans="2:26" ht="14.4">
      <c r="B206" s="1"/>
      <c r="C206" s="1"/>
      <c r="D206" s="1"/>
      <c r="E206" s="31"/>
      <c r="F206" s="1"/>
      <c r="G206" s="1"/>
      <c r="H206" s="1"/>
      <c r="I206" s="1"/>
      <c r="J206" s="1"/>
      <c r="K206" s="1"/>
      <c r="L206" s="1"/>
      <c r="M206" s="1"/>
      <c r="N206" s="1"/>
      <c r="O206" s="1"/>
      <c r="P206" s="1"/>
      <c r="Q206" s="1"/>
      <c r="R206" s="1"/>
      <c r="S206" s="1"/>
      <c r="T206" s="1"/>
      <c r="U206" s="1"/>
      <c r="V206" s="1"/>
      <c r="W206" s="1"/>
      <c r="X206" s="1"/>
      <c r="Y206" s="1"/>
      <c r="Z206" s="1"/>
    </row>
    <row r="207" spans="2:26" ht="14.4">
      <c r="B207" s="1"/>
      <c r="C207" s="1"/>
      <c r="D207" s="1"/>
      <c r="E207" s="31"/>
      <c r="F207" s="1"/>
      <c r="G207" s="1"/>
      <c r="H207" s="1"/>
      <c r="I207" s="1"/>
      <c r="J207" s="1"/>
      <c r="K207" s="1"/>
      <c r="L207" s="1"/>
      <c r="M207" s="1"/>
      <c r="N207" s="1"/>
      <c r="O207" s="1"/>
      <c r="P207" s="1"/>
      <c r="Q207" s="1"/>
      <c r="R207" s="1"/>
      <c r="S207" s="1"/>
      <c r="T207" s="1"/>
      <c r="U207" s="1"/>
      <c r="V207" s="1"/>
      <c r="W207" s="1"/>
      <c r="X207" s="1"/>
      <c r="Y207" s="1"/>
      <c r="Z207" s="1"/>
    </row>
    <row r="208" spans="2:26" ht="14.4">
      <c r="B208" s="1"/>
      <c r="C208" s="1"/>
      <c r="D208" s="1"/>
      <c r="E208" s="31"/>
      <c r="F208" s="1"/>
      <c r="G208" s="1"/>
      <c r="H208" s="1"/>
      <c r="I208" s="1"/>
      <c r="J208" s="1"/>
      <c r="K208" s="1"/>
      <c r="L208" s="1"/>
      <c r="M208" s="1"/>
      <c r="N208" s="1"/>
      <c r="O208" s="1"/>
      <c r="P208" s="1"/>
      <c r="Q208" s="1"/>
      <c r="R208" s="1"/>
      <c r="S208" s="1"/>
      <c r="T208" s="1"/>
      <c r="U208" s="1"/>
      <c r="V208" s="1"/>
      <c r="W208" s="1"/>
      <c r="X208" s="1"/>
      <c r="Y208" s="1"/>
      <c r="Z208" s="1"/>
    </row>
    <row r="209" spans="2:26" ht="14.4">
      <c r="B209" s="1"/>
      <c r="C209" s="1"/>
      <c r="D209" s="1"/>
      <c r="E209" s="31"/>
      <c r="F209" s="1"/>
      <c r="G209" s="1"/>
      <c r="H209" s="1"/>
      <c r="I209" s="1"/>
      <c r="J209" s="1"/>
      <c r="K209" s="1"/>
      <c r="L209" s="1"/>
      <c r="M209" s="1"/>
      <c r="N209" s="1"/>
      <c r="O209" s="1"/>
      <c r="P209" s="1"/>
      <c r="Q209" s="1"/>
      <c r="R209" s="1"/>
      <c r="S209" s="1"/>
      <c r="T209" s="1"/>
      <c r="U209" s="1"/>
      <c r="V209" s="1"/>
      <c r="W209" s="1"/>
      <c r="X209" s="1"/>
      <c r="Y209" s="1"/>
      <c r="Z209" s="1"/>
    </row>
    <row r="210" spans="2:26" ht="14.4">
      <c r="B210" s="1"/>
      <c r="C210" s="1"/>
      <c r="D210" s="1"/>
      <c r="E210" s="31"/>
      <c r="F210" s="1"/>
      <c r="G210" s="1"/>
      <c r="H210" s="1"/>
      <c r="I210" s="1"/>
      <c r="J210" s="1"/>
      <c r="K210" s="1"/>
      <c r="L210" s="1"/>
      <c r="M210" s="1"/>
      <c r="N210" s="1"/>
      <c r="O210" s="1"/>
      <c r="P210" s="1"/>
      <c r="Q210" s="1"/>
      <c r="R210" s="1"/>
      <c r="S210" s="1"/>
      <c r="T210" s="1"/>
      <c r="U210" s="1"/>
      <c r="V210" s="1"/>
      <c r="W210" s="1"/>
      <c r="X210" s="1"/>
      <c r="Y210" s="1"/>
      <c r="Z210" s="1"/>
    </row>
    <row r="211" spans="2:26" ht="14.4">
      <c r="B211" s="1"/>
      <c r="C211" s="1"/>
      <c r="D211" s="1"/>
      <c r="E211" s="31"/>
      <c r="F211" s="1"/>
      <c r="G211" s="1"/>
      <c r="H211" s="1"/>
      <c r="I211" s="1"/>
      <c r="J211" s="1"/>
      <c r="K211" s="1"/>
      <c r="L211" s="1"/>
      <c r="M211" s="1"/>
      <c r="N211" s="1"/>
      <c r="O211" s="1"/>
      <c r="P211" s="1"/>
      <c r="Q211" s="1"/>
      <c r="R211" s="1"/>
      <c r="S211" s="1"/>
      <c r="T211" s="1"/>
      <c r="U211" s="1"/>
      <c r="V211" s="1"/>
      <c r="W211" s="1"/>
      <c r="X211" s="1"/>
      <c r="Y211" s="1"/>
      <c r="Z211" s="1"/>
    </row>
    <row r="212" spans="2:26" ht="14.4">
      <c r="B212" s="1"/>
      <c r="C212" s="1"/>
      <c r="D212" s="1"/>
      <c r="E212" s="31"/>
      <c r="F212" s="1"/>
      <c r="G212" s="1"/>
      <c r="H212" s="1"/>
      <c r="I212" s="1"/>
      <c r="J212" s="1"/>
      <c r="K212" s="1"/>
      <c r="L212" s="1"/>
      <c r="M212" s="1"/>
      <c r="N212" s="1"/>
      <c r="O212" s="1"/>
      <c r="P212" s="1"/>
      <c r="Q212" s="1"/>
      <c r="R212" s="1"/>
      <c r="S212" s="1"/>
      <c r="T212" s="1"/>
      <c r="U212" s="1"/>
      <c r="V212" s="1"/>
      <c r="W212" s="1"/>
      <c r="X212" s="1"/>
      <c r="Y212" s="1"/>
      <c r="Z212" s="1"/>
    </row>
    <row r="213" spans="2:26" ht="14.4">
      <c r="B213" s="1"/>
      <c r="C213" s="1"/>
      <c r="D213" s="1"/>
      <c r="E213" s="31"/>
      <c r="F213" s="1"/>
      <c r="G213" s="1"/>
      <c r="H213" s="1"/>
      <c r="I213" s="1"/>
      <c r="J213" s="1"/>
      <c r="K213" s="1"/>
      <c r="L213" s="1"/>
      <c r="M213" s="1"/>
      <c r="N213" s="1"/>
      <c r="O213" s="1"/>
      <c r="P213" s="1"/>
      <c r="Q213" s="1"/>
      <c r="R213" s="1"/>
      <c r="S213" s="1"/>
      <c r="T213" s="1"/>
      <c r="U213" s="1"/>
      <c r="V213" s="1"/>
      <c r="W213" s="1"/>
      <c r="X213" s="1"/>
      <c r="Y213" s="1"/>
      <c r="Z213" s="1"/>
    </row>
    <row r="214" spans="2:26" ht="14.4">
      <c r="B214" s="1"/>
      <c r="C214" s="1"/>
      <c r="D214" s="1"/>
      <c r="E214" s="31"/>
      <c r="F214" s="1"/>
      <c r="G214" s="1"/>
      <c r="H214" s="1"/>
      <c r="I214" s="1"/>
      <c r="J214" s="1"/>
      <c r="K214" s="1"/>
      <c r="L214" s="1"/>
      <c r="M214" s="1"/>
      <c r="N214" s="1"/>
      <c r="O214" s="1"/>
      <c r="P214" s="1"/>
      <c r="Q214" s="1"/>
      <c r="R214" s="1"/>
      <c r="S214" s="1"/>
      <c r="T214" s="1"/>
      <c r="U214" s="1"/>
      <c r="V214" s="1"/>
      <c r="W214" s="1"/>
      <c r="X214" s="1"/>
      <c r="Y214" s="1"/>
      <c r="Z214" s="1"/>
    </row>
    <row r="215" spans="2:26" ht="14.4">
      <c r="B215" s="1"/>
      <c r="C215" s="1"/>
      <c r="D215" s="1"/>
      <c r="E215" s="31"/>
      <c r="F215" s="1"/>
      <c r="G215" s="1"/>
      <c r="H215" s="1"/>
      <c r="I215" s="1"/>
      <c r="J215" s="1"/>
      <c r="K215" s="1"/>
      <c r="L215" s="1"/>
      <c r="M215" s="1"/>
      <c r="N215" s="1"/>
      <c r="O215" s="1"/>
      <c r="P215" s="1"/>
      <c r="Q215" s="1"/>
      <c r="R215" s="1"/>
      <c r="S215" s="1"/>
      <c r="T215" s="1"/>
      <c r="U215" s="1"/>
      <c r="V215" s="1"/>
      <c r="W215" s="1"/>
      <c r="X215" s="1"/>
      <c r="Y215" s="1"/>
      <c r="Z215" s="1"/>
    </row>
    <row r="216" spans="2:26" ht="14.4">
      <c r="B216" s="1"/>
      <c r="C216" s="1"/>
      <c r="D216" s="1"/>
      <c r="E216" s="31"/>
      <c r="F216" s="1"/>
      <c r="G216" s="1"/>
      <c r="H216" s="1"/>
      <c r="I216" s="1"/>
      <c r="J216" s="1"/>
      <c r="K216" s="1"/>
      <c r="L216" s="1"/>
      <c r="M216" s="1"/>
      <c r="N216" s="1"/>
      <c r="O216" s="1"/>
      <c r="P216" s="1"/>
      <c r="Q216" s="1"/>
      <c r="R216" s="1"/>
      <c r="S216" s="1"/>
      <c r="T216" s="1"/>
      <c r="U216" s="1"/>
      <c r="V216" s="1"/>
      <c r="W216" s="1"/>
      <c r="X216" s="1"/>
      <c r="Y216" s="1"/>
      <c r="Z216" s="1"/>
    </row>
    <row r="217" spans="2:26" ht="14.4">
      <c r="B217" s="1"/>
      <c r="C217" s="1"/>
      <c r="D217" s="1"/>
      <c r="E217" s="31"/>
      <c r="F217" s="1"/>
      <c r="G217" s="1"/>
      <c r="H217" s="1"/>
      <c r="I217" s="1"/>
      <c r="J217" s="1"/>
      <c r="K217" s="1"/>
      <c r="L217" s="1"/>
      <c r="M217" s="1"/>
      <c r="N217" s="1"/>
      <c r="O217" s="1"/>
      <c r="P217" s="1"/>
      <c r="Q217" s="1"/>
      <c r="R217" s="1"/>
      <c r="S217" s="1"/>
      <c r="T217" s="1"/>
      <c r="U217" s="1"/>
      <c r="V217" s="1"/>
      <c r="W217" s="1"/>
      <c r="X217" s="1"/>
      <c r="Y217" s="1"/>
      <c r="Z217" s="1"/>
    </row>
    <row r="218" spans="2:26" ht="14.4">
      <c r="B218" s="1"/>
      <c r="C218" s="1"/>
      <c r="D218" s="1"/>
      <c r="E218" s="31"/>
      <c r="F218" s="1"/>
      <c r="G218" s="1"/>
      <c r="H218" s="1"/>
      <c r="I218" s="1"/>
      <c r="J218" s="1"/>
      <c r="K218" s="1"/>
      <c r="L218" s="1"/>
      <c r="M218" s="1"/>
      <c r="N218" s="1"/>
      <c r="O218" s="1"/>
      <c r="P218" s="1"/>
      <c r="Q218" s="1"/>
      <c r="R218" s="1"/>
      <c r="S218" s="1"/>
      <c r="T218" s="1"/>
      <c r="U218" s="1"/>
      <c r="V218" s="1"/>
      <c r="W218" s="1"/>
      <c r="X218" s="1"/>
      <c r="Y218" s="1"/>
      <c r="Z218" s="1"/>
    </row>
    <row r="219" spans="2:26" ht="14.4">
      <c r="B219" s="1"/>
      <c r="C219" s="1"/>
      <c r="D219" s="1"/>
      <c r="E219" s="31"/>
      <c r="F219" s="1"/>
      <c r="G219" s="1"/>
      <c r="H219" s="1"/>
      <c r="I219" s="1"/>
      <c r="J219" s="1"/>
      <c r="K219" s="1"/>
      <c r="L219" s="1"/>
      <c r="M219" s="1"/>
      <c r="N219" s="1"/>
      <c r="O219" s="1"/>
      <c r="P219" s="1"/>
      <c r="Q219" s="1"/>
      <c r="R219" s="1"/>
      <c r="S219" s="1"/>
      <c r="T219" s="1"/>
      <c r="U219" s="1"/>
      <c r="V219" s="1"/>
      <c r="W219" s="1"/>
      <c r="X219" s="1"/>
      <c r="Y219" s="1"/>
      <c r="Z219" s="1"/>
    </row>
    <row r="220" spans="2:26" ht="14.4">
      <c r="B220" s="1"/>
      <c r="C220" s="1"/>
      <c r="D220" s="1"/>
      <c r="E220" s="31"/>
      <c r="F220" s="1"/>
      <c r="G220" s="1"/>
      <c r="H220" s="1"/>
      <c r="I220" s="1"/>
      <c r="J220" s="1"/>
      <c r="K220" s="1"/>
      <c r="L220" s="1"/>
      <c r="M220" s="1"/>
      <c r="N220" s="1"/>
      <c r="O220" s="1"/>
      <c r="P220" s="1"/>
      <c r="Q220" s="1"/>
      <c r="R220" s="1"/>
      <c r="S220" s="1"/>
      <c r="T220" s="1"/>
      <c r="U220" s="1"/>
      <c r="V220" s="1"/>
      <c r="W220" s="1"/>
      <c r="X220" s="1"/>
      <c r="Y220" s="1"/>
      <c r="Z220" s="1"/>
    </row>
    <row r="221" spans="2:26" ht="14.4">
      <c r="B221" s="1"/>
      <c r="C221" s="1"/>
      <c r="D221" s="1"/>
      <c r="E221" s="31"/>
      <c r="F221" s="1"/>
      <c r="G221" s="1"/>
      <c r="H221" s="1"/>
      <c r="I221" s="1"/>
      <c r="J221" s="1"/>
      <c r="K221" s="1"/>
      <c r="L221" s="1"/>
      <c r="M221" s="1"/>
      <c r="N221" s="1"/>
      <c r="O221" s="1"/>
      <c r="P221" s="1"/>
      <c r="Q221" s="1"/>
      <c r="R221" s="1"/>
      <c r="S221" s="1"/>
      <c r="T221" s="1"/>
      <c r="U221" s="1"/>
      <c r="V221" s="1"/>
      <c r="W221" s="1"/>
      <c r="X221" s="1"/>
      <c r="Y221" s="1"/>
      <c r="Z221" s="1"/>
    </row>
    <row r="222" spans="2:26" ht="14.4">
      <c r="B222" s="1"/>
      <c r="C222" s="1"/>
      <c r="D222" s="1"/>
      <c r="E222" s="31"/>
      <c r="F222" s="1"/>
      <c r="G222" s="1"/>
      <c r="H222" s="1"/>
      <c r="I222" s="1"/>
      <c r="J222" s="1"/>
      <c r="K222" s="1"/>
      <c r="L222" s="1"/>
      <c r="M222" s="1"/>
      <c r="N222" s="1"/>
      <c r="O222" s="1"/>
      <c r="P222" s="1"/>
      <c r="Q222" s="1"/>
      <c r="R222" s="1"/>
      <c r="S222" s="1"/>
      <c r="T222" s="1"/>
      <c r="U222" s="1"/>
      <c r="V222" s="1"/>
      <c r="W222" s="1"/>
      <c r="X222" s="1"/>
      <c r="Y222" s="1"/>
      <c r="Z222" s="1"/>
    </row>
    <row r="223" spans="2:26" ht="14.4">
      <c r="B223" s="1"/>
      <c r="C223" s="1"/>
      <c r="D223" s="1"/>
      <c r="E223" s="31"/>
      <c r="F223" s="1"/>
      <c r="G223" s="1"/>
      <c r="H223" s="1"/>
      <c r="I223" s="1"/>
      <c r="J223" s="1"/>
      <c r="K223" s="1"/>
      <c r="L223" s="1"/>
      <c r="M223" s="1"/>
      <c r="N223" s="1"/>
      <c r="O223" s="1"/>
      <c r="P223" s="1"/>
      <c r="Q223" s="1"/>
      <c r="R223" s="1"/>
      <c r="S223" s="1"/>
      <c r="T223" s="1"/>
      <c r="U223" s="1"/>
      <c r="V223" s="1"/>
      <c r="W223" s="1"/>
      <c r="X223" s="1"/>
      <c r="Y223" s="1"/>
      <c r="Z223" s="1"/>
    </row>
    <row r="224" spans="2:26" ht="14.4">
      <c r="B224" s="1"/>
      <c r="C224" s="1"/>
      <c r="D224" s="1"/>
      <c r="E224" s="31"/>
      <c r="F224" s="1"/>
      <c r="G224" s="1"/>
      <c r="H224" s="1"/>
      <c r="I224" s="1"/>
      <c r="J224" s="1"/>
      <c r="K224" s="1"/>
      <c r="L224" s="1"/>
      <c r="M224" s="1"/>
      <c r="N224" s="1"/>
      <c r="O224" s="1"/>
      <c r="P224" s="1"/>
      <c r="Q224" s="1"/>
      <c r="R224" s="1"/>
      <c r="S224" s="1"/>
      <c r="T224" s="1"/>
      <c r="U224" s="1"/>
      <c r="V224" s="1"/>
      <c r="W224" s="1"/>
      <c r="X224" s="1"/>
      <c r="Y224" s="1"/>
      <c r="Z224" s="1"/>
    </row>
    <row r="225" spans="2:26" ht="14.4">
      <c r="B225" s="1"/>
      <c r="C225" s="1"/>
      <c r="D225" s="1"/>
      <c r="E225" s="31"/>
      <c r="F225" s="1"/>
      <c r="G225" s="1"/>
      <c r="H225" s="1"/>
      <c r="I225" s="1"/>
      <c r="J225" s="1"/>
      <c r="K225" s="1"/>
      <c r="L225" s="1"/>
      <c r="M225" s="1"/>
      <c r="N225" s="1"/>
      <c r="O225" s="1"/>
      <c r="P225" s="1"/>
      <c r="Q225" s="1"/>
      <c r="R225" s="1"/>
      <c r="S225" s="1"/>
      <c r="T225" s="1"/>
      <c r="U225" s="1"/>
      <c r="V225" s="1"/>
      <c r="W225" s="1"/>
      <c r="X225" s="1"/>
      <c r="Y225" s="1"/>
      <c r="Z225" s="1"/>
    </row>
    <row r="226" spans="2:26" ht="14.4">
      <c r="B226" s="1"/>
      <c r="C226" s="1"/>
      <c r="D226" s="1"/>
      <c r="E226" s="31"/>
      <c r="F226" s="1"/>
      <c r="G226" s="1"/>
      <c r="H226" s="1"/>
      <c r="I226" s="1"/>
      <c r="J226" s="1"/>
      <c r="K226" s="1"/>
      <c r="L226" s="1"/>
      <c r="M226" s="1"/>
      <c r="N226" s="1"/>
      <c r="O226" s="1"/>
      <c r="P226" s="1"/>
      <c r="Q226" s="1"/>
      <c r="R226" s="1"/>
      <c r="S226" s="1"/>
      <c r="T226" s="1"/>
      <c r="U226" s="1"/>
      <c r="V226" s="1"/>
      <c r="W226" s="1"/>
      <c r="X226" s="1"/>
      <c r="Y226" s="1"/>
      <c r="Z226" s="1"/>
    </row>
    <row r="227" spans="2:26" ht="14.4">
      <c r="B227" s="1"/>
      <c r="C227" s="1"/>
      <c r="D227" s="1"/>
      <c r="E227" s="31"/>
      <c r="F227" s="1"/>
      <c r="G227" s="1"/>
      <c r="H227" s="1"/>
      <c r="I227" s="1"/>
      <c r="J227" s="1"/>
      <c r="K227" s="1"/>
      <c r="L227" s="1"/>
      <c r="M227" s="1"/>
      <c r="N227" s="1"/>
      <c r="O227" s="1"/>
      <c r="P227" s="1"/>
      <c r="Q227" s="1"/>
      <c r="R227" s="1"/>
      <c r="S227" s="1"/>
      <c r="T227" s="1"/>
      <c r="U227" s="1"/>
      <c r="V227" s="1"/>
      <c r="W227" s="1"/>
      <c r="X227" s="1"/>
      <c r="Y227" s="1"/>
      <c r="Z227" s="1"/>
    </row>
    <row r="228" spans="2:26" ht="14.4">
      <c r="B228" s="1"/>
      <c r="C228" s="1"/>
      <c r="D228" s="1"/>
      <c r="E228" s="31"/>
      <c r="F228" s="1"/>
      <c r="G228" s="1"/>
      <c r="H228" s="1"/>
      <c r="I228" s="1"/>
      <c r="J228" s="1"/>
      <c r="K228" s="1"/>
      <c r="L228" s="1"/>
      <c r="M228" s="1"/>
      <c r="N228" s="1"/>
      <c r="O228" s="1"/>
      <c r="P228" s="1"/>
      <c r="Q228" s="1"/>
      <c r="R228" s="1"/>
      <c r="S228" s="1"/>
      <c r="T228" s="1"/>
      <c r="U228" s="1"/>
      <c r="V228" s="1"/>
      <c r="W228" s="1"/>
      <c r="X228" s="1"/>
      <c r="Y228" s="1"/>
      <c r="Z228" s="1"/>
    </row>
    <row r="229" spans="2:26" ht="14.4">
      <c r="B229" s="1"/>
      <c r="C229" s="1"/>
      <c r="D229" s="1"/>
      <c r="E229" s="31"/>
      <c r="F229" s="1"/>
      <c r="G229" s="1"/>
      <c r="H229" s="1"/>
      <c r="I229" s="1"/>
      <c r="J229" s="1"/>
      <c r="K229" s="1"/>
      <c r="L229" s="1"/>
      <c r="M229" s="1"/>
      <c r="N229" s="1"/>
      <c r="O229" s="1"/>
      <c r="P229" s="1"/>
      <c r="Q229" s="1"/>
      <c r="R229" s="1"/>
      <c r="S229" s="1"/>
      <c r="T229" s="1"/>
      <c r="U229" s="1"/>
      <c r="V229" s="1"/>
      <c r="W229" s="1"/>
      <c r="X229" s="1"/>
      <c r="Y229" s="1"/>
      <c r="Z229" s="1"/>
    </row>
    <row r="230" spans="2:26" ht="14.4">
      <c r="B230" s="1"/>
      <c r="C230" s="1"/>
      <c r="D230" s="1"/>
      <c r="E230" s="31"/>
      <c r="F230" s="1"/>
      <c r="G230" s="1"/>
      <c r="H230" s="1"/>
      <c r="I230" s="1"/>
      <c r="J230" s="1"/>
      <c r="K230" s="1"/>
      <c r="L230" s="1"/>
      <c r="M230" s="1"/>
      <c r="N230" s="1"/>
      <c r="O230" s="1"/>
      <c r="P230" s="1"/>
      <c r="Q230" s="1"/>
      <c r="R230" s="1"/>
      <c r="S230" s="1"/>
      <c r="T230" s="1"/>
      <c r="U230" s="1"/>
      <c r="V230" s="1"/>
      <c r="W230" s="1"/>
      <c r="X230" s="1"/>
      <c r="Y230" s="1"/>
      <c r="Z230" s="1"/>
    </row>
    <row r="231" spans="2:26" ht="14.4">
      <c r="B231" s="1"/>
      <c r="C231" s="1"/>
      <c r="D231" s="1"/>
      <c r="E231" s="31"/>
      <c r="F231" s="1"/>
      <c r="G231" s="1"/>
      <c r="H231" s="1"/>
      <c r="I231" s="1"/>
      <c r="J231" s="1"/>
      <c r="K231" s="1"/>
      <c r="L231" s="1"/>
      <c r="M231" s="1"/>
      <c r="N231" s="1"/>
      <c r="O231" s="1"/>
      <c r="P231" s="1"/>
      <c r="Q231" s="1"/>
      <c r="R231" s="1"/>
      <c r="S231" s="1"/>
      <c r="T231" s="1"/>
      <c r="U231" s="1"/>
      <c r="V231" s="1"/>
      <c r="W231" s="1"/>
      <c r="X231" s="1"/>
      <c r="Y231" s="1"/>
      <c r="Z231" s="1"/>
    </row>
    <row r="232" spans="2:26" ht="14.4">
      <c r="B232" s="1"/>
      <c r="C232" s="1"/>
      <c r="D232" s="1"/>
      <c r="E232" s="31"/>
      <c r="F232" s="1"/>
      <c r="G232" s="1"/>
      <c r="H232" s="1"/>
      <c r="I232" s="1"/>
      <c r="J232" s="1"/>
      <c r="K232" s="1"/>
      <c r="L232" s="1"/>
      <c r="M232" s="1"/>
      <c r="N232" s="1"/>
      <c r="O232" s="1"/>
      <c r="P232" s="1"/>
      <c r="Q232" s="1"/>
      <c r="R232" s="1"/>
      <c r="S232" s="1"/>
      <c r="T232" s="1"/>
      <c r="U232" s="1"/>
      <c r="V232" s="1"/>
      <c r="W232" s="1"/>
      <c r="X232" s="1"/>
      <c r="Y232" s="1"/>
      <c r="Z232" s="1"/>
    </row>
    <row r="233" spans="2:26" ht="14.4">
      <c r="B233" s="1"/>
      <c r="C233" s="1"/>
      <c r="D233" s="1"/>
      <c r="E233" s="31"/>
      <c r="F233" s="1"/>
      <c r="G233" s="1"/>
      <c r="H233" s="1"/>
      <c r="I233" s="1"/>
      <c r="J233" s="1"/>
      <c r="K233" s="1"/>
      <c r="L233" s="1"/>
      <c r="M233" s="1"/>
      <c r="N233" s="1"/>
      <c r="O233" s="1"/>
      <c r="P233" s="1"/>
      <c r="Q233" s="1"/>
      <c r="R233" s="1"/>
      <c r="S233" s="1"/>
      <c r="T233" s="1"/>
      <c r="U233" s="1"/>
      <c r="V233" s="1"/>
      <c r="W233" s="1"/>
      <c r="X233" s="1"/>
      <c r="Y233" s="1"/>
      <c r="Z233" s="1"/>
    </row>
    <row r="234" spans="2:26" ht="14.4">
      <c r="B234" s="1"/>
      <c r="C234" s="1"/>
      <c r="D234" s="1"/>
      <c r="E234" s="31"/>
      <c r="F234" s="1"/>
      <c r="G234" s="1"/>
      <c r="H234" s="1"/>
      <c r="I234" s="1"/>
      <c r="J234" s="1"/>
      <c r="K234" s="1"/>
      <c r="L234" s="1"/>
      <c r="M234" s="1"/>
      <c r="N234" s="1"/>
      <c r="O234" s="1"/>
      <c r="P234" s="1"/>
      <c r="Q234" s="1"/>
      <c r="R234" s="1"/>
      <c r="S234" s="1"/>
      <c r="T234" s="1"/>
      <c r="U234" s="1"/>
      <c r="V234" s="1"/>
      <c r="W234" s="1"/>
      <c r="X234" s="1"/>
      <c r="Y234" s="1"/>
      <c r="Z234" s="1"/>
    </row>
    <row r="235" spans="2:26" ht="14.4">
      <c r="B235" s="1"/>
      <c r="C235" s="1"/>
      <c r="D235" s="1"/>
      <c r="E235" s="31"/>
      <c r="F235" s="1"/>
      <c r="G235" s="1"/>
      <c r="H235" s="1"/>
      <c r="I235" s="1"/>
      <c r="J235" s="1"/>
      <c r="K235" s="1"/>
      <c r="L235" s="1"/>
      <c r="M235" s="1"/>
      <c r="N235" s="1"/>
      <c r="O235" s="1"/>
      <c r="P235" s="1"/>
      <c r="Q235" s="1"/>
      <c r="R235" s="1"/>
      <c r="S235" s="1"/>
      <c r="T235" s="1"/>
      <c r="U235" s="1"/>
      <c r="V235" s="1"/>
      <c r="W235" s="1"/>
      <c r="X235" s="1"/>
      <c r="Y235" s="1"/>
      <c r="Z235" s="1"/>
    </row>
    <row r="236" spans="2:26" ht="14.4">
      <c r="B236" s="1"/>
      <c r="C236" s="1"/>
      <c r="D236" s="1"/>
      <c r="E236" s="31"/>
      <c r="F236" s="1"/>
      <c r="G236" s="1"/>
      <c r="H236" s="1"/>
      <c r="I236" s="1"/>
      <c r="J236" s="1"/>
      <c r="K236" s="1"/>
      <c r="L236" s="1"/>
      <c r="M236" s="1"/>
      <c r="N236" s="1"/>
      <c r="O236" s="1"/>
      <c r="P236" s="1"/>
      <c r="Q236" s="1"/>
      <c r="R236" s="1"/>
      <c r="S236" s="1"/>
      <c r="T236" s="1"/>
      <c r="U236" s="1"/>
      <c r="V236" s="1"/>
      <c r="W236" s="1"/>
      <c r="X236" s="1"/>
      <c r="Y236" s="1"/>
      <c r="Z236" s="1"/>
    </row>
    <row r="237" spans="2:26" ht="14.4">
      <c r="B237" s="1"/>
      <c r="C237" s="1"/>
      <c r="D237" s="1"/>
      <c r="E237" s="31"/>
      <c r="F237" s="1"/>
      <c r="G237" s="1"/>
      <c r="H237" s="1"/>
      <c r="I237" s="1"/>
      <c r="J237" s="1"/>
      <c r="K237" s="1"/>
      <c r="L237" s="1"/>
      <c r="M237" s="1"/>
      <c r="N237" s="1"/>
      <c r="O237" s="1"/>
      <c r="P237" s="1"/>
      <c r="Q237" s="1"/>
      <c r="R237" s="1"/>
      <c r="S237" s="1"/>
      <c r="T237" s="1"/>
      <c r="U237" s="1"/>
      <c r="V237" s="1"/>
      <c r="W237" s="1"/>
      <c r="X237" s="1"/>
      <c r="Y237" s="1"/>
      <c r="Z237" s="1"/>
    </row>
    <row r="238" spans="2:26" ht="14.4">
      <c r="B238" s="1"/>
      <c r="C238" s="1"/>
      <c r="D238" s="1"/>
      <c r="E238" s="31"/>
      <c r="F238" s="1"/>
      <c r="G238" s="1"/>
      <c r="H238" s="1"/>
      <c r="I238" s="1"/>
      <c r="J238" s="1"/>
      <c r="K238" s="1"/>
      <c r="L238" s="1"/>
      <c r="M238" s="1"/>
      <c r="N238" s="1"/>
      <c r="O238" s="1"/>
      <c r="P238" s="1"/>
      <c r="Q238" s="1"/>
      <c r="R238" s="1"/>
      <c r="S238" s="1"/>
      <c r="T238" s="1"/>
      <c r="U238" s="1"/>
      <c r="V238" s="1"/>
      <c r="W238" s="1"/>
      <c r="X238" s="1"/>
      <c r="Y238" s="1"/>
      <c r="Z238" s="1"/>
    </row>
    <row r="239" spans="2:26" ht="14.4">
      <c r="B239" s="1"/>
      <c r="C239" s="1"/>
      <c r="D239" s="1"/>
      <c r="E239" s="31"/>
      <c r="F239" s="1"/>
      <c r="G239" s="1"/>
      <c r="H239" s="1"/>
      <c r="I239" s="1"/>
      <c r="J239" s="1"/>
      <c r="K239" s="1"/>
      <c r="L239" s="1"/>
      <c r="M239" s="1"/>
      <c r="N239" s="1"/>
      <c r="O239" s="1"/>
      <c r="P239" s="1"/>
      <c r="Q239" s="1"/>
      <c r="R239" s="1"/>
      <c r="S239" s="1"/>
      <c r="T239" s="1"/>
      <c r="U239" s="1"/>
      <c r="V239" s="1"/>
      <c r="W239" s="1"/>
      <c r="X239" s="1"/>
      <c r="Y239" s="1"/>
      <c r="Z239" s="1"/>
    </row>
    <row r="240" spans="2:26" ht="14.4">
      <c r="B240" s="1"/>
      <c r="C240" s="1"/>
      <c r="D240" s="1"/>
      <c r="E240" s="31"/>
      <c r="F240" s="1"/>
      <c r="G240" s="1"/>
      <c r="H240" s="1"/>
      <c r="I240" s="1"/>
      <c r="J240" s="1"/>
      <c r="K240" s="1"/>
      <c r="L240" s="1"/>
      <c r="M240" s="1"/>
      <c r="N240" s="1"/>
      <c r="O240" s="1"/>
      <c r="P240" s="1"/>
      <c r="Q240" s="1"/>
      <c r="R240" s="1"/>
      <c r="S240" s="1"/>
      <c r="T240" s="1"/>
      <c r="U240" s="1"/>
      <c r="V240" s="1"/>
      <c r="W240" s="1"/>
      <c r="X240" s="1"/>
      <c r="Y240" s="1"/>
      <c r="Z240" s="1"/>
    </row>
    <row r="241" spans="2:26" ht="14.4">
      <c r="B241" s="1"/>
      <c r="C241" s="1"/>
      <c r="D241" s="1"/>
      <c r="E241" s="31"/>
      <c r="F241" s="1"/>
      <c r="G241" s="1"/>
      <c r="H241" s="1"/>
      <c r="I241" s="1"/>
      <c r="J241" s="1"/>
      <c r="K241" s="1"/>
      <c r="L241" s="1"/>
      <c r="M241" s="1"/>
      <c r="N241" s="1"/>
      <c r="O241" s="1"/>
      <c r="P241" s="1"/>
      <c r="Q241" s="1"/>
      <c r="R241" s="1"/>
      <c r="S241" s="1"/>
      <c r="T241" s="1"/>
      <c r="U241" s="1"/>
      <c r="V241" s="1"/>
      <c r="W241" s="1"/>
      <c r="X241" s="1"/>
      <c r="Y241" s="1"/>
      <c r="Z241" s="1"/>
    </row>
    <row r="242" spans="2:26" ht="14.4">
      <c r="B242" s="1"/>
      <c r="C242" s="1"/>
      <c r="D242" s="1"/>
      <c r="E242" s="31"/>
      <c r="F242" s="1"/>
      <c r="G242" s="1"/>
      <c r="H242" s="1"/>
      <c r="I242" s="1"/>
      <c r="J242" s="1"/>
      <c r="K242" s="1"/>
      <c r="L242" s="1"/>
      <c r="M242" s="1"/>
      <c r="N242" s="1"/>
      <c r="O242" s="1"/>
      <c r="P242" s="1"/>
      <c r="Q242" s="1"/>
      <c r="R242" s="1"/>
      <c r="S242" s="1"/>
      <c r="T242" s="1"/>
      <c r="U242" s="1"/>
      <c r="V242" s="1"/>
      <c r="W242" s="1"/>
      <c r="X242" s="1"/>
      <c r="Y242" s="1"/>
      <c r="Z242" s="1"/>
    </row>
    <row r="243" spans="2:26" ht="14.4">
      <c r="B243" s="1"/>
      <c r="C243" s="1"/>
      <c r="D243" s="1"/>
      <c r="E243" s="31"/>
      <c r="F243" s="1"/>
      <c r="G243" s="1"/>
      <c r="H243" s="1"/>
      <c r="I243" s="1"/>
      <c r="J243" s="1"/>
      <c r="K243" s="1"/>
      <c r="L243" s="1"/>
      <c r="M243" s="1"/>
      <c r="N243" s="1"/>
      <c r="O243" s="1"/>
      <c r="P243" s="1"/>
      <c r="Q243" s="1"/>
      <c r="R243" s="1"/>
      <c r="S243" s="1"/>
      <c r="T243" s="1"/>
      <c r="U243" s="1"/>
      <c r="V243" s="1"/>
      <c r="W243" s="1"/>
      <c r="X243" s="1"/>
      <c r="Y243" s="1"/>
      <c r="Z243" s="1"/>
    </row>
    <row r="244" spans="2:26" ht="14.4">
      <c r="B244" s="1"/>
      <c r="C244" s="1"/>
      <c r="D244" s="1"/>
      <c r="E244" s="31"/>
      <c r="F244" s="1"/>
      <c r="G244" s="1"/>
      <c r="H244" s="1"/>
      <c r="I244" s="1"/>
      <c r="J244" s="1"/>
      <c r="K244" s="1"/>
      <c r="L244" s="1"/>
      <c r="M244" s="1"/>
      <c r="N244" s="1"/>
      <c r="O244" s="1"/>
      <c r="P244" s="1"/>
      <c r="Q244" s="1"/>
      <c r="R244" s="1"/>
      <c r="S244" s="1"/>
      <c r="T244" s="1"/>
      <c r="U244" s="1"/>
      <c r="V244" s="1"/>
      <c r="W244" s="1"/>
      <c r="X244" s="1"/>
      <c r="Y244" s="1"/>
      <c r="Z244" s="1"/>
    </row>
    <row r="245" spans="2:26" ht="14.4">
      <c r="B245" s="1"/>
      <c r="C245" s="1"/>
      <c r="D245" s="1"/>
      <c r="E245" s="31"/>
      <c r="F245" s="1"/>
      <c r="G245" s="1"/>
      <c r="H245" s="1"/>
      <c r="I245" s="1"/>
      <c r="J245" s="1"/>
      <c r="K245" s="1"/>
      <c r="L245" s="1"/>
      <c r="M245" s="1"/>
      <c r="N245" s="1"/>
      <c r="O245" s="1"/>
      <c r="P245" s="1"/>
      <c r="Q245" s="1"/>
      <c r="R245" s="1"/>
      <c r="S245" s="1"/>
      <c r="T245" s="1"/>
      <c r="U245" s="1"/>
      <c r="V245" s="1"/>
      <c r="W245" s="1"/>
      <c r="X245" s="1"/>
      <c r="Y245" s="1"/>
      <c r="Z245" s="1"/>
    </row>
    <row r="246" spans="2:26" ht="14.4">
      <c r="B246" s="1"/>
      <c r="C246" s="1"/>
      <c r="D246" s="1"/>
      <c r="E246" s="31"/>
      <c r="F246" s="1"/>
      <c r="G246" s="1"/>
      <c r="H246" s="1"/>
      <c r="I246" s="1"/>
      <c r="J246" s="1"/>
      <c r="K246" s="1"/>
      <c r="L246" s="1"/>
      <c r="M246" s="1"/>
      <c r="N246" s="1"/>
      <c r="O246" s="1"/>
      <c r="P246" s="1"/>
      <c r="Q246" s="1"/>
      <c r="R246" s="1"/>
      <c r="S246" s="1"/>
      <c r="T246" s="1"/>
      <c r="U246" s="1"/>
      <c r="V246" s="1"/>
      <c r="W246" s="1"/>
      <c r="X246" s="1"/>
      <c r="Y246" s="1"/>
      <c r="Z246" s="1"/>
    </row>
    <row r="247" spans="2:26" ht="14.4">
      <c r="B247" s="1"/>
      <c r="C247" s="1"/>
      <c r="D247" s="1"/>
      <c r="E247" s="31"/>
      <c r="F247" s="1"/>
      <c r="G247" s="1"/>
      <c r="H247" s="1"/>
      <c r="I247" s="1"/>
      <c r="J247" s="1"/>
      <c r="K247" s="1"/>
      <c r="L247" s="1"/>
      <c r="M247" s="1"/>
      <c r="N247" s="1"/>
      <c r="O247" s="1"/>
      <c r="P247" s="1"/>
      <c r="Q247" s="1"/>
      <c r="R247" s="1"/>
      <c r="S247" s="1"/>
      <c r="T247" s="1"/>
      <c r="U247" s="1"/>
      <c r="V247" s="1"/>
      <c r="W247" s="1"/>
      <c r="X247" s="1"/>
      <c r="Y247" s="1"/>
      <c r="Z247" s="1"/>
    </row>
    <row r="248" spans="2:26" ht="14.4">
      <c r="B248" s="1"/>
      <c r="C248" s="1"/>
      <c r="D248" s="1"/>
      <c r="E248" s="31"/>
      <c r="F248" s="1"/>
      <c r="G248" s="1"/>
      <c r="H248" s="1"/>
      <c r="I248" s="1"/>
      <c r="J248" s="1"/>
      <c r="K248" s="1"/>
      <c r="L248" s="1"/>
      <c r="M248" s="1"/>
      <c r="N248" s="1"/>
      <c r="O248" s="1"/>
      <c r="P248" s="1"/>
      <c r="Q248" s="1"/>
      <c r="R248" s="1"/>
      <c r="S248" s="1"/>
      <c r="T248" s="1"/>
      <c r="U248" s="1"/>
      <c r="V248" s="1"/>
      <c r="W248" s="1"/>
      <c r="X248" s="1"/>
      <c r="Y248" s="1"/>
      <c r="Z248" s="1"/>
    </row>
    <row r="249" spans="2:26" ht="14.4">
      <c r="B249" s="1"/>
      <c r="C249" s="1"/>
      <c r="D249" s="1"/>
      <c r="E249" s="31"/>
      <c r="F249" s="1"/>
      <c r="G249" s="1"/>
      <c r="H249" s="1"/>
      <c r="I249" s="1"/>
      <c r="J249" s="1"/>
      <c r="K249" s="1"/>
      <c r="L249" s="1"/>
      <c r="M249" s="1"/>
      <c r="N249" s="1"/>
      <c r="O249" s="1"/>
      <c r="P249" s="1"/>
      <c r="Q249" s="1"/>
      <c r="R249" s="1"/>
      <c r="S249" s="1"/>
      <c r="T249" s="1"/>
      <c r="U249" s="1"/>
      <c r="V249" s="1"/>
      <c r="W249" s="1"/>
      <c r="X249" s="1"/>
      <c r="Y249" s="1"/>
      <c r="Z249" s="1"/>
    </row>
    <row r="250" spans="2:26" ht="14.4">
      <c r="B250" s="1"/>
      <c r="C250" s="1"/>
      <c r="D250" s="1"/>
      <c r="E250" s="31"/>
      <c r="F250" s="1"/>
      <c r="G250" s="1"/>
      <c r="H250" s="1"/>
      <c r="I250" s="1"/>
      <c r="J250" s="1"/>
      <c r="K250" s="1"/>
      <c r="L250" s="1"/>
      <c r="M250" s="1"/>
      <c r="N250" s="1"/>
      <c r="O250" s="1"/>
      <c r="P250" s="1"/>
      <c r="Q250" s="1"/>
      <c r="R250" s="1"/>
      <c r="S250" s="1"/>
      <c r="T250" s="1"/>
      <c r="U250" s="1"/>
      <c r="V250" s="1"/>
      <c r="W250" s="1"/>
      <c r="X250" s="1"/>
      <c r="Y250" s="1"/>
      <c r="Z250" s="1"/>
    </row>
    <row r="251" spans="2:26" ht="14.4">
      <c r="B251" s="1"/>
      <c r="C251" s="1"/>
      <c r="D251" s="1"/>
      <c r="E251" s="31"/>
      <c r="F251" s="1"/>
      <c r="G251" s="1"/>
      <c r="H251" s="1"/>
      <c r="I251" s="1"/>
      <c r="J251" s="1"/>
      <c r="K251" s="1"/>
      <c r="L251" s="1"/>
      <c r="M251" s="1"/>
      <c r="N251" s="1"/>
      <c r="O251" s="1"/>
      <c r="P251" s="1"/>
      <c r="Q251" s="1"/>
      <c r="R251" s="1"/>
      <c r="S251" s="1"/>
      <c r="T251" s="1"/>
      <c r="U251" s="1"/>
      <c r="V251" s="1"/>
      <c r="W251" s="1"/>
      <c r="X251" s="1"/>
      <c r="Y251" s="1"/>
      <c r="Z251" s="1"/>
    </row>
    <row r="252" spans="2:26" ht="14.4">
      <c r="B252" s="1"/>
      <c r="C252" s="1"/>
      <c r="D252" s="1"/>
      <c r="E252" s="31"/>
      <c r="F252" s="1"/>
      <c r="G252" s="1"/>
      <c r="H252" s="1"/>
      <c r="I252" s="1"/>
      <c r="J252" s="1"/>
      <c r="K252" s="1"/>
      <c r="L252" s="1"/>
      <c r="M252" s="1"/>
      <c r="N252" s="1"/>
      <c r="O252" s="1"/>
      <c r="P252" s="1"/>
      <c r="Q252" s="1"/>
      <c r="R252" s="1"/>
      <c r="S252" s="1"/>
      <c r="T252" s="1"/>
      <c r="U252" s="1"/>
      <c r="V252" s="1"/>
      <c r="W252" s="1"/>
      <c r="X252" s="1"/>
      <c r="Y252" s="1"/>
      <c r="Z252" s="1"/>
    </row>
    <row r="253" spans="2:26" ht="14.4">
      <c r="B253" s="1"/>
      <c r="C253" s="1"/>
      <c r="D253" s="1"/>
      <c r="E253" s="31"/>
      <c r="F253" s="1"/>
      <c r="G253" s="1"/>
      <c r="H253" s="1"/>
      <c r="I253" s="1"/>
      <c r="J253" s="1"/>
      <c r="K253" s="1"/>
      <c r="L253" s="1"/>
      <c r="M253" s="1"/>
      <c r="N253" s="1"/>
      <c r="O253" s="1"/>
      <c r="P253" s="1"/>
      <c r="Q253" s="1"/>
      <c r="R253" s="1"/>
      <c r="S253" s="1"/>
      <c r="T253" s="1"/>
      <c r="U253" s="1"/>
      <c r="V253" s="1"/>
      <c r="W253" s="1"/>
      <c r="X253" s="1"/>
      <c r="Y253" s="1"/>
      <c r="Z253" s="1"/>
    </row>
    <row r="254" spans="2:26" ht="14.4">
      <c r="B254" s="1"/>
      <c r="C254" s="1"/>
      <c r="D254" s="1"/>
      <c r="E254" s="31"/>
      <c r="F254" s="1"/>
      <c r="G254" s="1"/>
      <c r="H254" s="1"/>
      <c r="I254" s="1"/>
      <c r="J254" s="1"/>
      <c r="K254" s="1"/>
      <c r="L254" s="1"/>
      <c r="M254" s="1"/>
      <c r="N254" s="1"/>
      <c r="O254" s="1"/>
      <c r="P254" s="1"/>
      <c r="Q254" s="1"/>
      <c r="R254" s="1"/>
      <c r="S254" s="1"/>
      <c r="T254" s="1"/>
      <c r="U254" s="1"/>
      <c r="V254" s="1"/>
      <c r="W254" s="1"/>
      <c r="X254" s="1"/>
      <c r="Y254" s="1"/>
      <c r="Z254" s="1"/>
    </row>
    <row r="255" spans="2:26" ht="14.4">
      <c r="B255" s="1"/>
      <c r="C255" s="1"/>
      <c r="D255" s="1"/>
      <c r="E255" s="31"/>
      <c r="F255" s="1"/>
      <c r="G255" s="1"/>
      <c r="H255" s="1"/>
      <c r="I255" s="1"/>
      <c r="J255" s="1"/>
      <c r="K255" s="1"/>
      <c r="L255" s="1"/>
      <c r="M255" s="1"/>
      <c r="N255" s="1"/>
      <c r="O255" s="1"/>
      <c r="P255" s="1"/>
      <c r="Q255" s="1"/>
      <c r="R255" s="1"/>
      <c r="S255" s="1"/>
      <c r="T255" s="1"/>
      <c r="U255" s="1"/>
      <c r="V255" s="1"/>
      <c r="W255" s="1"/>
      <c r="X255" s="1"/>
      <c r="Y255" s="1"/>
      <c r="Z255" s="1"/>
    </row>
    <row r="256" spans="2:26" ht="14.4">
      <c r="B256" s="1"/>
      <c r="C256" s="1"/>
      <c r="D256" s="1"/>
      <c r="E256" s="31"/>
      <c r="F256" s="1"/>
      <c r="G256" s="1"/>
      <c r="H256" s="1"/>
      <c r="I256" s="1"/>
      <c r="J256" s="1"/>
      <c r="K256" s="1"/>
      <c r="L256" s="1"/>
      <c r="M256" s="1"/>
      <c r="N256" s="1"/>
      <c r="O256" s="1"/>
      <c r="P256" s="1"/>
      <c r="Q256" s="1"/>
      <c r="R256" s="1"/>
      <c r="S256" s="1"/>
      <c r="T256" s="1"/>
      <c r="U256" s="1"/>
      <c r="V256" s="1"/>
      <c r="W256" s="1"/>
      <c r="X256" s="1"/>
      <c r="Y256" s="1"/>
      <c r="Z256" s="1"/>
    </row>
    <row r="257" spans="2:26" ht="14.4">
      <c r="B257" s="1"/>
      <c r="C257" s="1"/>
      <c r="D257" s="1"/>
      <c r="E257" s="31"/>
      <c r="F257" s="1"/>
      <c r="G257" s="1"/>
      <c r="H257" s="1"/>
      <c r="I257" s="1"/>
      <c r="J257" s="1"/>
      <c r="K257" s="1"/>
      <c r="L257" s="1"/>
      <c r="M257" s="1"/>
      <c r="N257" s="1"/>
      <c r="O257" s="1"/>
      <c r="P257" s="1"/>
      <c r="Q257" s="1"/>
      <c r="R257" s="1"/>
      <c r="S257" s="1"/>
      <c r="T257" s="1"/>
      <c r="U257" s="1"/>
      <c r="V257" s="1"/>
      <c r="W257" s="1"/>
      <c r="X257" s="1"/>
      <c r="Y257" s="1"/>
      <c r="Z257" s="1"/>
    </row>
    <row r="258" spans="2:26" ht="14.4">
      <c r="B258" s="1"/>
      <c r="C258" s="1"/>
      <c r="D258" s="1"/>
      <c r="E258" s="31"/>
      <c r="F258" s="1"/>
      <c r="G258" s="1"/>
      <c r="H258" s="1"/>
      <c r="I258" s="1"/>
      <c r="J258" s="1"/>
      <c r="K258" s="1"/>
      <c r="L258" s="1"/>
      <c r="M258" s="1"/>
      <c r="N258" s="1"/>
      <c r="O258" s="1"/>
      <c r="P258" s="1"/>
      <c r="Q258" s="1"/>
      <c r="R258" s="1"/>
      <c r="S258" s="1"/>
      <c r="T258" s="1"/>
      <c r="U258" s="1"/>
      <c r="V258" s="1"/>
      <c r="W258" s="1"/>
      <c r="X258" s="1"/>
      <c r="Y258" s="1"/>
      <c r="Z258" s="1"/>
    </row>
    <row r="259" spans="2:26" ht="14.4">
      <c r="B259" s="1"/>
      <c r="C259" s="1"/>
      <c r="D259" s="1"/>
      <c r="E259" s="31"/>
      <c r="F259" s="1"/>
      <c r="G259" s="1"/>
      <c r="H259" s="1"/>
      <c r="I259" s="1"/>
      <c r="J259" s="1"/>
      <c r="K259" s="1"/>
      <c r="L259" s="1"/>
      <c r="M259" s="1"/>
      <c r="N259" s="1"/>
      <c r="O259" s="1"/>
      <c r="P259" s="1"/>
      <c r="Q259" s="1"/>
      <c r="R259" s="1"/>
      <c r="S259" s="1"/>
      <c r="T259" s="1"/>
      <c r="U259" s="1"/>
      <c r="V259" s="1"/>
      <c r="W259" s="1"/>
      <c r="X259" s="1"/>
      <c r="Y259" s="1"/>
      <c r="Z259" s="1"/>
    </row>
    <row r="260" spans="2:26" ht="14.4">
      <c r="B260" s="1"/>
      <c r="C260" s="1"/>
      <c r="D260" s="1"/>
      <c r="E260" s="31"/>
      <c r="F260" s="1"/>
      <c r="G260" s="1"/>
      <c r="H260" s="1"/>
      <c r="I260" s="1"/>
      <c r="J260" s="1"/>
      <c r="K260" s="1"/>
      <c r="L260" s="1"/>
      <c r="M260" s="1"/>
      <c r="N260" s="1"/>
      <c r="O260" s="1"/>
      <c r="P260" s="1"/>
      <c r="Q260" s="1"/>
      <c r="R260" s="1"/>
      <c r="S260" s="1"/>
      <c r="T260" s="1"/>
      <c r="U260" s="1"/>
      <c r="V260" s="1"/>
      <c r="W260" s="1"/>
      <c r="X260" s="1"/>
      <c r="Y260" s="1"/>
      <c r="Z260" s="1"/>
    </row>
    <row r="261" spans="2:26" ht="14.4">
      <c r="B261" s="1"/>
      <c r="C261" s="1"/>
      <c r="D261" s="1"/>
      <c r="E261" s="31"/>
      <c r="F261" s="1"/>
      <c r="G261" s="1"/>
      <c r="H261" s="1"/>
      <c r="I261" s="1"/>
      <c r="J261" s="1"/>
      <c r="K261" s="1"/>
      <c r="L261" s="1"/>
      <c r="M261" s="1"/>
      <c r="N261" s="1"/>
      <c r="O261" s="1"/>
      <c r="P261" s="1"/>
      <c r="Q261" s="1"/>
      <c r="R261" s="1"/>
      <c r="S261" s="1"/>
      <c r="T261" s="1"/>
      <c r="U261" s="1"/>
      <c r="V261" s="1"/>
      <c r="W261" s="1"/>
      <c r="X261" s="1"/>
      <c r="Y261" s="1"/>
      <c r="Z261" s="1"/>
    </row>
    <row r="262" spans="2:26" ht="14.4">
      <c r="B262" s="1"/>
      <c r="C262" s="1"/>
      <c r="D262" s="1"/>
      <c r="E262" s="31"/>
      <c r="F262" s="1"/>
      <c r="G262" s="1"/>
      <c r="H262" s="1"/>
      <c r="I262" s="1"/>
      <c r="J262" s="1"/>
      <c r="K262" s="1"/>
      <c r="L262" s="1"/>
      <c r="M262" s="1"/>
      <c r="N262" s="1"/>
      <c r="O262" s="1"/>
      <c r="P262" s="1"/>
      <c r="Q262" s="1"/>
      <c r="R262" s="1"/>
      <c r="S262" s="1"/>
      <c r="T262" s="1"/>
      <c r="U262" s="1"/>
      <c r="V262" s="1"/>
      <c r="W262" s="1"/>
      <c r="X262" s="1"/>
      <c r="Y262" s="1"/>
      <c r="Z262" s="1"/>
    </row>
    <row r="263" spans="2:26" ht="14.4">
      <c r="B263" s="1"/>
      <c r="C263" s="1"/>
      <c r="D263" s="1"/>
      <c r="E263" s="31"/>
      <c r="F263" s="1"/>
      <c r="G263" s="1"/>
      <c r="H263" s="1"/>
      <c r="I263" s="1"/>
      <c r="J263" s="1"/>
      <c r="K263" s="1"/>
      <c r="L263" s="1"/>
      <c r="M263" s="1"/>
      <c r="N263" s="1"/>
      <c r="O263" s="1"/>
      <c r="P263" s="1"/>
      <c r="Q263" s="1"/>
      <c r="R263" s="1"/>
      <c r="S263" s="1"/>
      <c r="T263" s="1"/>
      <c r="U263" s="1"/>
      <c r="V263" s="1"/>
      <c r="W263" s="1"/>
      <c r="X263" s="1"/>
      <c r="Y263" s="1"/>
      <c r="Z263" s="1"/>
    </row>
    <row r="264" spans="2:26" ht="14.4">
      <c r="B264" s="1"/>
      <c r="C264" s="1"/>
      <c r="D264" s="1"/>
      <c r="E264" s="31"/>
      <c r="F264" s="1"/>
      <c r="G264" s="1"/>
      <c r="H264" s="1"/>
      <c r="I264" s="1"/>
      <c r="J264" s="1"/>
      <c r="K264" s="1"/>
      <c r="L264" s="1"/>
      <c r="M264" s="1"/>
      <c r="N264" s="1"/>
      <c r="O264" s="1"/>
      <c r="P264" s="1"/>
      <c r="Q264" s="1"/>
      <c r="R264" s="1"/>
      <c r="S264" s="1"/>
      <c r="T264" s="1"/>
      <c r="U264" s="1"/>
      <c r="V264" s="1"/>
      <c r="W264" s="1"/>
      <c r="X264" s="1"/>
      <c r="Y264" s="1"/>
      <c r="Z264" s="1"/>
    </row>
    <row r="265" spans="2:26" ht="14.4">
      <c r="B265" s="1"/>
      <c r="C265" s="1"/>
      <c r="D265" s="1"/>
      <c r="E265" s="31"/>
      <c r="F265" s="1"/>
      <c r="G265" s="1"/>
      <c r="H265" s="1"/>
      <c r="I265" s="1"/>
      <c r="J265" s="1"/>
      <c r="K265" s="1"/>
      <c r="L265" s="1"/>
      <c r="M265" s="1"/>
      <c r="N265" s="1"/>
      <c r="O265" s="1"/>
      <c r="P265" s="1"/>
      <c r="Q265" s="1"/>
      <c r="R265" s="1"/>
      <c r="S265" s="1"/>
      <c r="T265" s="1"/>
      <c r="U265" s="1"/>
      <c r="V265" s="1"/>
      <c r="W265" s="1"/>
      <c r="X265" s="1"/>
      <c r="Y265" s="1"/>
      <c r="Z265" s="1"/>
    </row>
    <row r="266" spans="2:26" ht="14.4">
      <c r="B266" s="1"/>
      <c r="C266" s="1"/>
      <c r="D266" s="1"/>
      <c r="E266" s="31"/>
      <c r="F266" s="1"/>
      <c r="G266" s="1"/>
      <c r="H266" s="1"/>
      <c r="I266" s="1"/>
      <c r="J266" s="1"/>
      <c r="K266" s="1"/>
      <c r="L266" s="1"/>
      <c r="M266" s="1"/>
      <c r="N266" s="1"/>
      <c r="O266" s="1"/>
      <c r="P266" s="1"/>
      <c r="Q266" s="1"/>
      <c r="R266" s="1"/>
      <c r="S266" s="1"/>
      <c r="T266" s="1"/>
      <c r="U266" s="1"/>
      <c r="V266" s="1"/>
      <c r="W266" s="1"/>
      <c r="X266" s="1"/>
      <c r="Y266" s="1"/>
      <c r="Z266" s="1"/>
    </row>
    <row r="267" spans="2:26" ht="14.4">
      <c r="B267" s="1"/>
      <c r="C267" s="1"/>
      <c r="D267" s="1"/>
      <c r="E267" s="31"/>
      <c r="F267" s="1"/>
      <c r="G267" s="1"/>
      <c r="H267" s="1"/>
      <c r="I267" s="1"/>
      <c r="J267" s="1"/>
      <c r="K267" s="1"/>
      <c r="L267" s="1"/>
      <c r="M267" s="1"/>
      <c r="N267" s="1"/>
      <c r="O267" s="1"/>
      <c r="P267" s="1"/>
      <c r="Q267" s="1"/>
      <c r="R267" s="1"/>
      <c r="S267" s="1"/>
      <c r="T267" s="1"/>
      <c r="U267" s="1"/>
      <c r="V267" s="1"/>
      <c r="W267" s="1"/>
      <c r="X267" s="1"/>
      <c r="Y267" s="1"/>
      <c r="Z267" s="1"/>
    </row>
    <row r="268" spans="2:26" ht="14.4">
      <c r="B268" s="1"/>
      <c r="C268" s="1"/>
      <c r="D268" s="1"/>
      <c r="E268" s="31"/>
      <c r="F268" s="1"/>
      <c r="G268" s="1"/>
      <c r="H268" s="1"/>
      <c r="I268" s="1"/>
      <c r="J268" s="1"/>
      <c r="K268" s="1"/>
      <c r="L268" s="1"/>
      <c r="M268" s="1"/>
      <c r="N268" s="1"/>
      <c r="O268" s="1"/>
      <c r="P268" s="1"/>
      <c r="Q268" s="1"/>
      <c r="R268" s="1"/>
      <c r="S268" s="1"/>
      <c r="T268" s="1"/>
      <c r="U268" s="1"/>
      <c r="V268" s="1"/>
      <c r="W268" s="1"/>
      <c r="X268" s="1"/>
      <c r="Y268" s="1"/>
      <c r="Z268" s="1"/>
    </row>
    <row r="269" spans="2:26" ht="14.4">
      <c r="B269" s="1"/>
      <c r="C269" s="1"/>
      <c r="D269" s="1"/>
      <c r="E269" s="31"/>
      <c r="F269" s="1"/>
      <c r="G269" s="1"/>
      <c r="H269" s="1"/>
      <c r="I269" s="1"/>
      <c r="J269" s="1"/>
      <c r="K269" s="1"/>
      <c r="L269" s="1"/>
      <c r="M269" s="1"/>
      <c r="N269" s="1"/>
      <c r="O269" s="1"/>
      <c r="P269" s="1"/>
      <c r="Q269" s="1"/>
      <c r="R269" s="1"/>
      <c r="S269" s="1"/>
      <c r="T269" s="1"/>
      <c r="U269" s="1"/>
      <c r="V269" s="1"/>
      <c r="W269" s="1"/>
      <c r="X269" s="1"/>
      <c r="Y269" s="1"/>
      <c r="Z269" s="1"/>
    </row>
    <row r="270" spans="2:26" ht="14.4">
      <c r="B270" s="1"/>
      <c r="C270" s="1"/>
      <c r="D270" s="1"/>
      <c r="E270" s="31"/>
      <c r="F270" s="1"/>
      <c r="G270" s="1"/>
      <c r="H270" s="1"/>
      <c r="I270" s="1"/>
      <c r="J270" s="1"/>
      <c r="K270" s="1"/>
      <c r="L270" s="1"/>
      <c r="M270" s="1"/>
      <c r="N270" s="1"/>
      <c r="O270" s="1"/>
      <c r="P270" s="1"/>
      <c r="Q270" s="1"/>
      <c r="R270" s="1"/>
      <c r="S270" s="1"/>
      <c r="T270" s="1"/>
      <c r="U270" s="1"/>
      <c r="V270" s="1"/>
      <c r="W270" s="1"/>
      <c r="X270" s="1"/>
      <c r="Y270" s="1"/>
      <c r="Z270" s="1"/>
    </row>
    <row r="271" spans="2:26" ht="14.4">
      <c r="B271" s="1"/>
      <c r="C271" s="1"/>
      <c r="D271" s="1"/>
      <c r="E271" s="31"/>
      <c r="F271" s="1"/>
      <c r="G271" s="1"/>
      <c r="H271" s="1"/>
      <c r="I271" s="1"/>
      <c r="J271" s="1"/>
      <c r="K271" s="1"/>
      <c r="L271" s="1"/>
      <c r="M271" s="1"/>
      <c r="N271" s="1"/>
      <c r="O271" s="1"/>
      <c r="P271" s="1"/>
      <c r="Q271" s="1"/>
      <c r="R271" s="1"/>
      <c r="S271" s="1"/>
      <c r="T271" s="1"/>
      <c r="U271" s="1"/>
      <c r="V271" s="1"/>
      <c r="W271" s="1"/>
      <c r="X271" s="1"/>
      <c r="Y271" s="1"/>
      <c r="Z271" s="1"/>
    </row>
    <row r="272" spans="2:26" ht="14.4">
      <c r="B272" s="1"/>
      <c r="C272" s="1"/>
      <c r="D272" s="1"/>
      <c r="E272" s="31"/>
      <c r="F272" s="1"/>
      <c r="G272" s="1"/>
      <c r="H272" s="1"/>
      <c r="I272" s="1"/>
      <c r="J272" s="1"/>
      <c r="K272" s="1"/>
      <c r="L272" s="1"/>
      <c r="M272" s="1"/>
      <c r="N272" s="1"/>
      <c r="O272" s="1"/>
      <c r="P272" s="1"/>
      <c r="Q272" s="1"/>
      <c r="R272" s="1"/>
      <c r="S272" s="1"/>
      <c r="T272" s="1"/>
      <c r="U272" s="1"/>
      <c r="V272" s="1"/>
      <c r="W272" s="1"/>
      <c r="X272" s="1"/>
      <c r="Y272" s="1"/>
      <c r="Z272" s="1"/>
    </row>
    <row r="273" spans="2:26" ht="14.4">
      <c r="B273" s="1"/>
      <c r="C273" s="1"/>
      <c r="D273" s="1"/>
      <c r="E273" s="31"/>
      <c r="F273" s="1"/>
      <c r="G273" s="1"/>
      <c r="H273" s="1"/>
      <c r="I273" s="1"/>
      <c r="J273" s="1"/>
      <c r="K273" s="1"/>
      <c r="L273" s="1"/>
      <c r="M273" s="1"/>
      <c r="N273" s="1"/>
      <c r="O273" s="1"/>
      <c r="P273" s="1"/>
      <c r="Q273" s="1"/>
      <c r="R273" s="1"/>
      <c r="S273" s="1"/>
      <c r="T273" s="1"/>
      <c r="U273" s="1"/>
      <c r="V273" s="1"/>
      <c r="W273" s="1"/>
      <c r="X273" s="1"/>
      <c r="Y273" s="1"/>
      <c r="Z273" s="1"/>
    </row>
    <row r="274" spans="2:26" ht="14.4">
      <c r="B274" s="1"/>
      <c r="C274" s="1"/>
      <c r="D274" s="1"/>
      <c r="E274" s="31"/>
      <c r="F274" s="1"/>
      <c r="G274" s="1"/>
      <c r="H274" s="1"/>
      <c r="I274" s="1"/>
      <c r="J274" s="1"/>
      <c r="K274" s="1"/>
      <c r="L274" s="1"/>
      <c r="M274" s="1"/>
      <c r="N274" s="1"/>
      <c r="O274" s="1"/>
      <c r="P274" s="1"/>
      <c r="Q274" s="1"/>
      <c r="R274" s="1"/>
      <c r="S274" s="1"/>
      <c r="T274" s="1"/>
      <c r="U274" s="1"/>
      <c r="V274" s="1"/>
      <c r="W274" s="1"/>
      <c r="X274" s="1"/>
      <c r="Y274" s="1"/>
      <c r="Z274" s="1"/>
    </row>
    <row r="275" spans="2:26" ht="14.4">
      <c r="B275" s="1"/>
      <c r="C275" s="1"/>
      <c r="D275" s="1"/>
      <c r="E275" s="31"/>
      <c r="F275" s="1"/>
      <c r="G275" s="1"/>
      <c r="H275" s="1"/>
      <c r="I275" s="1"/>
      <c r="J275" s="1"/>
      <c r="K275" s="1"/>
      <c r="L275" s="1"/>
      <c r="M275" s="1"/>
      <c r="N275" s="1"/>
      <c r="O275" s="1"/>
      <c r="P275" s="1"/>
      <c r="Q275" s="1"/>
      <c r="R275" s="1"/>
      <c r="S275" s="1"/>
      <c r="T275" s="1"/>
      <c r="U275" s="1"/>
      <c r="V275" s="1"/>
      <c r="W275" s="1"/>
      <c r="X275" s="1"/>
      <c r="Y275" s="1"/>
      <c r="Z275" s="1"/>
    </row>
    <row r="276" spans="2:26" ht="14.4">
      <c r="B276" s="1"/>
      <c r="C276" s="1"/>
      <c r="D276" s="1"/>
      <c r="E276" s="31"/>
      <c r="F276" s="1"/>
      <c r="G276" s="1"/>
      <c r="H276" s="1"/>
      <c r="I276" s="1"/>
      <c r="J276" s="1"/>
      <c r="K276" s="1"/>
      <c r="L276" s="1"/>
      <c r="M276" s="1"/>
      <c r="N276" s="1"/>
      <c r="O276" s="1"/>
      <c r="P276" s="1"/>
      <c r="Q276" s="1"/>
      <c r="R276" s="1"/>
      <c r="S276" s="1"/>
      <c r="T276" s="1"/>
      <c r="U276" s="1"/>
      <c r="V276" s="1"/>
      <c r="W276" s="1"/>
      <c r="X276" s="1"/>
      <c r="Y276" s="1"/>
      <c r="Z276" s="1"/>
    </row>
    <row r="277" spans="2:26" ht="14.4">
      <c r="B277" s="1"/>
      <c r="C277" s="1"/>
      <c r="D277" s="1"/>
      <c r="E277" s="31"/>
      <c r="F277" s="1"/>
      <c r="G277" s="1"/>
      <c r="H277" s="1"/>
      <c r="I277" s="1"/>
      <c r="J277" s="1"/>
      <c r="K277" s="1"/>
      <c r="L277" s="1"/>
      <c r="M277" s="1"/>
      <c r="N277" s="1"/>
      <c r="O277" s="1"/>
      <c r="P277" s="1"/>
      <c r="Q277" s="1"/>
      <c r="R277" s="1"/>
      <c r="S277" s="1"/>
      <c r="T277" s="1"/>
      <c r="U277" s="1"/>
      <c r="V277" s="1"/>
      <c r="W277" s="1"/>
      <c r="X277" s="1"/>
      <c r="Y277" s="1"/>
      <c r="Z277" s="1"/>
    </row>
    <row r="278" spans="2:26" ht="14.4">
      <c r="B278" s="1"/>
      <c r="C278" s="1"/>
      <c r="D278" s="1"/>
      <c r="E278" s="31"/>
      <c r="F278" s="1"/>
      <c r="G278" s="1"/>
      <c r="H278" s="1"/>
      <c r="I278" s="1"/>
      <c r="J278" s="1"/>
      <c r="K278" s="1"/>
      <c r="L278" s="1"/>
      <c r="M278" s="1"/>
      <c r="N278" s="1"/>
      <c r="O278" s="1"/>
      <c r="P278" s="1"/>
      <c r="Q278" s="1"/>
      <c r="R278" s="1"/>
      <c r="S278" s="1"/>
      <c r="T278" s="1"/>
      <c r="U278" s="1"/>
      <c r="V278" s="1"/>
      <c r="W278" s="1"/>
      <c r="X278" s="1"/>
      <c r="Y278" s="1"/>
      <c r="Z278" s="1"/>
    </row>
    <row r="279" spans="2:26" ht="14.4">
      <c r="B279" s="1"/>
      <c r="C279" s="1"/>
      <c r="D279" s="1"/>
      <c r="E279" s="31"/>
      <c r="F279" s="1"/>
      <c r="G279" s="1"/>
      <c r="H279" s="1"/>
      <c r="I279" s="1"/>
      <c r="J279" s="1"/>
      <c r="K279" s="1"/>
      <c r="L279" s="1"/>
      <c r="M279" s="1"/>
      <c r="N279" s="1"/>
      <c r="O279" s="1"/>
      <c r="P279" s="1"/>
      <c r="Q279" s="1"/>
      <c r="R279" s="1"/>
      <c r="S279" s="1"/>
      <c r="T279" s="1"/>
      <c r="U279" s="1"/>
      <c r="V279" s="1"/>
      <c r="W279" s="1"/>
      <c r="X279" s="1"/>
      <c r="Y279" s="1"/>
      <c r="Z279" s="1"/>
    </row>
    <row r="280" spans="2:26" ht="14.4">
      <c r="B280" s="1"/>
      <c r="C280" s="1"/>
      <c r="D280" s="1"/>
      <c r="E280" s="31"/>
      <c r="F280" s="1"/>
      <c r="G280" s="1"/>
      <c r="H280" s="1"/>
      <c r="I280" s="1"/>
      <c r="J280" s="1"/>
      <c r="K280" s="1"/>
      <c r="L280" s="1"/>
      <c r="M280" s="1"/>
      <c r="N280" s="1"/>
      <c r="O280" s="1"/>
      <c r="P280" s="1"/>
      <c r="Q280" s="1"/>
      <c r="R280" s="1"/>
      <c r="S280" s="1"/>
      <c r="T280" s="1"/>
      <c r="U280" s="1"/>
      <c r="V280" s="1"/>
      <c r="W280" s="1"/>
      <c r="X280" s="1"/>
      <c r="Y280" s="1"/>
      <c r="Z280" s="1"/>
    </row>
    <row r="281" spans="2:26" ht="14.4">
      <c r="B281" s="1"/>
      <c r="C281" s="1"/>
      <c r="D281" s="1"/>
      <c r="E281" s="31"/>
      <c r="F281" s="1"/>
      <c r="G281" s="1"/>
      <c r="H281" s="1"/>
      <c r="I281" s="1"/>
      <c r="J281" s="1"/>
      <c r="K281" s="1"/>
      <c r="L281" s="1"/>
      <c r="M281" s="1"/>
      <c r="N281" s="1"/>
      <c r="O281" s="1"/>
      <c r="P281" s="1"/>
      <c r="Q281" s="1"/>
      <c r="R281" s="1"/>
      <c r="S281" s="1"/>
      <c r="T281" s="1"/>
      <c r="U281" s="1"/>
      <c r="V281" s="1"/>
      <c r="W281" s="1"/>
      <c r="X281" s="1"/>
      <c r="Y281" s="1"/>
      <c r="Z281" s="1"/>
    </row>
    <row r="282" spans="2:26" ht="14.4">
      <c r="B282" s="1"/>
      <c r="C282" s="1"/>
      <c r="D282" s="1"/>
      <c r="E282" s="31"/>
      <c r="F282" s="1"/>
      <c r="G282" s="1"/>
      <c r="H282" s="1"/>
      <c r="I282" s="1"/>
      <c r="J282" s="1"/>
      <c r="K282" s="1"/>
      <c r="L282" s="1"/>
      <c r="M282" s="1"/>
      <c r="N282" s="1"/>
      <c r="O282" s="1"/>
      <c r="P282" s="1"/>
      <c r="Q282" s="1"/>
      <c r="R282" s="1"/>
      <c r="S282" s="1"/>
      <c r="T282" s="1"/>
      <c r="U282" s="1"/>
      <c r="V282" s="1"/>
      <c r="W282" s="1"/>
      <c r="X282" s="1"/>
      <c r="Y282" s="1"/>
      <c r="Z282" s="1"/>
    </row>
    <row r="283" spans="2:26" ht="14.4">
      <c r="B283" s="1"/>
      <c r="C283" s="1"/>
      <c r="D283" s="1"/>
      <c r="E283" s="31"/>
      <c r="F283" s="1"/>
      <c r="G283" s="1"/>
      <c r="H283" s="1"/>
      <c r="I283" s="1"/>
      <c r="J283" s="1"/>
      <c r="K283" s="1"/>
      <c r="L283" s="1"/>
      <c r="M283" s="1"/>
      <c r="N283" s="1"/>
      <c r="O283" s="1"/>
      <c r="P283" s="1"/>
      <c r="Q283" s="1"/>
      <c r="R283" s="1"/>
      <c r="S283" s="1"/>
      <c r="T283" s="1"/>
      <c r="U283" s="1"/>
      <c r="V283" s="1"/>
      <c r="W283" s="1"/>
      <c r="X283" s="1"/>
      <c r="Y283" s="1"/>
      <c r="Z283" s="1"/>
    </row>
    <row r="284" spans="2:26" ht="14.4">
      <c r="B284" s="1"/>
      <c r="C284" s="1"/>
      <c r="D284" s="1"/>
      <c r="E284" s="31"/>
      <c r="F284" s="1"/>
      <c r="G284" s="1"/>
      <c r="H284" s="1"/>
      <c r="I284" s="1"/>
      <c r="J284" s="1"/>
      <c r="K284" s="1"/>
      <c r="L284" s="1"/>
      <c r="M284" s="1"/>
      <c r="N284" s="1"/>
      <c r="O284" s="1"/>
      <c r="P284" s="1"/>
      <c r="Q284" s="1"/>
      <c r="R284" s="1"/>
      <c r="S284" s="1"/>
      <c r="T284" s="1"/>
      <c r="U284" s="1"/>
      <c r="V284" s="1"/>
      <c r="W284" s="1"/>
      <c r="X284" s="1"/>
      <c r="Y284" s="1"/>
      <c r="Z284" s="1"/>
    </row>
    <row r="285" spans="2:26" ht="14.4">
      <c r="B285" s="1"/>
      <c r="C285" s="1"/>
      <c r="D285" s="1"/>
      <c r="E285" s="31"/>
      <c r="F285" s="1"/>
      <c r="G285" s="1"/>
      <c r="H285" s="1"/>
      <c r="I285" s="1"/>
      <c r="J285" s="1"/>
      <c r="K285" s="1"/>
      <c r="L285" s="1"/>
      <c r="M285" s="1"/>
      <c r="N285" s="1"/>
      <c r="O285" s="1"/>
      <c r="P285" s="1"/>
      <c r="Q285" s="1"/>
      <c r="R285" s="1"/>
      <c r="S285" s="1"/>
      <c r="T285" s="1"/>
      <c r="U285" s="1"/>
      <c r="V285" s="1"/>
      <c r="W285" s="1"/>
      <c r="X285" s="1"/>
      <c r="Y285" s="1"/>
      <c r="Z285" s="1"/>
    </row>
    <row r="286" spans="2:26" ht="14.4">
      <c r="B286" s="1"/>
      <c r="C286" s="1"/>
      <c r="D286" s="1"/>
      <c r="E286" s="31"/>
      <c r="F286" s="1"/>
      <c r="G286" s="1"/>
      <c r="H286" s="1"/>
      <c r="I286" s="1"/>
      <c r="J286" s="1"/>
      <c r="K286" s="1"/>
      <c r="L286" s="1"/>
      <c r="M286" s="1"/>
      <c r="N286" s="1"/>
      <c r="O286" s="1"/>
      <c r="P286" s="1"/>
      <c r="Q286" s="1"/>
      <c r="R286" s="1"/>
      <c r="S286" s="1"/>
      <c r="T286" s="1"/>
      <c r="U286" s="1"/>
      <c r="V286" s="1"/>
      <c r="W286" s="1"/>
      <c r="X286" s="1"/>
      <c r="Y286" s="1"/>
      <c r="Z286" s="1"/>
    </row>
    <row r="287" spans="2:26" ht="14.4">
      <c r="B287" s="1"/>
      <c r="C287" s="1"/>
      <c r="D287" s="1"/>
      <c r="E287" s="31"/>
      <c r="F287" s="1"/>
      <c r="G287" s="1"/>
      <c r="H287" s="1"/>
      <c r="I287" s="1"/>
      <c r="J287" s="1"/>
      <c r="K287" s="1"/>
      <c r="L287" s="1"/>
      <c r="M287" s="1"/>
      <c r="N287" s="1"/>
      <c r="O287" s="1"/>
      <c r="P287" s="1"/>
      <c r="Q287" s="1"/>
      <c r="R287" s="1"/>
      <c r="S287" s="1"/>
      <c r="T287" s="1"/>
      <c r="U287" s="1"/>
      <c r="V287" s="1"/>
      <c r="W287" s="1"/>
      <c r="X287" s="1"/>
      <c r="Y287" s="1"/>
      <c r="Z287" s="1"/>
    </row>
    <row r="288" spans="2:26" ht="14.4">
      <c r="B288" s="1"/>
      <c r="C288" s="1"/>
      <c r="D288" s="1"/>
      <c r="E288" s="31"/>
      <c r="F288" s="1"/>
      <c r="G288" s="1"/>
      <c r="H288" s="1"/>
      <c r="I288" s="1"/>
      <c r="J288" s="1"/>
      <c r="K288" s="1"/>
      <c r="L288" s="1"/>
      <c r="M288" s="1"/>
      <c r="N288" s="1"/>
      <c r="O288" s="1"/>
      <c r="P288" s="1"/>
      <c r="Q288" s="1"/>
      <c r="R288" s="1"/>
      <c r="S288" s="1"/>
      <c r="T288" s="1"/>
      <c r="U288" s="1"/>
      <c r="V288" s="1"/>
      <c r="W288" s="1"/>
      <c r="X288" s="1"/>
      <c r="Y288" s="1"/>
      <c r="Z288" s="1"/>
    </row>
    <row r="289" spans="2:26" ht="14.4">
      <c r="B289" s="1"/>
      <c r="C289" s="1"/>
      <c r="D289" s="1"/>
      <c r="E289" s="31"/>
      <c r="F289" s="1"/>
      <c r="G289" s="1"/>
      <c r="H289" s="1"/>
      <c r="I289" s="1"/>
      <c r="J289" s="1"/>
      <c r="K289" s="1"/>
      <c r="L289" s="1"/>
      <c r="M289" s="1"/>
      <c r="N289" s="1"/>
      <c r="O289" s="1"/>
      <c r="P289" s="1"/>
      <c r="Q289" s="1"/>
      <c r="R289" s="1"/>
      <c r="S289" s="1"/>
      <c r="T289" s="1"/>
      <c r="U289" s="1"/>
      <c r="V289" s="1"/>
      <c r="W289" s="1"/>
      <c r="X289" s="1"/>
      <c r="Y289" s="1"/>
      <c r="Z289" s="1"/>
    </row>
    <row r="290" spans="2:26" ht="14.4">
      <c r="B290" s="1"/>
      <c r="C290" s="1"/>
      <c r="D290" s="1"/>
      <c r="E290" s="31"/>
      <c r="F290" s="1"/>
      <c r="G290" s="1"/>
      <c r="H290" s="1"/>
      <c r="I290" s="1"/>
      <c r="J290" s="1"/>
      <c r="K290" s="1"/>
      <c r="L290" s="1"/>
      <c r="M290" s="1"/>
      <c r="N290" s="1"/>
      <c r="O290" s="1"/>
      <c r="P290" s="1"/>
      <c r="Q290" s="1"/>
      <c r="R290" s="1"/>
      <c r="S290" s="1"/>
      <c r="T290" s="1"/>
      <c r="U290" s="1"/>
      <c r="V290" s="1"/>
      <c r="W290" s="1"/>
      <c r="X290" s="1"/>
      <c r="Y290" s="1"/>
      <c r="Z290" s="1"/>
    </row>
    <row r="291" spans="2:26" ht="14.4">
      <c r="B291" s="1"/>
      <c r="C291" s="1"/>
      <c r="D291" s="1"/>
      <c r="E291" s="31"/>
      <c r="F291" s="1"/>
      <c r="G291" s="1"/>
      <c r="H291" s="1"/>
      <c r="I291" s="1"/>
      <c r="J291" s="1"/>
      <c r="K291" s="1"/>
      <c r="L291" s="1"/>
      <c r="M291" s="1"/>
      <c r="N291" s="1"/>
      <c r="O291" s="1"/>
      <c r="P291" s="1"/>
      <c r="Q291" s="1"/>
      <c r="R291" s="1"/>
      <c r="S291" s="1"/>
      <c r="T291" s="1"/>
      <c r="U291" s="1"/>
      <c r="V291" s="1"/>
      <c r="W291" s="1"/>
      <c r="X291" s="1"/>
      <c r="Y291" s="1"/>
      <c r="Z291" s="1"/>
    </row>
    <row r="292" spans="2:26" ht="14.4">
      <c r="B292" s="1"/>
      <c r="C292" s="1"/>
      <c r="D292" s="1"/>
      <c r="E292" s="31"/>
      <c r="F292" s="1"/>
      <c r="G292" s="1"/>
      <c r="H292" s="1"/>
      <c r="I292" s="1"/>
      <c r="J292" s="1"/>
      <c r="K292" s="1"/>
      <c r="L292" s="1"/>
      <c r="M292" s="1"/>
      <c r="N292" s="1"/>
      <c r="O292" s="1"/>
      <c r="P292" s="1"/>
      <c r="Q292" s="1"/>
      <c r="R292" s="1"/>
      <c r="S292" s="1"/>
      <c r="T292" s="1"/>
      <c r="U292" s="1"/>
      <c r="V292" s="1"/>
      <c r="W292" s="1"/>
      <c r="X292" s="1"/>
      <c r="Y292" s="1"/>
      <c r="Z292" s="1"/>
    </row>
    <row r="293" spans="2:26" ht="14.4">
      <c r="B293" s="1"/>
      <c r="C293" s="1"/>
      <c r="D293" s="1"/>
      <c r="E293" s="31"/>
      <c r="F293" s="1"/>
      <c r="G293" s="1"/>
      <c r="H293" s="1"/>
      <c r="I293" s="1"/>
      <c r="J293" s="1"/>
      <c r="K293" s="1"/>
      <c r="L293" s="1"/>
      <c r="M293" s="1"/>
      <c r="N293" s="1"/>
      <c r="O293" s="1"/>
      <c r="P293" s="1"/>
      <c r="Q293" s="1"/>
      <c r="R293" s="1"/>
      <c r="S293" s="1"/>
      <c r="T293" s="1"/>
      <c r="U293" s="1"/>
      <c r="V293" s="1"/>
      <c r="W293" s="1"/>
      <c r="X293" s="1"/>
      <c r="Y293" s="1"/>
      <c r="Z293" s="1"/>
    </row>
    <row r="294" spans="2:26" ht="14.4">
      <c r="B294" s="1"/>
      <c r="C294" s="1"/>
      <c r="D294" s="1"/>
      <c r="E294" s="31"/>
      <c r="F294" s="1"/>
      <c r="G294" s="1"/>
      <c r="H294" s="1"/>
      <c r="I294" s="1"/>
      <c r="J294" s="1"/>
      <c r="K294" s="1"/>
      <c r="L294" s="1"/>
      <c r="M294" s="1"/>
      <c r="N294" s="1"/>
      <c r="O294" s="1"/>
      <c r="P294" s="1"/>
      <c r="Q294" s="1"/>
      <c r="R294" s="1"/>
      <c r="S294" s="1"/>
      <c r="T294" s="1"/>
      <c r="U294" s="1"/>
      <c r="V294" s="1"/>
      <c r="W294" s="1"/>
      <c r="X294" s="1"/>
      <c r="Y294" s="1"/>
      <c r="Z294" s="1"/>
    </row>
    <row r="295" spans="2:26" ht="14.4">
      <c r="B295" s="1"/>
      <c r="C295" s="1"/>
      <c r="D295" s="1"/>
      <c r="E295" s="31"/>
      <c r="F295" s="1"/>
      <c r="G295" s="1"/>
      <c r="H295" s="1"/>
      <c r="I295" s="1"/>
      <c r="J295" s="1"/>
      <c r="K295" s="1"/>
      <c r="L295" s="1"/>
      <c r="M295" s="1"/>
      <c r="N295" s="1"/>
      <c r="O295" s="1"/>
      <c r="P295" s="1"/>
      <c r="Q295" s="1"/>
      <c r="R295" s="1"/>
      <c r="S295" s="1"/>
      <c r="T295" s="1"/>
      <c r="U295" s="1"/>
      <c r="V295" s="1"/>
      <c r="W295" s="1"/>
      <c r="X295" s="1"/>
      <c r="Y295" s="1"/>
      <c r="Z295" s="1"/>
    </row>
    <row r="296" spans="2:26" ht="14.4">
      <c r="B296" s="1"/>
      <c r="C296" s="1"/>
      <c r="D296" s="1"/>
      <c r="E296" s="31"/>
      <c r="F296" s="1"/>
      <c r="G296" s="1"/>
      <c r="H296" s="1"/>
      <c r="I296" s="1"/>
      <c r="J296" s="1"/>
      <c r="K296" s="1"/>
      <c r="L296" s="1"/>
      <c r="M296" s="1"/>
      <c r="N296" s="1"/>
      <c r="O296" s="1"/>
      <c r="P296" s="1"/>
      <c r="Q296" s="1"/>
      <c r="R296" s="1"/>
      <c r="S296" s="1"/>
      <c r="T296" s="1"/>
      <c r="U296" s="1"/>
      <c r="V296" s="1"/>
      <c r="W296" s="1"/>
      <c r="X296" s="1"/>
      <c r="Y296" s="1"/>
      <c r="Z296" s="1"/>
    </row>
    <row r="297" spans="2:26" ht="14.4">
      <c r="B297" s="1"/>
      <c r="C297" s="1"/>
      <c r="D297" s="1"/>
      <c r="E297" s="31"/>
      <c r="F297" s="1"/>
      <c r="G297" s="1"/>
      <c r="H297" s="1"/>
      <c r="I297" s="1"/>
      <c r="J297" s="1"/>
      <c r="K297" s="1"/>
      <c r="L297" s="1"/>
      <c r="M297" s="1"/>
      <c r="N297" s="1"/>
      <c r="O297" s="1"/>
      <c r="P297" s="1"/>
      <c r="Q297" s="1"/>
      <c r="R297" s="1"/>
      <c r="S297" s="1"/>
      <c r="T297" s="1"/>
      <c r="U297" s="1"/>
      <c r="V297" s="1"/>
      <c r="W297" s="1"/>
      <c r="X297" s="1"/>
      <c r="Y297" s="1"/>
      <c r="Z297" s="1"/>
    </row>
    <row r="298" spans="2:26" ht="14.4">
      <c r="B298" s="1"/>
      <c r="C298" s="1"/>
      <c r="D298" s="1"/>
      <c r="E298" s="31"/>
      <c r="F298" s="1"/>
      <c r="G298" s="1"/>
      <c r="H298" s="1"/>
      <c r="I298" s="1"/>
      <c r="J298" s="1"/>
      <c r="K298" s="1"/>
      <c r="L298" s="1"/>
      <c r="M298" s="1"/>
      <c r="N298" s="1"/>
      <c r="O298" s="1"/>
      <c r="P298" s="1"/>
      <c r="Q298" s="1"/>
      <c r="R298" s="1"/>
      <c r="S298" s="1"/>
      <c r="T298" s="1"/>
      <c r="U298" s="1"/>
      <c r="V298" s="1"/>
      <c r="W298" s="1"/>
      <c r="X298" s="1"/>
      <c r="Y298" s="1"/>
      <c r="Z298" s="1"/>
    </row>
    <row r="299" spans="2:26" ht="14.4">
      <c r="B299" s="1"/>
      <c r="C299" s="1"/>
      <c r="D299" s="1"/>
      <c r="E299" s="31"/>
      <c r="F299" s="1"/>
      <c r="G299" s="1"/>
      <c r="H299" s="1"/>
      <c r="I299" s="1"/>
      <c r="J299" s="1"/>
      <c r="K299" s="1"/>
      <c r="L299" s="1"/>
      <c r="M299" s="1"/>
      <c r="N299" s="1"/>
      <c r="O299" s="1"/>
      <c r="P299" s="1"/>
      <c r="Q299" s="1"/>
      <c r="R299" s="1"/>
      <c r="S299" s="1"/>
      <c r="T299" s="1"/>
      <c r="U299" s="1"/>
      <c r="V299" s="1"/>
      <c r="W299" s="1"/>
      <c r="X299" s="1"/>
      <c r="Y299" s="1"/>
      <c r="Z299" s="1"/>
    </row>
    <row r="300" spans="2:26" ht="14.4">
      <c r="B300" s="1"/>
      <c r="C300" s="1"/>
      <c r="D300" s="1"/>
      <c r="E300" s="31"/>
      <c r="F300" s="1"/>
      <c r="G300" s="1"/>
      <c r="H300" s="1"/>
      <c r="I300" s="1"/>
      <c r="J300" s="1"/>
      <c r="K300" s="1"/>
      <c r="L300" s="1"/>
      <c r="M300" s="1"/>
      <c r="N300" s="1"/>
      <c r="O300" s="1"/>
      <c r="P300" s="1"/>
      <c r="Q300" s="1"/>
      <c r="R300" s="1"/>
      <c r="S300" s="1"/>
      <c r="T300" s="1"/>
      <c r="U300" s="1"/>
      <c r="V300" s="1"/>
      <c r="W300" s="1"/>
      <c r="X300" s="1"/>
      <c r="Y300" s="1"/>
      <c r="Z300" s="1"/>
    </row>
    <row r="301" spans="2:26" ht="14.4">
      <c r="B301" s="1"/>
      <c r="C301" s="1"/>
      <c r="D301" s="1"/>
      <c r="E301" s="31"/>
      <c r="F301" s="1"/>
      <c r="G301" s="1"/>
      <c r="H301" s="1"/>
      <c r="I301" s="1"/>
      <c r="J301" s="1"/>
      <c r="K301" s="1"/>
      <c r="L301" s="1"/>
      <c r="M301" s="1"/>
      <c r="N301" s="1"/>
      <c r="O301" s="1"/>
      <c r="P301" s="1"/>
      <c r="Q301" s="1"/>
      <c r="R301" s="1"/>
      <c r="S301" s="1"/>
      <c r="T301" s="1"/>
      <c r="U301" s="1"/>
      <c r="V301" s="1"/>
      <c r="W301" s="1"/>
      <c r="X301" s="1"/>
      <c r="Y301" s="1"/>
      <c r="Z301" s="1"/>
    </row>
    <row r="302" spans="2:26" ht="14.4">
      <c r="B302" s="1"/>
      <c r="C302" s="1"/>
      <c r="D302" s="1"/>
      <c r="E302" s="31"/>
      <c r="F302" s="1"/>
      <c r="G302" s="1"/>
      <c r="H302" s="1"/>
      <c r="I302" s="1"/>
      <c r="J302" s="1"/>
      <c r="K302" s="1"/>
      <c r="L302" s="1"/>
      <c r="M302" s="1"/>
      <c r="N302" s="1"/>
      <c r="O302" s="1"/>
      <c r="P302" s="1"/>
      <c r="Q302" s="1"/>
      <c r="R302" s="1"/>
      <c r="S302" s="1"/>
      <c r="T302" s="1"/>
      <c r="U302" s="1"/>
      <c r="V302" s="1"/>
      <c r="W302" s="1"/>
      <c r="X302" s="1"/>
      <c r="Y302" s="1"/>
      <c r="Z302" s="1"/>
    </row>
    <row r="303" spans="2:26" ht="14.4">
      <c r="B303" s="1"/>
      <c r="C303" s="1"/>
      <c r="D303" s="1"/>
      <c r="E303" s="31"/>
      <c r="F303" s="1"/>
      <c r="G303" s="1"/>
      <c r="H303" s="1"/>
      <c r="I303" s="1"/>
      <c r="J303" s="1"/>
      <c r="K303" s="1"/>
      <c r="L303" s="1"/>
      <c r="M303" s="1"/>
      <c r="N303" s="1"/>
      <c r="O303" s="1"/>
      <c r="P303" s="1"/>
      <c r="Q303" s="1"/>
      <c r="R303" s="1"/>
      <c r="S303" s="1"/>
      <c r="T303" s="1"/>
      <c r="U303" s="1"/>
      <c r="V303" s="1"/>
      <c r="W303" s="1"/>
      <c r="X303" s="1"/>
      <c r="Y303" s="1"/>
      <c r="Z303" s="1"/>
    </row>
    <row r="304" spans="2:26" ht="14.4">
      <c r="B304" s="1"/>
      <c r="C304" s="1"/>
      <c r="D304" s="1"/>
      <c r="E304" s="31"/>
      <c r="F304" s="1"/>
      <c r="G304" s="1"/>
      <c r="H304" s="1"/>
      <c r="I304" s="1"/>
      <c r="J304" s="1"/>
      <c r="K304" s="1"/>
      <c r="L304" s="1"/>
      <c r="M304" s="1"/>
      <c r="N304" s="1"/>
      <c r="O304" s="1"/>
      <c r="P304" s="1"/>
      <c r="Q304" s="1"/>
      <c r="R304" s="1"/>
      <c r="S304" s="1"/>
      <c r="T304" s="1"/>
      <c r="U304" s="1"/>
      <c r="V304" s="1"/>
      <c r="W304" s="1"/>
      <c r="X304" s="1"/>
      <c r="Y304" s="1"/>
      <c r="Z304" s="1"/>
    </row>
    <row r="305" spans="2:26" ht="14.4">
      <c r="B305" s="1"/>
      <c r="C305" s="1"/>
      <c r="D305" s="1"/>
      <c r="E305" s="31"/>
      <c r="F305" s="1"/>
      <c r="G305" s="1"/>
      <c r="H305" s="1"/>
      <c r="I305" s="1"/>
      <c r="J305" s="1"/>
      <c r="K305" s="1"/>
      <c r="L305" s="1"/>
      <c r="M305" s="1"/>
      <c r="N305" s="1"/>
      <c r="O305" s="1"/>
      <c r="P305" s="1"/>
      <c r="Q305" s="1"/>
      <c r="R305" s="1"/>
      <c r="S305" s="1"/>
      <c r="T305" s="1"/>
      <c r="U305" s="1"/>
      <c r="V305" s="1"/>
      <c r="W305" s="1"/>
      <c r="X305" s="1"/>
      <c r="Y305" s="1"/>
      <c r="Z305" s="1"/>
    </row>
    <row r="306" spans="2:26" ht="14.4">
      <c r="B306" s="1"/>
      <c r="C306" s="1"/>
      <c r="D306" s="1"/>
      <c r="E306" s="31"/>
      <c r="F306" s="1"/>
      <c r="G306" s="1"/>
      <c r="H306" s="1"/>
      <c r="I306" s="1"/>
      <c r="J306" s="1"/>
      <c r="K306" s="1"/>
      <c r="L306" s="1"/>
      <c r="M306" s="1"/>
      <c r="N306" s="1"/>
      <c r="O306" s="1"/>
      <c r="P306" s="1"/>
      <c r="Q306" s="1"/>
      <c r="R306" s="1"/>
      <c r="S306" s="1"/>
      <c r="T306" s="1"/>
      <c r="U306" s="1"/>
      <c r="V306" s="1"/>
      <c r="W306" s="1"/>
      <c r="X306" s="1"/>
      <c r="Y306" s="1"/>
      <c r="Z306" s="1"/>
    </row>
    <row r="307" spans="2:26" ht="14.4">
      <c r="B307" s="1"/>
      <c r="C307" s="1"/>
      <c r="D307" s="1"/>
      <c r="E307" s="31"/>
      <c r="F307" s="1"/>
      <c r="G307" s="1"/>
      <c r="H307" s="1"/>
      <c r="I307" s="1"/>
      <c r="J307" s="1"/>
      <c r="K307" s="1"/>
      <c r="L307" s="1"/>
      <c r="M307" s="1"/>
      <c r="N307" s="1"/>
      <c r="O307" s="1"/>
      <c r="P307" s="1"/>
      <c r="Q307" s="1"/>
      <c r="R307" s="1"/>
      <c r="S307" s="1"/>
      <c r="T307" s="1"/>
      <c r="U307" s="1"/>
      <c r="V307" s="1"/>
      <c r="W307" s="1"/>
      <c r="X307" s="1"/>
      <c r="Y307" s="1"/>
      <c r="Z307" s="1"/>
    </row>
    <row r="308" spans="2:26" ht="14.4">
      <c r="B308" s="1"/>
      <c r="C308" s="1"/>
      <c r="D308" s="1"/>
      <c r="E308" s="31"/>
      <c r="F308" s="1"/>
      <c r="G308" s="1"/>
      <c r="H308" s="1"/>
      <c r="I308" s="1"/>
      <c r="J308" s="1"/>
      <c r="K308" s="1"/>
      <c r="L308" s="1"/>
      <c r="M308" s="1"/>
      <c r="N308" s="1"/>
      <c r="O308" s="1"/>
      <c r="P308" s="1"/>
      <c r="Q308" s="1"/>
      <c r="R308" s="1"/>
      <c r="S308" s="1"/>
      <c r="T308" s="1"/>
      <c r="U308" s="1"/>
      <c r="V308" s="1"/>
      <c r="W308" s="1"/>
      <c r="X308" s="1"/>
      <c r="Y308" s="1"/>
      <c r="Z308" s="1"/>
    </row>
    <row r="309" spans="2:26" ht="14.4">
      <c r="B309" s="1"/>
      <c r="C309" s="1"/>
      <c r="D309" s="1"/>
      <c r="E309" s="31"/>
      <c r="F309" s="1"/>
      <c r="G309" s="1"/>
      <c r="H309" s="1"/>
      <c r="I309" s="1"/>
      <c r="J309" s="1"/>
      <c r="K309" s="1"/>
      <c r="L309" s="1"/>
      <c r="M309" s="1"/>
      <c r="N309" s="1"/>
      <c r="O309" s="1"/>
      <c r="P309" s="1"/>
      <c r="Q309" s="1"/>
      <c r="R309" s="1"/>
      <c r="S309" s="1"/>
      <c r="T309" s="1"/>
      <c r="U309" s="1"/>
      <c r="V309" s="1"/>
      <c r="W309" s="1"/>
      <c r="X309" s="1"/>
      <c r="Y309" s="1"/>
      <c r="Z309" s="1"/>
    </row>
    <row r="310" spans="2:26" ht="14.4">
      <c r="B310" s="1"/>
      <c r="C310" s="1"/>
      <c r="D310" s="1"/>
      <c r="E310" s="31"/>
      <c r="F310" s="1"/>
      <c r="G310" s="1"/>
      <c r="H310" s="1"/>
      <c r="I310" s="1"/>
      <c r="J310" s="1"/>
      <c r="K310" s="1"/>
      <c r="L310" s="1"/>
      <c r="M310" s="1"/>
      <c r="N310" s="1"/>
      <c r="O310" s="1"/>
      <c r="P310" s="1"/>
      <c r="Q310" s="1"/>
      <c r="R310" s="1"/>
      <c r="S310" s="1"/>
      <c r="T310" s="1"/>
      <c r="U310" s="1"/>
      <c r="V310" s="1"/>
      <c r="W310" s="1"/>
      <c r="X310" s="1"/>
      <c r="Y310" s="1"/>
      <c r="Z310" s="1"/>
    </row>
    <row r="311" spans="2:26" ht="14.4">
      <c r="B311" s="1"/>
      <c r="C311" s="1"/>
      <c r="D311" s="1"/>
      <c r="E311" s="31"/>
      <c r="F311" s="1"/>
      <c r="G311" s="1"/>
      <c r="H311" s="1"/>
      <c r="I311" s="1"/>
      <c r="J311" s="1"/>
      <c r="K311" s="1"/>
      <c r="L311" s="1"/>
      <c r="M311" s="1"/>
      <c r="N311" s="1"/>
      <c r="O311" s="1"/>
      <c r="P311" s="1"/>
      <c r="Q311" s="1"/>
      <c r="R311" s="1"/>
      <c r="S311" s="1"/>
      <c r="T311" s="1"/>
      <c r="U311" s="1"/>
      <c r="V311" s="1"/>
      <c r="W311" s="1"/>
      <c r="X311" s="1"/>
      <c r="Y311" s="1"/>
      <c r="Z311" s="1"/>
    </row>
    <row r="312" spans="2:26" ht="14.4">
      <c r="B312" s="1"/>
      <c r="C312" s="1"/>
      <c r="D312" s="1"/>
      <c r="E312" s="31"/>
      <c r="F312" s="1"/>
      <c r="G312" s="1"/>
      <c r="H312" s="1"/>
      <c r="I312" s="1"/>
      <c r="J312" s="1"/>
      <c r="K312" s="1"/>
      <c r="L312" s="1"/>
      <c r="M312" s="1"/>
      <c r="N312" s="1"/>
      <c r="O312" s="1"/>
      <c r="P312" s="1"/>
      <c r="Q312" s="1"/>
      <c r="R312" s="1"/>
      <c r="S312" s="1"/>
      <c r="T312" s="1"/>
      <c r="U312" s="1"/>
      <c r="V312" s="1"/>
      <c r="W312" s="1"/>
      <c r="X312" s="1"/>
      <c r="Y312" s="1"/>
      <c r="Z312" s="1"/>
    </row>
    <row r="313" spans="2:26" ht="14.4">
      <c r="B313" s="1"/>
      <c r="C313" s="1"/>
      <c r="D313" s="1"/>
      <c r="E313" s="31"/>
      <c r="F313" s="1"/>
      <c r="G313" s="1"/>
      <c r="H313" s="1"/>
      <c r="I313" s="1"/>
      <c r="J313" s="1"/>
      <c r="K313" s="1"/>
      <c r="L313" s="1"/>
      <c r="M313" s="1"/>
      <c r="N313" s="1"/>
      <c r="O313" s="1"/>
      <c r="P313" s="1"/>
      <c r="Q313" s="1"/>
      <c r="R313" s="1"/>
      <c r="S313" s="1"/>
      <c r="T313" s="1"/>
      <c r="U313" s="1"/>
      <c r="V313" s="1"/>
      <c r="W313" s="1"/>
      <c r="X313" s="1"/>
      <c r="Y313" s="1"/>
      <c r="Z313" s="1"/>
    </row>
    <row r="314" spans="2:26" ht="14.4">
      <c r="B314" s="1"/>
      <c r="C314" s="1"/>
      <c r="D314" s="1"/>
      <c r="E314" s="31"/>
      <c r="F314" s="1"/>
      <c r="G314" s="1"/>
      <c r="H314" s="1"/>
      <c r="I314" s="1"/>
      <c r="J314" s="1"/>
      <c r="K314" s="1"/>
      <c r="L314" s="1"/>
      <c r="M314" s="1"/>
      <c r="N314" s="1"/>
      <c r="O314" s="1"/>
      <c r="P314" s="1"/>
      <c r="Q314" s="1"/>
      <c r="R314" s="1"/>
      <c r="S314" s="1"/>
      <c r="T314" s="1"/>
      <c r="U314" s="1"/>
      <c r="V314" s="1"/>
      <c r="W314" s="1"/>
      <c r="X314" s="1"/>
      <c r="Y314" s="1"/>
      <c r="Z314" s="1"/>
    </row>
    <row r="315" spans="2:26" ht="14.4">
      <c r="B315" s="1"/>
      <c r="C315" s="1"/>
      <c r="D315" s="1"/>
      <c r="E315" s="31"/>
      <c r="F315" s="1"/>
      <c r="G315" s="1"/>
      <c r="H315" s="1"/>
      <c r="I315" s="1"/>
      <c r="J315" s="1"/>
      <c r="K315" s="1"/>
      <c r="L315" s="1"/>
      <c r="M315" s="1"/>
      <c r="N315" s="1"/>
      <c r="O315" s="1"/>
      <c r="P315" s="1"/>
      <c r="Q315" s="1"/>
      <c r="R315" s="1"/>
      <c r="S315" s="1"/>
      <c r="T315" s="1"/>
      <c r="U315" s="1"/>
      <c r="V315" s="1"/>
      <c r="W315" s="1"/>
      <c r="X315" s="1"/>
      <c r="Y315" s="1"/>
      <c r="Z315" s="1"/>
    </row>
    <row r="316" spans="2:26" ht="14.4">
      <c r="B316" s="1"/>
      <c r="C316" s="1"/>
      <c r="D316" s="1"/>
      <c r="E316" s="31"/>
      <c r="F316" s="1"/>
      <c r="G316" s="1"/>
      <c r="H316" s="1"/>
      <c r="I316" s="1"/>
      <c r="J316" s="1"/>
      <c r="K316" s="1"/>
      <c r="L316" s="1"/>
      <c r="M316" s="1"/>
      <c r="N316" s="1"/>
      <c r="O316" s="1"/>
      <c r="P316" s="1"/>
      <c r="Q316" s="1"/>
      <c r="R316" s="1"/>
      <c r="S316" s="1"/>
      <c r="T316" s="1"/>
      <c r="U316" s="1"/>
      <c r="V316" s="1"/>
      <c r="W316" s="1"/>
      <c r="X316" s="1"/>
      <c r="Y316" s="1"/>
      <c r="Z316" s="1"/>
    </row>
    <row r="317" spans="2:26" ht="14.4">
      <c r="B317" s="1"/>
      <c r="C317" s="1"/>
      <c r="D317" s="1"/>
      <c r="E317" s="31"/>
      <c r="F317" s="1"/>
      <c r="G317" s="1"/>
      <c r="H317" s="1"/>
      <c r="I317" s="1"/>
      <c r="J317" s="1"/>
      <c r="K317" s="1"/>
      <c r="L317" s="1"/>
      <c r="M317" s="1"/>
      <c r="N317" s="1"/>
      <c r="O317" s="1"/>
      <c r="P317" s="1"/>
      <c r="Q317" s="1"/>
      <c r="R317" s="1"/>
      <c r="S317" s="1"/>
      <c r="T317" s="1"/>
      <c r="U317" s="1"/>
      <c r="V317" s="1"/>
      <c r="W317" s="1"/>
      <c r="X317" s="1"/>
      <c r="Y317" s="1"/>
      <c r="Z317" s="1"/>
    </row>
    <row r="318" spans="2:26" ht="14.4">
      <c r="B318" s="1"/>
      <c r="C318" s="1"/>
      <c r="D318" s="1"/>
      <c r="E318" s="31"/>
      <c r="F318" s="1"/>
      <c r="G318" s="1"/>
      <c r="H318" s="1"/>
      <c r="I318" s="1"/>
      <c r="J318" s="1"/>
      <c r="K318" s="1"/>
      <c r="L318" s="1"/>
      <c r="M318" s="1"/>
      <c r="N318" s="1"/>
      <c r="O318" s="1"/>
      <c r="P318" s="1"/>
      <c r="Q318" s="1"/>
      <c r="R318" s="1"/>
      <c r="S318" s="1"/>
      <c r="T318" s="1"/>
      <c r="U318" s="1"/>
      <c r="V318" s="1"/>
      <c r="W318" s="1"/>
      <c r="X318" s="1"/>
      <c r="Y318" s="1"/>
      <c r="Z318" s="1"/>
    </row>
    <row r="319" spans="2:26" ht="14.4">
      <c r="B319" s="1"/>
      <c r="C319" s="1"/>
      <c r="D319" s="1"/>
      <c r="E319" s="31"/>
      <c r="F319" s="1"/>
      <c r="G319" s="1"/>
      <c r="H319" s="1"/>
      <c r="I319" s="1"/>
      <c r="J319" s="1"/>
      <c r="K319" s="1"/>
      <c r="L319" s="1"/>
      <c r="M319" s="1"/>
      <c r="N319" s="1"/>
      <c r="O319" s="1"/>
      <c r="P319" s="1"/>
      <c r="Q319" s="1"/>
      <c r="R319" s="1"/>
      <c r="S319" s="1"/>
      <c r="T319" s="1"/>
      <c r="U319" s="1"/>
      <c r="V319" s="1"/>
      <c r="W319" s="1"/>
      <c r="X319" s="1"/>
      <c r="Y319" s="1"/>
      <c r="Z319" s="1"/>
    </row>
    <row r="320" spans="2:26" ht="14.4">
      <c r="B320" s="1"/>
      <c r="C320" s="1"/>
      <c r="D320" s="1"/>
      <c r="E320" s="31"/>
      <c r="F320" s="1"/>
      <c r="G320" s="1"/>
      <c r="H320" s="1"/>
      <c r="I320" s="1"/>
      <c r="J320" s="1"/>
      <c r="K320" s="1"/>
      <c r="L320" s="1"/>
      <c r="M320" s="1"/>
      <c r="N320" s="1"/>
      <c r="O320" s="1"/>
      <c r="P320" s="1"/>
      <c r="Q320" s="1"/>
      <c r="R320" s="1"/>
      <c r="S320" s="1"/>
      <c r="T320" s="1"/>
      <c r="U320" s="1"/>
      <c r="V320" s="1"/>
      <c r="W320" s="1"/>
      <c r="X320" s="1"/>
      <c r="Y320" s="1"/>
      <c r="Z320" s="1"/>
    </row>
    <row r="321" spans="2:26" ht="14.4">
      <c r="B321" s="1"/>
      <c r="C321" s="1"/>
      <c r="D321" s="1"/>
      <c r="E321" s="31"/>
      <c r="F321" s="1"/>
      <c r="G321" s="1"/>
      <c r="H321" s="1"/>
      <c r="I321" s="1"/>
      <c r="J321" s="1"/>
      <c r="K321" s="1"/>
      <c r="L321" s="1"/>
      <c r="M321" s="1"/>
      <c r="N321" s="1"/>
      <c r="O321" s="1"/>
      <c r="P321" s="1"/>
      <c r="Q321" s="1"/>
      <c r="R321" s="1"/>
      <c r="S321" s="1"/>
      <c r="T321" s="1"/>
      <c r="U321" s="1"/>
      <c r="V321" s="1"/>
      <c r="W321" s="1"/>
      <c r="X321" s="1"/>
      <c r="Y321" s="1"/>
      <c r="Z321" s="1"/>
    </row>
    <row r="322" spans="2:26" ht="14.4">
      <c r="B322" s="1"/>
      <c r="C322" s="1"/>
      <c r="D322" s="1"/>
      <c r="E322" s="31"/>
      <c r="F322" s="1"/>
      <c r="G322" s="1"/>
      <c r="H322" s="1"/>
      <c r="I322" s="1"/>
      <c r="J322" s="1"/>
      <c r="K322" s="1"/>
      <c r="L322" s="1"/>
      <c r="M322" s="1"/>
      <c r="N322" s="1"/>
      <c r="O322" s="1"/>
      <c r="P322" s="1"/>
      <c r="Q322" s="1"/>
      <c r="R322" s="1"/>
      <c r="S322" s="1"/>
      <c r="T322" s="1"/>
      <c r="U322" s="1"/>
      <c r="V322" s="1"/>
      <c r="W322" s="1"/>
      <c r="X322" s="1"/>
      <c r="Y322" s="1"/>
      <c r="Z322" s="1"/>
    </row>
    <row r="323" spans="2:26" ht="14.4">
      <c r="B323" s="1"/>
      <c r="C323" s="1"/>
      <c r="D323" s="1"/>
      <c r="E323" s="31"/>
      <c r="F323" s="1"/>
      <c r="G323" s="1"/>
      <c r="H323" s="1"/>
      <c r="I323" s="1"/>
      <c r="J323" s="1"/>
      <c r="K323" s="1"/>
      <c r="L323" s="1"/>
      <c r="M323" s="1"/>
      <c r="N323" s="1"/>
      <c r="O323" s="1"/>
      <c r="P323" s="1"/>
      <c r="Q323" s="1"/>
      <c r="R323" s="1"/>
      <c r="S323" s="1"/>
      <c r="T323" s="1"/>
      <c r="U323" s="1"/>
      <c r="V323" s="1"/>
      <c r="W323" s="1"/>
      <c r="X323" s="1"/>
      <c r="Y323" s="1"/>
      <c r="Z323" s="1"/>
    </row>
    <row r="324" spans="2:26" ht="14.4">
      <c r="B324" s="1"/>
      <c r="C324" s="1"/>
      <c r="D324" s="1"/>
      <c r="E324" s="31"/>
      <c r="F324" s="1"/>
      <c r="G324" s="1"/>
      <c r="H324" s="1"/>
      <c r="I324" s="1"/>
      <c r="J324" s="1"/>
      <c r="K324" s="1"/>
      <c r="L324" s="1"/>
      <c r="M324" s="1"/>
      <c r="N324" s="1"/>
      <c r="O324" s="1"/>
      <c r="P324" s="1"/>
      <c r="Q324" s="1"/>
      <c r="R324" s="1"/>
      <c r="S324" s="1"/>
      <c r="T324" s="1"/>
      <c r="U324" s="1"/>
      <c r="V324" s="1"/>
      <c r="W324" s="1"/>
      <c r="X324" s="1"/>
      <c r="Y324" s="1"/>
      <c r="Z324" s="1"/>
    </row>
    <row r="325" spans="2:26" ht="14.4">
      <c r="B325" s="1"/>
      <c r="C325" s="1"/>
      <c r="D325" s="1"/>
      <c r="E325" s="31"/>
      <c r="F325" s="1"/>
      <c r="G325" s="1"/>
      <c r="H325" s="1"/>
      <c r="I325" s="1"/>
      <c r="J325" s="1"/>
      <c r="K325" s="1"/>
      <c r="L325" s="1"/>
      <c r="M325" s="1"/>
      <c r="N325" s="1"/>
      <c r="O325" s="1"/>
      <c r="P325" s="1"/>
      <c r="Q325" s="1"/>
      <c r="R325" s="1"/>
      <c r="S325" s="1"/>
      <c r="T325" s="1"/>
      <c r="U325" s="1"/>
      <c r="V325" s="1"/>
      <c r="W325" s="1"/>
      <c r="X325" s="1"/>
      <c r="Y325" s="1"/>
      <c r="Z325" s="1"/>
    </row>
    <row r="326" spans="2:26" ht="14.4">
      <c r="B326" s="1"/>
      <c r="C326" s="1"/>
      <c r="D326" s="1"/>
      <c r="E326" s="31"/>
      <c r="F326" s="1"/>
      <c r="G326" s="1"/>
      <c r="H326" s="1"/>
      <c r="I326" s="1"/>
      <c r="J326" s="1"/>
      <c r="K326" s="1"/>
      <c r="L326" s="1"/>
      <c r="M326" s="1"/>
      <c r="N326" s="1"/>
      <c r="O326" s="1"/>
      <c r="P326" s="1"/>
      <c r="Q326" s="1"/>
      <c r="R326" s="1"/>
      <c r="S326" s="1"/>
      <c r="T326" s="1"/>
      <c r="U326" s="1"/>
      <c r="V326" s="1"/>
      <c r="W326" s="1"/>
      <c r="X326" s="1"/>
      <c r="Y326" s="1"/>
      <c r="Z326" s="1"/>
    </row>
    <row r="327" spans="2:26" ht="14.4">
      <c r="B327" s="1"/>
      <c r="C327" s="1"/>
      <c r="D327" s="1"/>
      <c r="E327" s="31"/>
      <c r="F327" s="1"/>
      <c r="G327" s="1"/>
      <c r="H327" s="1"/>
      <c r="I327" s="1"/>
      <c r="J327" s="1"/>
      <c r="K327" s="1"/>
      <c r="L327" s="1"/>
      <c r="M327" s="1"/>
      <c r="N327" s="1"/>
      <c r="O327" s="1"/>
      <c r="P327" s="1"/>
      <c r="Q327" s="1"/>
      <c r="R327" s="1"/>
      <c r="S327" s="1"/>
      <c r="T327" s="1"/>
      <c r="U327" s="1"/>
      <c r="V327" s="1"/>
      <c r="W327" s="1"/>
      <c r="X327" s="1"/>
      <c r="Y327" s="1"/>
      <c r="Z327" s="1"/>
    </row>
    <row r="328" spans="2:26" ht="14.4">
      <c r="B328" s="1"/>
      <c r="C328" s="1"/>
      <c r="D328" s="1"/>
      <c r="E328" s="31"/>
      <c r="F328" s="1"/>
      <c r="G328" s="1"/>
      <c r="H328" s="1"/>
      <c r="I328" s="1"/>
      <c r="J328" s="1"/>
      <c r="K328" s="1"/>
      <c r="L328" s="1"/>
      <c r="M328" s="1"/>
      <c r="N328" s="1"/>
      <c r="O328" s="1"/>
      <c r="P328" s="1"/>
      <c r="Q328" s="1"/>
      <c r="R328" s="1"/>
      <c r="S328" s="1"/>
      <c r="T328" s="1"/>
      <c r="U328" s="1"/>
      <c r="V328" s="1"/>
      <c r="W328" s="1"/>
      <c r="X328" s="1"/>
      <c r="Y328" s="1"/>
      <c r="Z328" s="1"/>
    </row>
    <row r="329" spans="2:26" ht="14.4">
      <c r="B329" s="1"/>
      <c r="C329" s="1"/>
      <c r="D329" s="1"/>
      <c r="E329" s="31"/>
      <c r="F329" s="1"/>
      <c r="G329" s="1"/>
      <c r="H329" s="1"/>
      <c r="I329" s="1"/>
      <c r="J329" s="1"/>
      <c r="K329" s="1"/>
      <c r="L329" s="1"/>
      <c r="M329" s="1"/>
      <c r="N329" s="1"/>
      <c r="O329" s="1"/>
      <c r="P329" s="1"/>
      <c r="Q329" s="1"/>
      <c r="R329" s="1"/>
      <c r="S329" s="1"/>
      <c r="T329" s="1"/>
      <c r="U329" s="1"/>
      <c r="V329" s="1"/>
      <c r="W329" s="1"/>
      <c r="X329" s="1"/>
      <c r="Y329" s="1"/>
      <c r="Z329" s="1"/>
    </row>
    <row r="330" spans="2:26" ht="14.4">
      <c r="B330" s="1"/>
      <c r="C330" s="1"/>
      <c r="D330" s="1"/>
      <c r="E330" s="31"/>
      <c r="F330" s="1"/>
      <c r="G330" s="1"/>
      <c r="H330" s="1"/>
      <c r="I330" s="1"/>
      <c r="J330" s="1"/>
      <c r="K330" s="1"/>
      <c r="L330" s="1"/>
      <c r="M330" s="1"/>
      <c r="N330" s="1"/>
      <c r="O330" s="1"/>
      <c r="P330" s="1"/>
      <c r="Q330" s="1"/>
      <c r="R330" s="1"/>
      <c r="S330" s="1"/>
      <c r="T330" s="1"/>
      <c r="U330" s="1"/>
      <c r="V330" s="1"/>
      <c r="W330" s="1"/>
      <c r="X330" s="1"/>
      <c r="Y330" s="1"/>
      <c r="Z330" s="1"/>
    </row>
    <row r="331" spans="2:26" ht="14.4">
      <c r="B331" s="1"/>
      <c r="C331" s="1"/>
      <c r="D331" s="1"/>
      <c r="E331" s="31"/>
      <c r="F331" s="1"/>
      <c r="G331" s="1"/>
      <c r="H331" s="1"/>
      <c r="I331" s="1"/>
      <c r="J331" s="1"/>
      <c r="K331" s="1"/>
      <c r="L331" s="1"/>
      <c r="M331" s="1"/>
      <c r="N331" s="1"/>
      <c r="O331" s="1"/>
      <c r="P331" s="1"/>
      <c r="Q331" s="1"/>
      <c r="R331" s="1"/>
      <c r="S331" s="1"/>
      <c r="T331" s="1"/>
      <c r="U331" s="1"/>
      <c r="V331" s="1"/>
      <c r="W331" s="1"/>
      <c r="X331" s="1"/>
      <c r="Y331" s="1"/>
      <c r="Z331" s="1"/>
    </row>
    <row r="332" spans="2:26" ht="14.4">
      <c r="B332" s="1"/>
      <c r="C332" s="1"/>
      <c r="D332" s="1"/>
      <c r="E332" s="31"/>
      <c r="F332" s="1"/>
      <c r="G332" s="1"/>
      <c r="H332" s="1"/>
      <c r="I332" s="1"/>
      <c r="J332" s="1"/>
      <c r="K332" s="1"/>
      <c r="L332" s="1"/>
      <c r="M332" s="1"/>
      <c r="N332" s="1"/>
      <c r="O332" s="1"/>
      <c r="P332" s="1"/>
      <c r="Q332" s="1"/>
      <c r="R332" s="1"/>
      <c r="S332" s="1"/>
      <c r="T332" s="1"/>
      <c r="U332" s="1"/>
      <c r="V332" s="1"/>
      <c r="W332" s="1"/>
      <c r="X332" s="1"/>
      <c r="Y332" s="1"/>
      <c r="Z332" s="1"/>
    </row>
    <row r="333" spans="2:26" ht="14.4">
      <c r="B333" s="1"/>
      <c r="C333" s="1"/>
      <c r="D333" s="1"/>
      <c r="E333" s="31"/>
      <c r="F333" s="1"/>
      <c r="G333" s="1"/>
      <c r="H333" s="1"/>
      <c r="I333" s="1"/>
      <c r="J333" s="1"/>
      <c r="K333" s="1"/>
      <c r="L333" s="1"/>
      <c r="M333" s="1"/>
      <c r="N333" s="1"/>
      <c r="O333" s="1"/>
      <c r="P333" s="1"/>
      <c r="Q333" s="1"/>
      <c r="R333" s="1"/>
      <c r="S333" s="1"/>
      <c r="T333" s="1"/>
      <c r="U333" s="1"/>
      <c r="V333" s="1"/>
      <c r="W333" s="1"/>
      <c r="X333" s="1"/>
      <c r="Y333" s="1"/>
      <c r="Z333" s="1"/>
    </row>
    <row r="334" spans="2:26" ht="14.4">
      <c r="B334" s="1"/>
      <c r="C334" s="1"/>
      <c r="D334" s="1"/>
      <c r="E334" s="31"/>
      <c r="F334" s="1"/>
      <c r="G334" s="1"/>
      <c r="H334" s="1"/>
      <c r="I334" s="1"/>
      <c r="J334" s="1"/>
      <c r="K334" s="1"/>
      <c r="L334" s="1"/>
      <c r="M334" s="1"/>
      <c r="N334" s="1"/>
      <c r="O334" s="1"/>
      <c r="P334" s="1"/>
      <c r="Q334" s="1"/>
      <c r="R334" s="1"/>
      <c r="S334" s="1"/>
      <c r="T334" s="1"/>
      <c r="U334" s="1"/>
      <c r="V334" s="1"/>
      <c r="W334" s="1"/>
      <c r="X334" s="1"/>
      <c r="Y334" s="1"/>
      <c r="Z334" s="1"/>
    </row>
    <row r="335" spans="2:26" ht="14.4">
      <c r="B335" s="1"/>
      <c r="C335" s="1"/>
      <c r="D335" s="1"/>
      <c r="E335" s="31"/>
      <c r="F335" s="1"/>
      <c r="G335" s="1"/>
      <c r="H335" s="1"/>
      <c r="I335" s="1"/>
      <c r="J335" s="1"/>
      <c r="K335" s="1"/>
      <c r="L335" s="1"/>
      <c r="M335" s="1"/>
      <c r="N335" s="1"/>
      <c r="O335" s="1"/>
      <c r="P335" s="1"/>
      <c r="Q335" s="1"/>
      <c r="R335" s="1"/>
      <c r="S335" s="1"/>
      <c r="T335" s="1"/>
      <c r="U335" s="1"/>
      <c r="V335" s="1"/>
      <c r="W335" s="1"/>
      <c r="X335" s="1"/>
      <c r="Y335" s="1"/>
      <c r="Z335" s="1"/>
    </row>
    <row r="336" spans="2:26" ht="14.4">
      <c r="B336" s="1"/>
      <c r="C336" s="1"/>
      <c r="D336" s="1"/>
      <c r="E336" s="31"/>
      <c r="F336" s="1"/>
      <c r="G336" s="1"/>
      <c r="H336" s="1"/>
      <c r="I336" s="1"/>
      <c r="J336" s="1"/>
      <c r="K336" s="1"/>
      <c r="L336" s="1"/>
      <c r="M336" s="1"/>
      <c r="N336" s="1"/>
      <c r="O336" s="1"/>
      <c r="P336" s="1"/>
      <c r="Q336" s="1"/>
      <c r="R336" s="1"/>
      <c r="S336" s="1"/>
      <c r="T336" s="1"/>
      <c r="U336" s="1"/>
      <c r="V336" s="1"/>
      <c r="W336" s="1"/>
      <c r="X336" s="1"/>
      <c r="Y336" s="1"/>
      <c r="Z336" s="1"/>
    </row>
    <row r="337" spans="2:26" ht="14.4">
      <c r="B337" s="1"/>
      <c r="C337" s="1"/>
      <c r="D337" s="1"/>
      <c r="E337" s="31"/>
      <c r="F337" s="1"/>
      <c r="G337" s="1"/>
      <c r="H337" s="1"/>
      <c r="I337" s="1"/>
      <c r="J337" s="1"/>
      <c r="K337" s="1"/>
      <c r="L337" s="1"/>
      <c r="M337" s="1"/>
      <c r="N337" s="1"/>
      <c r="O337" s="1"/>
      <c r="P337" s="1"/>
      <c r="Q337" s="1"/>
      <c r="R337" s="1"/>
      <c r="S337" s="1"/>
      <c r="T337" s="1"/>
      <c r="U337" s="1"/>
      <c r="V337" s="1"/>
      <c r="W337" s="1"/>
      <c r="X337" s="1"/>
      <c r="Y337" s="1"/>
      <c r="Z337" s="1"/>
    </row>
    <row r="338" spans="2:26" ht="14.4">
      <c r="B338" s="1"/>
      <c r="C338" s="1"/>
      <c r="D338" s="1"/>
      <c r="E338" s="31"/>
      <c r="F338" s="1"/>
      <c r="G338" s="1"/>
      <c r="H338" s="1"/>
      <c r="I338" s="1"/>
      <c r="J338" s="1"/>
      <c r="K338" s="1"/>
      <c r="L338" s="1"/>
      <c r="M338" s="1"/>
      <c r="N338" s="1"/>
      <c r="O338" s="1"/>
      <c r="P338" s="1"/>
      <c r="Q338" s="1"/>
      <c r="R338" s="1"/>
      <c r="S338" s="1"/>
      <c r="T338" s="1"/>
      <c r="U338" s="1"/>
      <c r="V338" s="1"/>
      <c r="W338" s="1"/>
      <c r="X338" s="1"/>
      <c r="Y338" s="1"/>
      <c r="Z338" s="1"/>
    </row>
    <row r="339" spans="2:26" ht="14.4">
      <c r="B339" s="1"/>
      <c r="C339" s="1"/>
      <c r="D339" s="1"/>
      <c r="E339" s="31"/>
      <c r="F339" s="1"/>
      <c r="G339" s="1"/>
      <c r="H339" s="1"/>
      <c r="I339" s="1"/>
      <c r="J339" s="1"/>
      <c r="K339" s="1"/>
      <c r="L339" s="1"/>
      <c r="M339" s="1"/>
      <c r="N339" s="1"/>
      <c r="O339" s="1"/>
      <c r="P339" s="1"/>
      <c r="Q339" s="1"/>
      <c r="R339" s="1"/>
      <c r="S339" s="1"/>
      <c r="T339" s="1"/>
      <c r="U339" s="1"/>
      <c r="V339" s="1"/>
      <c r="W339" s="1"/>
      <c r="X339" s="1"/>
      <c r="Y339" s="1"/>
      <c r="Z339" s="1"/>
    </row>
    <row r="340" spans="2:26" ht="14.4">
      <c r="B340" s="1"/>
      <c r="C340" s="1"/>
      <c r="D340" s="1"/>
      <c r="E340" s="31"/>
      <c r="F340" s="1"/>
      <c r="G340" s="1"/>
      <c r="H340" s="1"/>
      <c r="I340" s="1"/>
      <c r="J340" s="1"/>
      <c r="K340" s="1"/>
      <c r="L340" s="1"/>
      <c r="M340" s="1"/>
      <c r="N340" s="1"/>
      <c r="O340" s="1"/>
      <c r="P340" s="1"/>
      <c r="Q340" s="1"/>
      <c r="R340" s="1"/>
      <c r="S340" s="1"/>
      <c r="T340" s="1"/>
      <c r="U340" s="1"/>
      <c r="V340" s="1"/>
      <c r="W340" s="1"/>
      <c r="X340" s="1"/>
      <c r="Y340" s="1"/>
      <c r="Z340" s="1"/>
    </row>
    <row r="341" spans="2:26" ht="14.4">
      <c r="B341" s="1"/>
      <c r="C341" s="1"/>
      <c r="D341" s="1"/>
      <c r="E341" s="31"/>
      <c r="F341" s="1"/>
      <c r="G341" s="1"/>
      <c r="H341" s="1"/>
      <c r="I341" s="1"/>
      <c r="J341" s="1"/>
      <c r="K341" s="1"/>
      <c r="L341" s="1"/>
      <c r="M341" s="1"/>
      <c r="N341" s="1"/>
      <c r="O341" s="1"/>
      <c r="P341" s="1"/>
      <c r="Q341" s="1"/>
      <c r="R341" s="1"/>
      <c r="S341" s="1"/>
      <c r="T341" s="1"/>
      <c r="U341" s="1"/>
      <c r="V341" s="1"/>
      <c r="W341" s="1"/>
      <c r="X341" s="1"/>
      <c r="Y341" s="1"/>
      <c r="Z341" s="1"/>
    </row>
    <row r="342" spans="2:26" ht="14.4">
      <c r="B342" s="1"/>
      <c r="C342" s="1"/>
      <c r="D342" s="1"/>
      <c r="E342" s="31"/>
      <c r="F342" s="1"/>
      <c r="G342" s="1"/>
      <c r="H342" s="1"/>
      <c r="I342" s="1"/>
      <c r="J342" s="1"/>
      <c r="K342" s="1"/>
      <c r="L342" s="1"/>
      <c r="M342" s="1"/>
      <c r="N342" s="1"/>
      <c r="O342" s="1"/>
      <c r="P342" s="1"/>
      <c r="Q342" s="1"/>
      <c r="R342" s="1"/>
      <c r="S342" s="1"/>
      <c r="T342" s="1"/>
      <c r="U342" s="1"/>
      <c r="V342" s="1"/>
      <c r="W342" s="1"/>
      <c r="X342" s="1"/>
      <c r="Y342" s="1"/>
      <c r="Z342" s="1"/>
    </row>
    <row r="343" spans="2:26" ht="14.4">
      <c r="B343" s="1"/>
      <c r="C343" s="1"/>
      <c r="D343" s="1"/>
      <c r="E343" s="31"/>
      <c r="F343" s="1"/>
      <c r="G343" s="1"/>
      <c r="H343" s="1"/>
      <c r="I343" s="1"/>
      <c r="J343" s="1"/>
      <c r="K343" s="1"/>
      <c r="L343" s="1"/>
      <c r="M343" s="1"/>
      <c r="N343" s="1"/>
      <c r="O343" s="1"/>
      <c r="P343" s="1"/>
      <c r="Q343" s="1"/>
      <c r="R343" s="1"/>
      <c r="S343" s="1"/>
      <c r="T343" s="1"/>
      <c r="U343" s="1"/>
      <c r="V343" s="1"/>
      <c r="W343" s="1"/>
      <c r="X343" s="1"/>
      <c r="Y343" s="1"/>
      <c r="Z343" s="1"/>
    </row>
    <row r="344" spans="2:26" ht="14.4">
      <c r="B344" s="1"/>
      <c r="C344" s="1"/>
      <c r="D344" s="1"/>
      <c r="E344" s="31"/>
      <c r="F344" s="1"/>
      <c r="G344" s="1"/>
      <c r="H344" s="1"/>
      <c r="I344" s="1"/>
      <c r="J344" s="1"/>
      <c r="K344" s="1"/>
      <c r="L344" s="1"/>
      <c r="M344" s="1"/>
      <c r="N344" s="1"/>
      <c r="O344" s="1"/>
      <c r="P344" s="1"/>
      <c r="Q344" s="1"/>
      <c r="R344" s="1"/>
      <c r="S344" s="1"/>
      <c r="T344" s="1"/>
      <c r="U344" s="1"/>
      <c r="V344" s="1"/>
      <c r="W344" s="1"/>
      <c r="X344" s="1"/>
      <c r="Y344" s="1"/>
      <c r="Z344" s="1"/>
    </row>
    <row r="345" spans="2:26" ht="14.4">
      <c r="B345" s="1"/>
      <c r="C345" s="1"/>
      <c r="D345" s="1"/>
      <c r="E345" s="31"/>
      <c r="F345" s="1"/>
      <c r="G345" s="1"/>
      <c r="H345" s="1"/>
      <c r="I345" s="1"/>
      <c r="J345" s="1"/>
      <c r="K345" s="1"/>
      <c r="L345" s="1"/>
      <c r="M345" s="1"/>
      <c r="N345" s="1"/>
      <c r="O345" s="1"/>
      <c r="P345" s="1"/>
      <c r="Q345" s="1"/>
      <c r="R345" s="1"/>
      <c r="S345" s="1"/>
      <c r="T345" s="1"/>
      <c r="U345" s="1"/>
      <c r="V345" s="1"/>
      <c r="W345" s="1"/>
      <c r="X345" s="1"/>
      <c r="Y345" s="1"/>
      <c r="Z345" s="1"/>
    </row>
    <row r="346" spans="2:26" ht="14.4">
      <c r="B346" s="1"/>
      <c r="C346" s="1"/>
      <c r="D346" s="1"/>
      <c r="E346" s="31"/>
      <c r="F346" s="1"/>
      <c r="G346" s="1"/>
      <c r="H346" s="1"/>
      <c r="I346" s="1"/>
      <c r="J346" s="1"/>
      <c r="K346" s="1"/>
      <c r="L346" s="1"/>
      <c r="M346" s="1"/>
      <c r="N346" s="1"/>
      <c r="O346" s="1"/>
      <c r="P346" s="1"/>
      <c r="Q346" s="1"/>
      <c r="R346" s="1"/>
      <c r="S346" s="1"/>
      <c r="T346" s="1"/>
      <c r="U346" s="1"/>
      <c r="V346" s="1"/>
      <c r="W346" s="1"/>
      <c r="X346" s="1"/>
      <c r="Y346" s="1"/>
      <c r="Z346" s="1"/>
    </row>
    <row r="347" spans="2:26" ht="14.4">
      <c r="B347" s="1"/>
      <c r="C347" s="1"/>
      <c r="D347" s="1"/>
      <c r="E347" s="31"/>
      <c r="F347" s="1"/>
      <c r="G347" s="1"/>
      <c r="H347" s="1"/>
      <c r="I347" s="1"/>
      <c r="J347" s="1"/>
      <c r="K347" s="1"/>
      <c r="L347" s="1"/>
      <c r="M347" s="1"/>
      <c r="N347" s="1"/>
      <c r="O347" s="1"/>
      <c r="P347" s="1"/>
      <c r="Q347" s="1"/>
      <c r="R347" s="1"/>
      <c r="S347" s="1"/>
      <c r="T347" s="1"/>
      <c r="U347" s="1"/>
      <c r="V347" s="1"/>
      <c r="W347" s="1"/>
      <c r="X347" s="1"/>
      <c r="Y347" s="1"/>
      <c r="Z347" s="1"/>
    </row>
    <row r="348" spans="2:26" ht="14.4">
      <c r="B348" s="1"/>
      <c r="C348" s="1"/>
      <c r="D348" s="1"/>
      <c r="E348" s="31"/>
      <c r="F348" s="1"/>
      <c r="G348" s="1"/>
      <c r="H348" s="1"/>
      <c r="I348" s="1"/>
      <c r="J348" s="1"/>
      <c r="K348" s="1"/>
      <c r="L348" s="1"/>
      <c r="M348" s="1"/>
      <c r="N348" s="1"/>
      <c r="O348" s="1"/>
      <c r="P348" s="1"/>
      <c r="Q348" s="1"/>
      <c r="R348" s="1"/>
      <c r="S348" s="1"/>
      <c r="T348" s="1"/>
      <c r="U348" s="1"/>
      <c r="V348" s="1"/>
      <c r="W348" s="1"/>
      <c r="X348" s="1"/>
      <c r="Y348" s="1"/>
      <c r="Z348" s="1"/>
    </row>
    <row r="349" spans="2:26" ht="14.4">
      <c r="B349" s="1"/>
      <c r="C349" s="1"/>
      <c r="D349" s="1"/>
      <c r="E349" s="31"/>
      <c r="F349" s="1"/>
      <c r="G349" s="1"/>
      <c r="H349" s="1"/>
      <c r="I349" s="1"/>
      <c r="J349" s="1"/>
      <c r="K349" s="1"/>
      <c r="L349" s="1"/>
      <c r="M349" s="1"/>
      <c r="N349" s="1"/>
      <c r="O349" s="1"/>
      <c r="P349" s="1"/>
      <c r="Q349" s="1"/>
      <c r="R349" s="1"/>
      <c r="S349" s="1"/>
      <c r="T349" s="1"/>
      <c r="U349" s="1"/>
      <c r="V349" s="1"/>
      <c r="W349" s="1"/>
      <c r="X349" s="1"/>
      <c r="Y349" s="1"/>
      <c r="Z349" s="1"/>
    </row>
    <row r="350" spans="2:26" ht="14.4">
      <c r="B350" s="1"/>
      <c r="C350" s="1"/>
      <c r="D350" s="1"/>
      <c r="E350" s="31"/>
      <c r="F350" s="1"/>
      <c r="G350" s="1"/>
      <c r="H350" s="1"/>
      <c r="I350" s="1"/>
      <c r="J350" s="1"/>
      <c r="K350" s="1"/>
      <c r="L350" s="1"/>
      <c r="M350" s="1"/>
      <c r="N350" s="1"/>
      <c r="O350" s="1"/>
      <c r="P350" s="1"/>
      <c r="Q350" s="1"/>
      <c r="R350" s="1"/>
      <c r="S350" s="1"/>
      <c r="T350" s="1"/>
      <c r="U350" s="1"/>
      <c r="V350" s="1"/>
      <c r="W350" s="1"/>
      <c r="X350" s="1"/>
      <c r="Y350" s="1"/>
      <c r="Z350" s="1"/>
    </row>
    <row r="351" spans="2:26" ht="14.4">
      <c r="B351" s="1"/>
      <c r="C351" s="1"/>
      <c r="D351" s="1"/>
      <c r="E351" s="31"/>
      <c r="F351" s="1"/>
      <c r="G351" s="1"/>
      <c r="H351" s="1"/>
      <c r="I351" s="1"/>
      <c r="J351" s="1"/>
      <c r="K351" s="1"/>
      <c r="L351" s="1"/>
      <c r="M351" s="1"/>
      <c r="N351" s="1"/>
      <c r="O351" s="1"/>
      <c r="P351" s="1"/>
      <c r="Q351" s="1"/>
      <c r="R351" s="1"/>
      <c r="S351" s="1"/>
      <c r="T351" s="1"/>
      <c r="U351" s="1"/>
      <c r="V351" s="1"/>
      <c r="W351" s="1"/>
      <c r="X351" s="1"/>
      <c r="Y351" s="1"/>
      <c r="Z351" s="1"/>
    </row>
    <row r="352" spans="2:26" ht="14.4">
      <c r="B352" s="1"/>
      <c r="C352" s="1"/>
      <c r="D352" s="1"/>
      <c r="E352" s="31"/>
      <c r="F352" s="1"/>
      <c r="G352" s="1"/>
      <c r="H352" s="1"/>
      <c r="I352" s="1"/>
      <c r="J352" s="1"/>
      <c r="K352" s="1"/>
      <c r="L352" s="1"/>
      <c r="M352" s="1"/>
      <c r="N352" s="1"/>
      <c r="O352" s="1"/>
      <c r="P352" s="1"/>
      <c r="Q352" s="1"/>
      <c r="R352" s="1"/>
      <c r="S352" s="1"/>
      <c r="T352" s="1"/>
      <c r="U352" s="1"/>
      <c r="V352" s="1"/>
      <c r="W352" s="1"/>
      <c r="X352" s="1"/>
      <c r="Y352" s="1"/>
      <c r="Z352" s="1"/>
    </row>
    <row r="353" spans="2:26" ht="14.4">
      <c r="B353" s="1"/>
      <c r="C353" s="1"/>
      <c r="D353" s="1"/>
      <c r="E353" s="31"/>
      <c r="F353" s="1"/>
      <c r="G353" s="1"/>
      <c r="H353" s="1"/>
      <c r="I353" s="1"/>
      <c r="J353" s="1"/>
      <c r="K353" s="1"/>
      <c r="L353" s="1"/>
      <c r="M353" s="1"/>
      <c r="N353" s="1"/>
      <c r="O353" s="1"/>
      <c r="P353" s="1"/>
      <c r="Q353" s="1"/>
      <c r="R353" s="1"/>
      <c r="S353" s="1"/>
      <c r="T353" s="1"/>
      <c r="U353" s="1"/>
      <c r="V353" s="1"/>
      <c r="W353" s="1"/>
      <c r="X353" s="1"/>
      <c r="Y353" s="1"/>
      <c r="Z353" s="1"/>
    </row>
    <row r="354" spans="2:26" ht="14.4">
      <c r="B354" s="1"/>
      <c r="C354" s="1"/>
      <c r="D354" s="1"/>
      <c r="E354" s="31"/>
      <c r="F354" s="1"/>
      <c r="G354" s="1"/>
      <c r="H354" s="1"/>
      <c r="I354" s="1"/>
      <c r="J354" s="1"/>
      <c r="K354" s="1"/>
      <c r="L354" s="1"/>
      <c r="M354" s="1"/>
      <c r="N354" s="1"/>
      <c r="O354" s="1"/>
      <c r="P354" s="1"/>
      <c r="Q354" s="1"/>
      <c r="R354" s="1"/>
      <c r="S354" s="1"/>
      <c r="T354" s="1"/>
      <c r="U354" s="1"/>
      <c r="V354" s="1"/>
      <c r="W354" s="1"/>
      <c r="X354" s="1"/>
      <c r="Y354" s="1"/>
      <c r="Z354" s="1"/>
    </row>
    <row r="355" spans="2:26" ht="14.4">
      <c r="B355" s="1"/>
      <c r="C355" s="1"/>
      <c r="D355" s="1"/>
      <c r="E355" s="31"/>
      <c r="F355" s="1"/>
      <c r="G355" s="1"/>
      <c r="H355" s="1"/>
      <c r="I355" s="1"/>
      <c r="J355" s="1"/>
      <c r="K355" s="1"/>
      <c r="L355" s="1"/>
      <c r="M355" s="1"/>
      <c r="N355" s="1"/>
      <c r="O355" s="1"/>
      <c r="P355" s="1"/>
      <c r="Q355" s="1"/>
      <c r="R355" s="1"/>
      <c r="S355" s="1"/>
      <c r="T355" s="1"/>
      <c r="U355" s="1"/>
      <c r="V355" s="1"/>
      <c r="W355" s="1"/>
      <c r="X355" s="1"/>
      <c r="Y355" s="1"/>
      <c r="Z355" s="1"/>
    </row>
    <row r="356" spans="2:26" ht="14.4">
      <c r="B356" s="1"/>
      <c r="C356" s="1"/>
      <c r="D356" s="1"/>
      <c r="E356" s="31"/>
      <c r="F356" s="1"/>
      <c r="G356" s="1"/>
      <c r="H356" s="1"/>
      <c r="I356" s="1"/>
      <c r="J356" s="1"/>
      <c r="K356" s="1"/>
      <c r="L356" s="1"/>
      <c r="M356" s="1"/>
      <c r="N356" s="1"/>
      <c r="O356" s="1"/>
      <c r="P356" s="1"/>
      <c r="Q356" s="1"/>
      <c r="R356" s="1"/>
      <c r="S356" s="1"/>
      <c r="T356" s="1"/>
      <c r="U356" s="1"/>
      <c r="V356" s="1"/>
      <c r="W356" s="1"/>
      <c r="X356" s="1"/>
      <c r="Y356" s="1"/>
      <c r="Z356" s="1"/>
    </row>
    <row r="357" spans="2:26" ht="14.4">
      <c r="B357" s="1"/>
      <c r="C357" s="1"/>
      <c r="D357" s="1"/>
      <c r="E357" s="31"/>
      <c r="F357" s="1"/>
      <c r="G357" s="1"/>
      <c r="H357" s="1"/>
      <c r="I357" s="1"/>
      <c r="J357" s="1"/>
      <c r="K357" s="1"/>
      <c r="L357" s="1"/>
      <c r="M357" s="1"/>
      <c r="N357" s="1"/>
      <c r="O357" s="1"/>
      <c r="P357" s="1"/>
      <c r="Q357" s="1"/>
      <c r="R357" s="1"/>
      <c r="S357" s="1"/>
      <c r="T357" s="1"/>
      <c r="U357" s="1"/>
      <c r="V357" s="1"/>
      <c r="W357" s="1"/>
      <c r="X357" s="1"/>
      <c r="Y357" s="1"/>
      <c r="Z357" s="1"/>
    </row>
    <row r="358" spans="2:26" ht="14.4">
      <c r="B358" s="1"/>
      <c r="C358" s="1"/>
      <c r="D358" s="1"/>
      <c r="E358" s="31"/>
      <c r="F358" s="1"/>
      <c r="G358" s="1"/>
      <c r="H358" s="1"/>
      <c r="I358" s="1"/>
      <c r="J358" s="1"/>
      <c r="K358" s="1"/>
      <c r="L358" s="1"/>
      <c r="M358" s="1"/>
      <c r="N358" s="1"/>
      <c r="O358" s="1"/>
      <c r="P358" s="1"/>
      <c r="Q358" s="1"/>
      <c r="R358" s="1"/>
      <c r="S358" s="1"/>
      <c r="T358" s="1"/>
      <c r="U358" s="1"/>
      <c r="V358" s="1"/>
      <c r="W358" s="1"/>
      <c r="X358" s="1"/>
      <c r="Y358" s="1"/>
      <c r="Z358" s="1"/>
    </row>
    <row r="359" spans="2:26" ht="14.4">
      <c r="B359" s="1"/>
      <c r="C359" s="1"/>
      <c r="D359" s="1"/>
      <c r="E359" s="31"/>
      <c r="F359" s="1"/>
      <c r="G359" s="1"/>
      <c r="H359" s="1"/>
      <c r="I359" s="1"/>
      <c r="J359" s="1"/>
      <c r="K359" s="1"/>
      <c r="L359" s="1"/>
      <c r="M359" s="1"/>
      <c r="N359" s="1"/>
      <c r="O359" s="1"/>
      <c r="P359" s="1"/>
      <c r="Q359" s="1"/>
      <c r="R359" s="1"/>
      <c r="S359" s="1"/>
      <c r="T359" s="1"/>
      <c r="U359" s="1"/>
      <c r="V359" s="1"/>
      <c r="W359" s="1"/>
      <c r="X359" s="1"/>
      <c r="Y359" s="1"/>
      <c r="Z359" s="1"/>
    </row>
    <row r="360" spans="2:26" ht="14.4">
      <c r="B360" s="1"/>
      <c r="C360" s="1"/>
      <c r="D360" s="1"/>
      <c r="E360" s="31"/>
      <c r="F360" s="1"/>
      <c r="G360" s="1"/>
      <c r="H360" s="1"/>
      <c r="I360" s="1"/>
      <c r="J360" s="1"/>
      <c r="K360" s="1"/>
      <c r="L360" s="1"/>
      <c r="M360" s="1"/>
      <c r="N360" s="1"/>
      <c r="O360" s="1"/>
      <c r="P360" s="1"/>
      <c r="Q360" s="1"/>
      <c r="R360" s="1"/>
      <c r="S360" s="1"/>
      <c r="T360" s="1"/>
      <c r="U360" s="1"/>
      <c r="V360" s="1"/>
      <c r="W360" s="1"/>
      <c r="X360" s="1"/>
      <c r="Y360" s="1"/>
      <c r="Z360" s="1"/>
    </row>
    <row r="361" spans="2:26" ht="14.4">
      <c r="B361" s="1"/>
      <c r="C361" s="1"/>
      <c r="D361" s="1"/>
      <c r="E361" s="31"/>
      <c r="F361" s="1"/>
      <c r="G361" s="1"/>
      <c r="H361" s="1"/>
      <c r="I361" s="1"/>
      <c r="J361" s="1"/>
      <c r="K361" s="1"/>
      <c r="L361" s="1"/>
      <c r="M361" s="1"/>
      <c r="N361" s="1"/>
      <c r="O361" s="1"/>
      <c r="P361" s="1"/>
      <c r="Q361" s="1"/>
      <c r="R361" s="1"/>
      <c r="S361" s="1"/>
      <c r="T361" s="1"/>
      <c r="U361" s="1"/>
      <c r="V361" s="1"/>
      <c r="W361" s="1"/>
      <c r="X361" s="1"/>
      <c r="Y361" s="1"/>
      <c r="Z361" s="1"/>
    </row>
    <row r="362" spans="2:26" ht="14.4">
      <c r="B362" s="1"/>
      <c r="C362" s="1"/>
      <c r="D362" s="1"/>
      <c r="E362" s="31"/>
      <c r="F362" s="1"/>
      <c r="G362" s="1"/>
      <c r="H362" s="1"/>
      <c r="I362" s="1"/>
      <c r="J362" s="1"/>
      <c r="K362" s="1"/>
      <c r="L362" s="1"/>
      <c r="M362" s="1"/>
      <c r="N362" s="1"/>
      <c r="O362" s="1"/>
      <c r="P362" s="1"/>
      <c r="Q362" s="1"/>
      <c r="R362" s="1"/>
      <c r="S362" s="1"/>
      <c r="T362" s="1"/>
      <c r="U362" s="1"/>
      <c r="V362" s="1"/>
      <c r="W362" s="1"/>
      <c r="X362" s="1"/>
      <c r="Y362" s="1"/>
      <c r="Z362" s="1"/>
    </row>
    <row r="363" spans="2:26" ht="14.4">
      <c r="B363" s="1"/>
      <c r="C363" s="1"/>
      <c r="D363" s="1"/>
      <c r="E363" s="31"/>
      <c r="F363" s="1"/>
      <c r="G363" s="1"/>
      <c r="H363" s="1"/>
      <c r="I363" s="1"/>
      <c r="J363" s="1"/>
      <c r="K363" s="1"/>
      <c r="L363" s="1"/>
      <c r="M363" s="1"/>
      <c r="N363" s="1"/>
      <c r="O363" s="1"/>
      <c r="P363" s="1"/>
      <c r="Q363" s="1"/>
      <c r="R363" s="1"/>
      <c r="S363" s="1"/>
      <c r="T363" s="1"/>
      <c r="U363" s="1"/>
      <c r="V363" s="1"/>
      <c r="W363" s="1"/>
      <c r="X363" s="1"/>
      <c r="Y363" s="1"/>
      <c r="Z363" s="1"/>
    </row>
    <row r="364" spans="2:26" ht="14.4">
      <c r="B364" s="1"/>
      <c r="C364" s="1"/>
      <c r="D364" s="1"/>
      <c r="E364" s="31"/>
      <c r="F364" s="1"/>
      <c r="G364" s="1"/>
      <c r="H364" s="1"/>
      <c r="I364" s="1"/>
      <c r="J364" s="1"/>
      <c r="K364" s="1"/>
      <c r="L364" s="1"/>
      <c r="M364" s="1"/>
      <c r="N364" s="1"/>
      <c r="O364" s="1"/>
      <c r="P364" s="1"/>
      <c r="Q364" s="1"/>
      <c r="R364" s="1"/>
      <c r="S364" s="1"/>
      <c r="T364" s="1"/>
      <c r="U364" s="1"/>
      <c r="V364" s="1"/>
      <c r="W364" s="1"/>
      <c r="X364" s="1"/>
      <c r="Y364" s="1"/>
      <c r="Z364" s="1"/>
    </row>
    <row r="365" spans="2:26" ht="14.4">
      <c r="B365" s="1"/>
      <c r="C365" s="1"/>
      <c r="D365" s="1"/>
      <c r="E365" s="31"/>
      <c r="F365" s="1"/>
      <c r="G365" s="1"/>
      <c r="H365" s="1"/>
      <c r="I365" s="1"/>
      <c r="J365" s="1"/>
      <c r="K365" s="1"/>
      <c r="L365" s="1"/>
      <c r="M365" s="1"/>
      <c r="N365" s="1"/>
      <c r="O365" s="1"/>
      <c r="P365" s="1"/>
      <c r="Q365" s="1"/>
      <c r="R365" s="1"/>
      <c r="S365" s="1"/>
      <c r="T365" s="1"/>
      <c r="U365" s="1"/>
      <c r="V365" s="1"/>
      <c r="W365" s="1"/>
      <c r="X365" s="1"/>
      <c r="Y365" s="1"/>
      <c r="Z365" s="1"/>
    </row>
    <row r="366" spans="2:26" ht="14.4">
      <c r="B366" s="1"/>
      <c r="C366" s="1"/>
      <c r="D366" s="1"/>
      <c r="E366" s="31"/>
      <c r="F366" s="1"/>
      <c r="G366" s="1"/>
      <c r="H366" s="1"/>
      <c r="I366" s="1"/>
      <c r="J366" s="1"/>
      <c r="K366" s="1"/>
      <c r="L366" s="1"/>
      <c r="M366" s="1"/>
      <c r="N366" s="1"/>
      <c r="O366" s="1"/>
      <c r="P366" s="1"/>
      <c r="Q366" s="1"/>
      <c r="R366" s="1"/>
      <c r="S366" s="1"/>
      <c r="T366" s="1"/>
      <c r="U366" s="1"/>
      <c r="V366" s="1"/>
      <c r="W366" s="1"/>
      <c r="X366" s="1"/>
      <c r="Y366" s="1"/>
      <c r="Z366" s="1"/>
    </row>
    <row r="367" spans="2:26" ht="14.4">
      <c r="B367" s="1"/>
      <c r="C367" s="1"/>
      <c r="D367" s="1"/>
      <c r="E367" s="31"/>
      <c r="F367" s="1"/>
      <c r="G367" s="1"/>
      <c r="H367" s="1"/>
      <c r="I367" s="1"/>
      <c r="J367" s="1"/>
      <c r="K367" s="1"/>
      <c r="L367" s="1"/>
      <c r="M367" s="1"/>
      <c r="N367" s="1"/>
      <c r="O367" s="1"/>
      <c r="P367" s="1"/>
      <c r="Q367" s="1"/>
      <c r="R367" s="1"/>
      <c r="S367" s="1"/>
      <c r="T367" s="1"/>
      <c r="U367" s="1"/>
      <c r="V367" s="1"/>
      <c r="W367" s="1"/>
      <c r="X367" s="1"/>
      <c r="Y367" s="1"/>
      <c r="Z367" s="1"/>
    </row>
    <row r="368" spans="2:26" ht="14.4">
      <c r="B368" s="1"/>
      <c r="C368" s="1"/>
      <c r="D368" s="1"/>
      <c r="E368" s="31"/>
      <c r="F368" s="1"/>
      <c r="G368" s="1"/>
      <c r="H368" s="1"/>
      <c r="I368" s="1"/>
      <c r="J368" s="1"/>
      <c r="K368" s="1"/>
      <c r="L368" s="1"/>
      <c r="M368" s="1"/>
      <c r="N368" s="1"/>
      <c r="O368" s="1"/>
      <c r="P368" s="1"/>
      <c r="Q368" s="1"/>
      <c r="R368" s="1"/>
      <c r="S368" s="1"/>
      <c r="T368" s="1"/>
      <c r="U368" s="1"/>
      <c r="V368" s="1"/>
      <c r="W368" s="1"/>
      <c r="X368" s="1"/>
      <c r="Y368" s="1"/>
      <c r="Z368" s="1"/>
    </row>
    <row r="369" spans="2:26" ht="14.4">
      <c r="B369" s="1"/>
      <c r="C369" s="1"/>
      <c r="D369" s="1"/>
      <c r="E369" s="31"/>
      <c r="F369" s="1"/>
      <c r="G369" s="1"/>
      <c r="H369" s="1"/>
      <c r="I369" s="1"/>
      <c r="J369" s="1"/>
      <c r="K369" s="1"/>
      <c r="L369" s="1"/>
      <c r="M369" s="1"/>
      <c r="N369" s="1"/>
      <c r="O369" s="1"/>
      <c r="P369" s="1"/>
      <c r="Q369" s="1"/>
      <c r="R369" s="1"/>
      <c r="S369" s="1"/>
      <c r="T369" s="1"/>
      <c r="U369" s="1"/>
      <c r="V369" s="1"/>
      <c r="W369" s="1"/>
      <c r="X369" s="1"/>
      <c r="Y369" s="1"/>
      <c r="Z369" s="1"/>
    </row>
    <row r="370" spans="2:26" ht="14.4">
      <c r="B370" s="1"/>
      <c r="C370" s="1"/>
      <c r="D370" s="1"/>
      <c r="E370" s="31"/>
      <c r="F370" s="1"/>
      <c r="G370" s="1"/>
      <c r="H370" s="1"/>
      <c r="I370" s="1"/>
      <c r="J370" s="1"/>
      <c r="K370" s="1"/>
      <c r="L370" s="1"/>
      <c r="M370" s="1"/>
      <c r="N370" s="1"/>
      <c r="O370" s="1"/>
      <c r="P370" s="1"/>
      <c r="Q370" s="1"/>
      <c r="R370" s="1"/>
      <c r="S370" s="1"/>
      <c r="T370" s="1"/>
      <c r="U370" s="1"/>
      <c r="V370" s="1"/>
      <c r="W370" s="1"/>
      <c r="X370" s="1"/>
      <c r="Y370" s="1"/>
      <c r="Z370" s="1"/>
    </row>
    <row r="371" spans="2:26" ht="14.4">
      <c r="B371" s="1"/>
      <c r="C371" s="1"/>
      <c r="D371" s="1"/>
      <c r="E371" s="31"/>
      <c r="F371" s="1"/>
      <c r="G371" s="1"/>
      <c r="H371" s="1"/>
      <c r="I371" s="1"/>
      <c r="J371" s="1"/>
      <c r="K371" s="1"/>
      <c r="L371" s="1"/>
      <c r="M371" s="1"/>
      <c r="N371" s="1"/>
      <c r="O371" s="1"/>
      <c r="P371" s="1"/>
      <c r="Q371" s="1"/>
      <c r="R371" s="1"/>
      <c r="S371" s="1"/>
      <c r="T371" s="1"/>
      <c r="U371" s="1"/>
      <c r="V371" s="1"/>
      <c r="W371" s="1"/>
      <c r="X371" s="1"/>
      <c r="Y371" s="1"/>
      <c r="Z371" s="1"/>
    </row>
    <row r="372" spans="2:26" ht="14.4">
      <c r="B372" s="1"/>
      <c r="C372" s="1"/>
      <c r="D372" s="1"/>
      <c r="E372" s="31"/>
      <c r="F372" s="1"/>
      <c r="G372" s="1"/>
      <c r="H372" s="1"/>
      <c r="I372" s="1"/>
      <c r="J372" s="1"/>
      <c r="K372" s="1"/>
      <c r="L372" s="1"/>
      <c r="M372" s="1"/>
      <c r="N372" s="1"/>
      <c r="O372" s="1"/>
      <c r="P372" s="1"/>
      <c r="Q372" s="1"/>
      <c r="R372" s="1"/>
      <c r="S372" s="1"/>
      <c r="T372" s="1"/>
      <c r="U372" s="1"/>
      <c r="V372" s="1"/>
      <c r="W372" s="1"/>
      <c r="X372" s="1"/>
      <c r="Y372" s="1"/>
      <c r="Z372" s="1"/>
    </row>
    <row r="373" spans="2:26" ht="14.4">
      <c r="B373" s="1"/>
      <c r="C373" s="1"/>
      <c r="D373" s="1"/>
      <c r="E373" s="31"/>
      <c r="F373" s="1"/>
      <c r="G373" s="1"/>
      <c r="H373" s="1"/>
      <c r="I373" s="1"/>
      <c r="J373" s="1"/>
      <c r="K373" s="1"/>
      <c r="L373" s="1"/>
      <c r="M373" s="1"/>
      <c r="N373" s="1"/>
      <c r="O373" s="1"/>
      <c r="P373" s="1"/>
      <c r="Q373" s="1"/>
      <c r="R373" s="1"/>
      <c r="S373" s="1"/>
      <c r="T373" s="1"/>
      <c r="U373" s="1"/>
      <c r="V373" s="1"/>
      <c r="W373" s="1"/>
      <c r="X373" s="1"/>
      <c r="Y373" s="1"/>
      <c r="Z373" s="1"/>
    </row>
    <row r="374" spans="2:26" ht="14.4">
      <c r="B374" s="1"/>
      <c r="C374" s="1"/>
      <c r="D374" s="1"/>
      <c r="E374" s="31"/>
      <c r="F374" s="1"/>
      <c r="G374" s="1"/>
      <c r="H374" s="1"/>
      <c r="I374" s="1"/>
      <c r="J374" s="1"/>
      <c r="K374" s="1"/>
      <c r="L374" s="1"/>
      <c r="M374" s="1"/>
      <c r="N374" s="1"/>
      <c r="O374" s="1"/>
      <c r="P374" s="1"/>
      <c r="Q374" s="1"/>
      <c r="R374" s="1"/>
      <c r="S374" s="1"/>
      <c r="T374" s="1"/>
      <c r="U374" s="1"/>
      <c r="V374" s="1"/>
      <c r="W374" s="1"/>
      <c r="X374" s="1"/>
      <c r="Y374" s="1"/>
      <c r="Z374" s="1"/>
    </row>
    <row r="375" spans="2:26" ht="14.4">
      <c r="B375" s="1"/>
      <c r="C375" s="1"/>
      <c r="D375" s="1"/>
      <c r="E375" s="31"/>
      <c r="F375" s="1"/>
      <c r="G375" s="1"/>
      <c r="H375" s="1"/>
      <c r="I375" s="1"/>
      <c r="J375" s="1"/>
      <c r="K375" s="1"/>
      <c r="L375" s="1"/>
      <c r="M375" s="1"/>
      <c r="N375" s="1"/>
      <c r="O375" s="1"/>
      <c r="P375" s="1"/>
      <c r="Q375" s="1"/>
      <c r="R375" s="1"/>
      <c r="S375" s="1"/>
      <c r="T375" s="1"/>
      <c r="U375" s="1"/>
      <c r="V375" s="1"/>
      <c r="W375" s="1"/>
      <c r="X375" s="1"/>
      <c r="Y375" s="1"/>
      <c r="Z375" s="1"/>
    </row>
    <row r="376" spans="2:26" ht="14.4">
      <c r="B376" s="1"/>
      <c r="C376" s="1"/>
      <c r="D376" s="1"/>
      <c r="E376" s="31"/>
      <c r="F376" s="1"/>
      <c r="G376" s="1"/>
      <c r="H376" s="1"/>
      <c r="I376" s="1"/>
      <c r="J376" s="1"/>
      <c r="K376" s="1"/>
      <c r="L376" s="1"/>
      <c r="M376" s="1"/>
      <c r="N376" s="1"/>
      <c r="O376" s="1"/>
      <c r="P376" s="1"/>
      <c r="Q376" s="1"/>
      <c r="R376" s="1"/>
      <c r="S376" s="1"/>
      <c r="T376" s="1"/>
      <c r="U376" s="1"/>
      <c r="V376" s="1"/>
      <c r="W376" s="1"/>
      <c r="X376" s="1"/>
      <c r="Y376" s="1"/>
      <c r="Z376" s="1"/>
    </row>
    <row r="377" spans="2:26" ht="14.4">
      <c r="B377" s="1"/>
      <c r="C377" s="1"/>
      <c r="D377" s="1"/>
      <c r="E377" s="31"/>
      <c r="F377" s="1"/>
      <c r="G377" s="1"/>
      <c r="H377" s="1"/>
      <c r="I377" s="1"/>
      <c r="J377" s="1"/>
      <c r="K377" s="1"/>
      <c r="L377" s="1"/>
      <c r="M377" s="1"/>
      <c r="N377" s="1"/>
      <c r="O377" s="1"/>
      <c r="P377" s="1"/>
      <c r="Q377" s="1"/>
      <c r="R377" s="1"/>
      <c r="S377" s="1"/>
      <c r="T377" s="1"/>
      <c r="U377" s="1"/>
      <c r="V377" s="1"/>
      <c r="W377" s="1"/>
      <c r="X377" s="1"/>
      <c r="Y377" s="1"/>
      <c r="Z377" s="1"/>
    </row>
    <row r="378" spans="2:26" ht="14.4">
      <c r="B378" s="1"/>
      <c r="C378" s="1"/>
      <c r="D378" s="1"/>
      <c r="E378" s="31"/>
      <c r="F378" s="1"/>
      <c r="G378" s="1"/>
      <c r="H378" s="1"/>
      <c r="I378" s="1"/>
      <c r="J378" s="1"/>
      <c r="K378" s="1"/>
      <c r="L378" s="1"/>
      <c r="M378" s="1"/>
      <c r="N378" s="1"/>
      <c r="O378" s="1"/>
      <c r="P378" s="1"/>
      <c r="Q378" s="1"/>
      <c r="R378" s="1"/>
      <c r="S378" s="1"/>
      <c r="T378" s="1"/>
      <c r="U378" s="1"/>
      <c r="V378" s="1"/>
      <c r="W378" s="1"/>
      <c r="X378" s="1"/>
      <c r="Y378" s="1"/>
      <c r="Z378" s="1"/>
    </row>
    <row r="379" spans="2:26" ht="14.4">
      <c r="B379" s="1"/>
      <c r="C379" s="1"/>
      <c r="D379" s="1"/>
      <c r="E379" s="31"/>
      <c r="F379" s="1"/>
      <c r="G379" s="1"/>
      <c r="H379" s="1"/>
      <c r="I379" s="1"/>
      <c r="J379" s="1"/>
      <c r="K379" s="1"/>
      <c r="L379" s="1"/>
      <c r="M379" s="1"/>
      <c r="N379" s="1"/>
      <c r="O379" s="1"/>
      <c r="P379" s="1"/>
      <c r="Q379" s="1"/>
      <c r="R379" s="1"/>
      <c r="S379" s="1"/>
      <c r="T379" s="1"/>
      <c r="U379" s="1"/>
      <c r="V379" s="1"/>
      <c r="W379" s="1"/>
      <c r="X379" s="1"/>
      <c r="Y379" s="1"/>
      <c r="Z379" s="1"/>
    </row>
    <row r="380" spans="2:26" ht="14.4">
      <c r="B380" s="1"/>
      <c r="C380" s="1"/>
      <c r="D380" s="1"/>
      <c r="E380" s="31"/>
      <c r="F380" s="1"/>
      <c r="G380" s="1"/>
      <c r="H380" s="1"/>
      <c r="I380" s="1"/>
      <c r="J380" s="1"/>
      <c r="K380" s="1"/>
      <c r="L380" s="1"/>
      <c r="M380" s="1"/>
      <c r="N380" s="1"/>
      <c r="O380" s="1"/>
      <c r="P380" s="1"/>
      <c r="Q380" s="1"/>
      <c r="R380" s="1"/>
      <c r="S380" s="1"/>
      <c r="T380" s="1"/>
      <c r="U380" s="1"/>
      <c r="V380" s="1"/>
      <c r="W380" s="1"/>
      <c r="X380" s="1"/>
      <c r="Y380" s="1"/>
      <c r="Z380" s="1"/>
    </row>
    <row r="381" spans="2:26" ht="14.4">
      <c r="B381" s="1"/>
      <c r="C381" s="1"/>
      <c r="D381" s="1"/>
      <c r="E381" s="31"/>
      <c r="F381" s="1"/>
      <c r="G381" s="1"/>
      <c r="H381" s="1"/>
      <c r="I381" s="1"/>
      <c r="J381" s="1"/>
      <c r="K381" s="1"/>
      <c r="L381" s="1"/>
      <c r="M381" s="1"/>
      <c r="N381" s="1"/>
      <c r="O381" s="1"/>
      <c r="P381" s="1"/>
      <c r="Q381" s="1"/>
      <c r="R381" s="1"/>
      <c r="S381" s="1"/>
      <c r="T381" s="1"/>
      <c r="U381" s="1"/>
      <c r="V381" s="1"/>
      <c r="W381" s="1"/>
      <c r="X381" s="1"/>
      <c r="Y381" s="1"/>
      <c r="Z381" s="1"/>
    </row>
    <row r="382" spans="2:26" ht="14.4">
      <c r="B382" s="1"/>
      <c r="C382" s="1"/>
      <c r="D382" s="1"/>
      <c r="E382" s="31"/>
      <c r="F382" s="1"/>
      <c r="G382" s="1"/>
      <c r="H382" s="1"/>
      <c r="I382" s="1"/>
      <c r="J382" s="1"/>
      <c r="K382" s="1"/>
      <c r="L382" s="1"/>
      <c r="M382" s="1"/>
      <c r="N382" s="1"/>
      <c r="O382" s="1"/>
      <c r="P382" s="1"/>
      <c r="Q382" s="1"/>
      <c r="R382" s="1"/>
      <c r="S382" s="1"/>
      <c r="T382" s="1"/>
      <c r="U382" s="1"/>
      <c r="V382" s="1"/>
      <c r="W382" s="1"/>
      <c r="X382" s="1"/>
      <c r="Y382" s="1"/>
      <c r="Z382" s="1"/>
    </row>
    <row r="383" spans="2:26" ht="14.4">
      <c r="B383" s="1"/>
      <c r="C383" s="1"/>
      <c r="D383" s="1"/>
      <c r="E383" s="31"/>
      <c r="F383" s="1"/>
      <c r="G383" s="1"/>
      <c r="H383" s="1"/>
      <c r="I383" s="1"/>
      <c r="J383" s="1"/>
      <c r="K383" s="1"/>
      <c r="L383" s="1"/>
      <c r="M383" s="1"/>
      <c r="N383" s="1"/>
      <c r="O383" s="1"/>
      <c r="P383" s="1"/>
      <c r="Q383" s="1"/>
      <c r="R383" s="1"/>
      <c r="S383" s="1"/>
      <c r="T383" s="1"/>
      <c r="U383" s="1"/>
      <c r="V383" s="1"/>
      <c r="W383" s="1"/>
      <c r="X383" s="1"/>
      <c r="Y383" s="1"/>
      <c r="Z383" s="1"/>
    </row>
    <row r="384" spans="2:26" ht="14.4">
      <c r="B384" s="1"/>
      <c r="C384" s="1"/>
      <c r="D384" s="1"/>
      <c r="E384" s="31"/>
      <c r="F384" s="1"/>
      <c r="G384" s="1"/>
      <c r="H384" s="1"/>
      <c r="I384" s="1"/>
      <c r="J384" s="1"/>
      <c r="K384" s="1"/>
      <c r="L384" s="1"/>
      <c r="M384" s="1"/>
      <c r="N384" s="1"/>
      <c r="O384" s="1"/>
      <c r="P384" s="1"/>
      <c r="Q384" s="1"/>
      <c r="R384" s="1"/>
      <c r="S384" s="1"/>
      <c r="T384" s="1"/>
      <c r="U384" s="1"/>
      <c r="V384" s="1"/>
      <c r="W384" s="1"/>
      <c r="X384" s="1"/>
      <c r="Y384" s="1"/>
      <c r="Z384" s="1"/>
    </row>
    <row r="385" spans="2:26" ht="14.4">
      <c r="B385" s="1"/>
      <c r="C385" s="1"/>
      <c r="D385" s="1"/>
      <c r="E385" s="31"/>
      <c r="F385" s="1"/>
      <c r="G385" s="1"/>
      <c r="H385" s="1"/>
      <c r="I385" s="1"/>
      <c r="J385" s="1"/>
      <c r="K385" s="1"/>
      <c r="L385" s="1"/>
      <c r="M385" s="1"/>
      <c r="N385" s="1"/>
      <c r="O385" s="1"/>
      <c r="P385" s="1"/>
      <c r="Q385" s="1"/>
      <c r="R385" s="1"/>
      <c r="S385" s="1"/>
      <c r="T385" s="1"/>
      <c r="U385" s="1"/>
      <c r="V385" s="1"/>
      <c r="W385" s="1"/>
      <c r="X385" s="1"/>
      <c r="Y385" s="1"/>
      <c r="Z385" s="1"/>
    </row>
    <row r="386" spans="2:26" ht="14.4">
      <c r="B386" s="1"/>
      <c r="C386" s="1"/>
      <c r="D386" s="1"/>
      <c r="E386" s="31"/>
      <c r="F386" s="1"/>
      <c r="G386" s="1"/>
      <c r="H386" s="1"/>
      <c r="I386" s="1"/>
      <c r="J386" s="1"/>
      <c r="K386" s="1"/>
      <c r="L386" s="1"/>
      <c r="M386" s="1"/>
      <c r="N386" s="1"/>
      <c r="O386" s="1"/>
      <c r="P386" s="1"/>
      <c r="Q386" s="1"/>
      <c r="R386" s="1"/>
      <c r="S386" s="1"/>
      <c r="T386" s="1"/>
      <c r="U386" s="1"/>
      <c r="V386" s="1"/>
      <c r="W386" s="1"/>
      <c r="X386" s="1"/>
      <c r="Y386" s="1"/>
      <c r="Z386" s="1"/>
    </row>
    <row r="387" spans="2:26" ht="14.4">
      <c r="B387" s="1"/>
      <c r="C387" s="1"/>
      <c r="D387" s="1"/>
      <c r="E387" s="31"/>
      <c r="F387" s="1"/>
      <c r="G387" s="1"/>
      <c r="H387" s="1"/>
      <c r="I387" s="1"/>
      <c r="J387" s="1"/>
      <c r="K387" s="1"/>
      <c r="L387" s="1"/>
      <c r="M387" s="1"/>
      <c r="N387" s="1"/>
      <c r="O387" s="1"/>
      <c r="P387" s="1"/>
      <c r="Q387" s="1"/>
      <c r="R387" s="1"/>
      <c r="S387" s="1"/>
      <c r="T387" s="1"/>
      <c r="U387" s="1"/>
      <c r="V387" s="1"/>
      <c r="W387" s="1"/>
      <c r="X387" s="1"/>
      <c r="Y387" s="1"/>
      <c r="Z387" s="1"/>
    </row>
    <row r="388" spans="2:26" ht="14.4">
      <c r="B388" s="1"/>
      <c r="C388" s="1"/>
      <c r="D388" s="1"/>
      <c r="E388" s="31"/>
      <c r="F388" s="1"/>
      <c r="G388" s="1"/>
      <c r="H388" s="1"/>
      <c r="I388" s="1"/>
      <c r="J388" s="1"/>
      <c r="K388" s="1"/>
      <c r="L388" s="1"/>
      <c r="M388" s="1"/>
      <c r="N388" s="1"/>
      <c r="O388" s="1"/>
      <c r="P388" s="1"/>
      <c r="Q388" s="1"/>
      <c r="R388" s="1"/>
      <c r="S388" s="1"/>
      <c r="T388" s="1"/>
      <c r="U388" s="1"/>
      <c r="V388" s="1"/>
      <c r="W388" s="1"/>
      <c r="X388" s="1"/>
      <c r="Y388" s="1"/>
      <c r="Z388" s="1"/>
    </row>
    <row r="389" spans="2:26" ht="14.4">
      <c r="B389" s="1"/>
      <c r="C389" s="1"/>
      <c r="D389" s="1"/>
      <c r="E389" s="31"/>
      <c r="F389" s="1"/>
      <c r="G389" s="1"/>
      <c r="H389" s="1"/>
      <c r="I389" s="1"/>
      <c r="J389" s="1"/>
      <c r="K389" s="1"/>
      <c r="L389" s="1"/>
      <c r="M389" s="1"/>
      <c r="N389" s="1"/>
      <c r="O389" s="1"/>
      <c r="P389" s="1"/>
      <c r="Q389" s="1"/>
      <c r="R389" s="1"/>
      <c r="S389" s="1"/>
      <c r="T389" s="1"/>
      <c r="U389" s="1"/>
      <c r="V389" s="1"/>
      <c r="W389" s="1"/>
      <c r="X389" s="1"/>
      <c r="Y389" s="1"/>
      <c r="Z389" s="1"/>
    </row>
    <row r="390" spans="2:26" ht="14.4">
      <c r="B390" s="1"/>
      <c r="C390" s="1"/>
      <c r="D390" s="1"/>
      <c r="E390" s="31"/>
      <c r="F390" s="1"/>
      <c r="G390" s="1"/>
      <c r="H390" s="1"/>
      <c r="I390" s="1"/>
      <c r="J390" s="1"/>
      <c r="K390" s="1"/>
      <c r="L390" s="1"/>
      <c r="M390" s="1"/>
      <c r="N390" s="1"/>
      <c r="O390" s="1"/>
      <c r="P390" s="1"/>
      <c r="Q390" s="1"/>
      <c r="R390" s="1"/>
      <c r="S390" s="1"/>
      <c r="T390" s="1"/>
      <c r="U390" s="1"/>
      <c r="V390" s="1"/>
      <c r="W390" s="1"/>
      <c r="X390" s="1"/>
      <c r="Y390" s="1"/>
      <c r="Z390" s="1"/>
    </row>
    <row r="391" spans="2:26" ht="14.4">
      <c r="B391" s="1"/>
      <c r="C391" s="1"/>
      <c r="D391" s="1"/>
      <c r="E391" s="31"/>
      <c r="F391" s="1"/>
      <c r="G391" s="1"/>
      <c r="H391" s="1"/>
      <c r="I391" s="1"/>
      <c r="J391" s="1"/>
      <c r="K391" s="1"/>
      <c r="L391" s="1"/>
      <c r="M391" s="1"/>
      <c r="N391" s="1"/>
      <c r="O391" s="1"/>
      <c r="P391" s="1"/>
      <c r="Q391" s="1"/>
      <c r="R391" s="1"/>
      <c r="S391" s="1"/>
      <c r="T391" s="1"/>
      <c r="U391" s="1"/>
      <c r="V391" s="1"/>
      <c r="W391" s="1"/>
      <c r="X391" s="1"/>
      <c r="Y391" s="1"/>
      <c r="Z391" s="1"/>
    </row>
    <row r="392" spans="2:26" ht="14.4">
      <c r="B392" s="1"/>
      <c r="C392" s="1"/>
      <c r="D392" s="1"/>
      <c r="E392" s="31"/>
      <c r="F392" s="1"/>
      <c r="G392" s="1"/>
      <c r="H392" s="1"/>
      <c r="I392" s="1"/>
      <c r="J392" s="1"/>
      <c r="K392" s="1"/>
      <c r="L392" s="1"/>
      <c r="M392" s="1"/>
      <c r="N392" s="1"/>
      <c r="O392" s="1"/>
      <c r="P392" s="1"/>
      <c r="Q392" s="1"/>
      <c r="R392" s="1"/>
      <c r="S392" s="1"/>
      <c r="T392" s="1"/>
      <c r="U392" s="1"/>
      <c r="V392" s="1"/>
      <c r="W392" s="1"/>
      <c r="X392" s="1"/>
      <c r="Y392" s="1"/>
      <c r="Z392" s="1"/>
    </row>
    <row r="393" spans="2:26" ht="14.4">
      <c r="B393" s="1"/>
      <c r="C393" s="1"/>
      <c r="D393" s="1"/>
      <c r="E393" s="31"/>
      <c r="F393" s="1"/>
      <c r="G393" s="1"/>
      <c r="H393" s="1"/>
      <c r="I393" s="1"/>
      <c r="J393" s="1"/>
      <c r="K393" s="1"/>
      <c r="L393" s="1"/>
      <c r="M393" s="1"/>
      <c r="N393" s="1"/>
      <c r="O393" s="1"/>
      <c r="P393" s="1"/>
      <c r="Q393" s="1"/>
      <c r="R393" s="1"/>
      <c r="S393" s="1"/>
      <c r="T393" s="1"/>
      <c r="U393" s="1"/>
      <c r="V393" s="1"/>
      <c r="W393" s="1"/>
      <c r="X393" s="1"/>
      <c r="Y393" s="1"/>
      <c r="Z393" s="1"/>
    </row>
    <row r="394" spans="2:26" ht="14.4">
      <c r="B394" s="1"/>
      <c r="C394" s="1"/>
      <c r="D394" s="1"/>
      <c r="E394" s="31"/>
      <c r="F394" s="1"/>
      <c r="G394" s="1"/>
      <c r="H394" s="1"/>
      <c r="I394" s="1"/>
      <c r="J394" s="1"/>
      <c r="K394" s="1"/>
      <c r="L394" s="1"/>
      <c r="M394" s="1"/>
      <c r="N394" s="1"/>
      <c r="O394" s="1"/>
      <c r="P394" s="1"/>
      <c r="Q394" s="1"/>
      <c r="R394" s="1"/>
      <c r="S394" s="1"/>
      <c r="T394" s="1"/>
      <c r="U394" s="1"/>
      <c r="V394" s="1"/>
      <c r="W394" s="1"/>
      <c r="X394" s="1"/>
      <c r="Y394" s="1"/>
      <c r="Z394" s="1"/>
    </row>
  </sheetData>
  <mergeCells count="7">
    <mergeCell ref="B170:C170"/>
    <mergeCell ref="B182:C182"/>
    <mergeCell ref="D2:E2"/>
    <mergeCell ref="D8:E8"/>
    <mergeCell ref="B9:C9"/>
    <mergeCell ref="B10:C10"/>
    <mergeCell ref="B168:C168"/>
  </mergeCells>
  <pageMargins left="0.7" right="0.7" top="0.75" bottom="0.75" header="0" footer="0"/>
  <pageSetup orientation="landscape" r:id="rId1"/>
  <ignoredErrors>
    <ignoredError sqref="D17:D112 D114:D182" formula="1"/>
  </ignoredError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1000"/>
  <sheetViews>
    <sheetView workbookViewId="0"/>
  </sheetViews>
  <sheetFormatPr defaultColWidth="16.85546875" defaultRowHeight="15" customHeight="1"/>
  <cols>
    <col min="1" max="1" width="4.7109375" customWidth="1"/>
    <col min="2" max="2" width="54.7109375" customWidth="1"/>
    <col min="3" max="3" width="24.7109375" customWidth="1"/>
    <col min="4" max="4" width="5.42578125" customWidth="1"/>
    <col min="5" max="5" width="30.85546875" customWidth="1"/>
    <col min="6" max="6" width="5.42578125" customWidth="1"/>
    <col min="7" max="7" width="20" customWidth="1"/>
    <col min="8" max="8" width="5.42578125" customWidth="1"/>
    <col min="9" max="9" width="18.42578125" customWidth="1"/>
    <col min="10" max="10" width="7" customWidth="1"/>
    <col min="11" max="11" width="26.140625" customWidth="1"/>
    <col min="12" max="12" width="5.42578125" customWidth="1"/>
    <col min="13" max="13" width="19.28515625" customWidth="1"/>
    <col min="14" max="14" width="5.42578125" customWidth="1"/>
    <col min="15" max="15" width="17.85546875" customWidth="1"/>
    <col min="16" max="16" width="10.140625" customWidth="1"/>
    <col min="17" max="17" width="16" customWidth="1"/>
    <col min="18" max="18" width="12.140625" customWidth="1"/>
    <col min="19" max="19" width="18" customWidth="1"/>
    <col min="20" max="20" width="17.140625" customWidth="1"/>
    <col min="21" max="21" width="13.7109375" customWidth="1"/>
    <col min="22" max="22" width="14.42578125" customWidth="1"/>
    <col min="23" max="23" width="4.28515625" customWidth="1"/>
    <col min="24" max="24" width="14.42578125" customWidth="1"/>
    <col min="25" max="25" width="10.140625" customWidth="1"/>
    <col min="26" max="26" width="14.85546875" customWidth="1"/>
    <col min="27" max="27" width="15.85546875" customWidth="1"/>
    <col min="28" max="28" width="4.28515625" customWidth="1"/>
    <col min="30" max="30" width="4.28515625" customWidth="1"/>
    <col min="31" max="31" width="17" customWidth="1"/>
    <col min="32" max="32" width="9.28515625" customWidth="1"/>
    <col min="33" max="33" width="21.7109375" customWidth="1"/>
    <col min="34" max="34" width="9.28515625" customWidth="1"/>
  </cols>
  <sheetData>
    <row r="1" spans="1:34" ht="33" customHeight="1">
      <c r="A1" s="1" t="s">
        <v>816</v>
      </c>
      <c r="B1" s="1"/>
      <c r="C1" s="404"/>
      <c r="D1" s="404"/>
      <c r="E1" s="42"/>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row>
    <row r="2" spans="1:34" ht="81" customHeight="1">
      <c r="A2" s="2246"/>
      <c r="B2" s="2243"/>
      <c r="C2" s="2243"/>
      <c r="D2" s="2243"/>
      <c r="E2" s="2243"/>
      <c r="F2" s="2243"/>
      <c r="G2" s="2243"/>
      <c r="H2" s="2243"/>
      <c r="I2" s="2243"/>
      <c r="J2" s="2243"/>
      <c r="K2" s="2243"/>
      <c r="L2" s="404"/>
      <c r="M2" s="404"/>
      <c r="N2" s="404"/>
      <c r="O2" s="404"/>
      <c r="P2" s="404"/>
      <c r="Q2" s="404"/>
      <c r="R2" s="404"/>
      <c r="S2" s="404"/>
      <c r="T2" s="404"/>
      <c r="U2" s="404"/>
      <c r="V2" s="404"/>
      <c r="W2" s="404"/>
      <c r="X2" s="404"/>
      <c r="Y2" s="404"/>
      <c r="Z2" s="404"/>
      <c r="AA2" s="404"/>
      <c r="AB2" s="404"/>
      <c r="AC2" s="404"/>
      <c r="AD2" s="404"/>
      <c r="AE2" s="404"/>
      <c r="AF2" s="404"/>
      <c r="AG2" s="404"/>
      <c r="AH2" s="404"/>
    </row>
    <row r="3" spans="1:34" ht="14.4">
      <c r="A3" s="1"/>
      <c r="B3" s="1" t="s">
        <v>817</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1:34" ht="14.4">
      <c r="A4" s="1"/>
      <c r="B4" s="1004" t="s">
        <v>818</v>
      </c>
      <c r="C4" s="1005" t="s">
        <v>819</v>
      </c>
      <c r="D4" s="1"/>
      <c r="E4" s="1005" t="s">
        <v>820</v>
      </c>
      <c r="F4" s="1"/>
      <c r="G4" s="1006" t="s">
        <v>699</v>
      </c>
      <c r="H4" s="1"/>
      <c r="I4" s="1"/>
      <c r="J4" s="1"/>
      <c r="K4" s="1"/>
      <c r="L4" s="1"/>
      <c r="M4" s="1"/>
      <c r="N4" s="1"/>
      <c r="O4" s="1"/>
      <c r="P4" s="1"/>
      <c r="Q4" s="1"/>
      <c r="R4" s="1"/>
      <c r="S4" s="1"/>
      <c r="T4" s="1"/>
      <c r="U4" s="1"/>
      <c r="V4" s="1"/>
      <c r="W4" s="1"/>
      <c r="X4" s="1"/>
      <c r="Y4" s="1"/>
      <c r="Z4" s="1"/>
      <c r="AA4" s="1"/>
      <c r="AB4" s="1"/>
      <c r="AC4" s="1"/>
      <c r="AD4" s="1"/>
      <c r="AE4" s="1"/>
      <c r="AF4" s="1"/>
      <c r="AG4" s="1"/>
      <c r="AH4" s="1"/>
    </row>
    <row r="5" spans="1:34" ht="14.4">
      <c r="A5" s="1"/>
      <c r="B5" s="75" t="s">
        <v>821</v>
      </c>
      <c r="C5" s="49">
        <v>42</v>
      </c>
      <c r="D5" s="1"/>
      <c r="E5" s="49">
        <f t="shared" ref="E5:E6" si="0">C5*42*1000</f>
        <v>1764000</v>
      </c>
      <c r="F5" s="1"/>
      <c r="G5" s="1007">
        <v>210</v>
      </c>
      <c r="H5" s="1"/>
      <c r="I5" s="1008"/>
      <c r="J5" s="1"/>
      <c r="K5" s="1"/>
      <c r="L5" s="1"/>
      <c r="M5" s="1"/>
      <c r="N5" s="1"/>
      <c r="O5" s="1"/>
      <c r="P5" s="1"/>
      <c r="Q5" s="1"/>
      <c r="R5" s="1"/>
      <c r="S5" s="1"/>
      <c r="T5" s="1"/>
      <c r="U5" s="1"/>
      <c r="V5" s="1"/>
      <c r="W5" s="1"/>
      <c r="X5" s="1"/>
      <c r="Y5" s="1"/>
      <c r="Z5" s="1"/>
      <c r="AA5" s="1"/>
      <c r="AB5" s="1"/>
      <c r="AC5" s="1"/>
      <c r="AD5" s="1"/>
      <c r="AE5" s="1"/>
      <c r="AF5" s="1"/>
      <c r="AG5" s="1"/>
      <c r="AH5" s="1"/>
    </row>
    <row r="6" spans="1:34" ht="14.4">
      <c r="A6" s="1"/>
      <c r="B6" s="75" t="s">
        <v>822</v>
      </c>
      <c r="C6" s="49">
        <v>13581</v>
      </c>
      <c r="D6" s="1"/>
      <c r="E6" s="49">
        <f t="shared" si="0"/>
        <v>570402000</v>
      </c>
      <c r="F6" s="1"/>
      <c r="G6" s="49">
        <v>80358</v>
      </c>
      <c r="H6" s="1"/>
      <c r="I6" s="1008"/>
      <c r="J6" s="1"/>
      <c r="K6" s="1"/>
      <c r="L6" s="1"/>
      <c r="M6" s="1"/>
      <c r="N6" s="1"/>
      <c r="O6" s="2237" t="s">
        <v>1</v>
      </c>
      <c r="P6" s="2238"/>
      <c r="Q6" s="1"/>
      <c r="R6" s="1"/>
      <c r="S6" s="1"/>
      <c r="T6" s="1"/>
      <c r="U6" s="1"/>
      <c r="V6" s="1"/>
      <c r="W6" s="1"/>
      <c r="X6" s="1"/>
      <c r="Y6" s="1"/>
      <c r="Z6" s="1"/>
      <c r="AA6" s="1"/>
      <c r="AB6" s="1"/>
      <c r="AC6" s="1"/>
      <c r="AD6" s="1"/>
      <c r="AE6" s="1"/>
      <c r="AF6" s="1"/>
      <c r="AG6" s="1"/>
      <c r="AH6" s="1"/>
    </row>
    <row r="7" spans="1:34" ht="14.4">
      <c r="A7" s="1"/>
      <c r="B7" s="75" t="s">
        <v>823</v>
      </c>
      <c r="C7" s="474">
        <v>0</v>
      </c>
      <c r="D7" s="1"/>
      <c r="E7" s="474"/>
      <c r="F7" s="1"/>
      <c r="G7" s="474">
        <v>0</v>
      </c>
      <c r="H7" s="1"/>
      <c r="I7" s="1008"/>
      <c r="J7" s="1"/>
      <c r="K7" s="1"/>
      <c r="L7" s="1"/>
      <c r="M7" s="1"/>
      <c r="N7" s="1"/>
      <c r="O7" s="52"/>
      <c r="P7" s="52"/>
      <c r="Q7" s="1"/>
      <c r="R7" s="1"/>
      <c r="S7" s="1"/>
      <c r="T7" s="1"/>
      <c r="U7" s="1"/>
      <c r="V7" s="1"/>
      <c r="W7" s="1"/>
      <c r="X7" s="1"/>
      <c r="Y7" s="1"/>
      <c r="Z7" s="1"/>
      <c r="AA7" s="1"/>
      <c r="AB7" s="1"/>
      <c r="AC7" s="1"/>
      <c r="AD7" s="1"/>
      <c r="AE7" s="1"/>
      <c r="AF7" s="1"/>
      <c r="AG7" s="1"/>
      <c r="AH7" s="1"/>
    </row>
    <row r="8" spans="1:34" ht="14.4">
      <c r="A8" s="1"/>
      <c r="B8" s="75" t="s">
        <v>824</v>
      </c>
      <c r="C8" s="1009">
        <v>5903</v>
      </c>
      <c r="D8" s="1"/>
      <c r="E8" s="49">
        <f t="shared" ref="E8:E10" si="1">C8*42*1000</f>
        <v>247926000</v>
      </c>
      <c r="F8" s="1"/>
      <c r="G8" s="1009">
        <v>33468</v>
      </c>
      <c r="H8" s="1"/>
      <c r="I8" s="1008"/>
      <c r="J8" s="1"/>
      <c r="K8" s="2222"/>
      <c r="L8" s="1"/>
      <c r="M8" s="1"/>
      <c r="N8" s="1"/>
      <c r="O8" s="53" t="s">
        <v>80</v>
      </c>
      <c r="P8" s="54">
        <f>Summary!E4</f>
        <v>1</v>
      </c>
      <c r="Q8" s="1"/>
      <c r="R8" s="1"/>
      <c r="S8" s="1"/>
      <c r="T8" s="1"/>
      <c r="U8" s="1"/>
      <c r="V8" s="1"/>
      <c r="W8" s="1"/>
      <c r="X8" s="1"/>
      <c r="Y8" s="1"/>
      <c r="Z8" s="1"/>
      <c r="AA8" s="1"/>
      <c r="AB8" s="1"/>
      <c r="AC8" s="1"/>
      <c r="AD8" s="1"/>
      <c r="AE8" s="1"/>
      <c r="AF8" s="1"/>
      <c r="AG8" s="1"/>
      <c r="AH8" s="1"/>
    </row>
    <row r="9" spans="1:34" ht="14.4">
      <c r="A9" s="1"/>
      <c r="B9" s="75" t="s">
        <v>825</v>
      </c>
      <c r="C9" s="49">
        <v>76</v>
      </c>
      <c r="D9" s="1"/>
      <c r="E9" s="49">
        <f t="shared" si="1"/>
        <v>3192000</v>
      </c>
      <c r="F9" s="1"/>
      <c r="G9" s="49">
        <v>293</v>
      </c>
      <c r="H9" s="1"/>
      <c r="I9" s="1008"/>
      <c r="J9" s="1"/>
      <c r="K9" s="1"/>
      <c r="L9" s="1"/>
      <c r="M9" s="1"/>
      <c r="N9" s="1"/>
      <c r="O9" s="53" t="s">
        <v>82</v>
      </c>
      <c r="P9" s="54">
        <f>Summary!E5</f>
        <v>28</v>
      </c>
      <c r="Q9" s="1"/>
      <c r="R9" s="1"/>
      <c r="S9" s="1"/>
      <c r="T9" s="1"/>
      <c r="U9" s="1"/>
      <c r="V9" s="1"/>
      <c r="W9" s="1"/>
      <c r="X9" s="1"/>
      <c r="Y9" s="1"/>
      <c r="Z9" s="1"/>
      <c r="AA9" s="1"/>
      <c r="AB9" s="1"/>
      <c r="AC9" s="1"/>
      <c r="AD9" s="1"/>
      <c r="AE9" s="1"/>
      <c r="AF9" s="1"/>
      <c r="AG9" s="1"/>
      <c r="AH9" s="1"/>
    </row>
    <row r="10" spans="1:34" ht="14.4">
      <c r="A10" s="1"/>
      <c r="B10" s="75" t="s">
        <v>826</v>
      </c>
      <c r="C10" s="49">
        <v>242</v>
      </c>
      <c r="D10" s="1"/>
      <c r="E10" s="49">
        <f t="shared" si="1"/>
        <v>10164000</v>
      </c>
      <c r="F10" s="1"/>
      <c r="G10" s="49">
        <v>1466</v>
      </c>
      <c r="H10" s="1"/>
      <c r="I10" s="1008"/>
      <c r="J10" s="1"/>
      <c r="K10" s="1"/>
      <c r="L10" s="1"/>
      <c r="M10" s="1"/>
      <c r="N10" s="1"/>
      <c r="O10" s="53" t="s">
        <v>83</v>
      </c>
      <c r="P10" s="54">
        <f>Summary!E6</f>
        <v>265</v>
      </c>
      <c r="Q10" s="1"/>
      <c r="R10" s="1"/>
      <c r="S10" s="1"/>
      <c r="T10" s="1"/>
      <c r="U10" s="1"/>
      <c r="V10" s="1"/>
      <c r="W10" s="1"/>
      <c r="X10" s="1"/>
      <c r="Y10" s="1"/>
      <c r="Z10" s="1"/>
      <c r="AA10" s="1"/>
      <c r="AB10" s="1"/>
      <c r="AC10" s="1"/>
      <c r="AD10" s="1"/>
      <c r="AE10" s="1"/>
      <c r="AF10" s="1"/>
      <c r="AG10" s="1"/>
      <c r="AH10" s="1"/>
    </row>
    <row r="11" spans="1:34" ht="14.4">
      <c r="A11" s="1"/>
      <c r="B11" s="1010" t="s">
        <v>827</v>
      </c>
      <c r="C11" s="49">
        <f>E11/(42*1000)</f>
        <v>63427.314619047618</v>
      </c>
      <c r="D11" s="1"/>
      <c r="E11" s="567">
        <f>2663947214</f>
        <v>2663947214</v>
      </c>
      <c r="F11" s="1"/>
      <c r="G11" s="1009">
        <f>E11*C47/1000000000</f>
        <v>330963.47397293203</v>
      </c>
      <c r="H11" s="1"/>
      <c r="I11" s="1008"/>
      <c r="J11" s="1"/>
      <c r="K11" s="1"/>
      <c r="L11" s="1"/>
      <c r="M11" s="1"/>
      <c r="N11" s="1"/>
      <c r="O11" s="53" t="s">
        <v>85</v>
      </c>
      <c r="P11" s="54">
        <f>Summary!E7</f>
        <v>23500</v>
      </c>
      <c r="Q11" s="1"/>
      <c r="R11" s="1"/>
      <c r="S11" s="1"/>
      <c r="T11" s="1"/>
      <c r="U11" s="1"/>
      <c r="V11" s="1"/>
      <c r="W11" s="1"/>
      <c r="X11" s="1"/>
      <c r="Y11" s="1"/>
      <c r="Z11" s="1"/>
      <c r="AA11" s="1"/>
      <c r="AB11" s="1"/>
      <c r="AC11" s="1"/>
      <c r="AD11" s="1"/>
      <c r="AE11" s="1"/>
      <c r="AF11" s="1"/>
      <c r="AG11" s="1"/>
      <c r="AH11" s="1"/>
    </row>
    <row r="12" spans="1:34" ht="14.4">
      <c r="A12" s="1"/>
      <c r="B12" s="75" t="s">
        <v>828</v>
      </c>
      <c r="C12" s="49">
        <v>5639</v>
      </c>
      <c r="D12" s="1"/>
      <c r="E12" s="49">
        <f t="shared" ref="E12:E14" si="2">C12*42*1000</f>
        <v>236838000</v>
      </c>
      <c r="F12" s="1"/>
      <c r="G12" s="49">
        <v>19558</v>
      </c>
      <c r="H12" s="1"/>
      <c r="I12" s="1008"/>
      <c r="J12" s="1"/>
      <c r="K12" s="1"/>
      <c r="L12" s="1"/>
      <c r="M12" s="1"/>
      <c r="N12" s="1"/>
      <c r="O12" s="53"/>
      <c r="P12" s="54"/>
      <c r="Q12" s="1"/>
      <c r="R12" s="1"/>
      <c r="S12" s="1"/>
      <c r="T12" s="1"/>
      <c r="U12" s="1"/>
      <c r="V12" s="1"/>
      <c r="W12" s="1"/>
      <c r="X12" s="1"/>
      <c r="Y12" s="1"/>
      <c r="Z12" s="1"/>
      <c r="AA12" s="1"/>
      <c r="AB12" s="1"/>
      <c r="AC12" s="1"/>
      <c r="AD12" s="1"/>
      <c r="AE12" s="1"/>
      <c r="AF12" s="1"/>
      <c r="AG12" s="1"/>
      <c r="AH12" s="1"/>
    </row>
    <row r="13" spans="1:34" ht="14.4">
      <c r="A13" s="1"/>
      <c r="B13" s="75" t="s">
        <v>829</v>
      </c>
      <c r="C13" s="49">
        <v>6235</v>
      </c>
      <c r="D13" s="1"/>
      <c r="E13" s="49">
        <f t="shared" si="2"/>
        <v>261870000</v>
      </c>
      <c r="F13" s="1"/>
      <c r="G13" s="49">
        <v>6408</v>
      </c>
      <c r="H13" s="1"/>
      <c r="I13" s="1008"/>
      <c r="J13" s="1"/>
      <c r="K13" s="1"/>
      <c r="L13" s="1"/>
      <c r="M13" s="1"/>
      <c r="N13" s="1"/>
      <c r="O13" s="1"/>
      <c r="P13" s="1"/>
      <c r="Q13" s="1"/>
      <c r="R13" s="1"/>
      <c r="S13" s="1"/>
      <c r="T13" s="1"/>
      <c r="U13" s="1"/>
      <c r="V13" s="1"/>
      <c r="W13" s="1"/>
      <c r="X13" s="1"/>
      <c r="Y13" s="1"/>
      <c r="Z13" s="1"/>
      <c r="AA13" s="1"/>
      <c r="AB13" s="1"/>
      <c r="AC13" s="1"/>
      <c r="AD13" s="1"/>
      <c r="AE13" s="1"/>
      <c r="AF13" s="1"/>
      <c r="AG13" s="1"/>
      <c r="AH13" s="1"/>
    </row>
    <row r="14" spans="1:34" ht="14.4">
      <c r="A14" s="1"/>
      <c r="B14" s="75" t="s">
        <v>830</v>
      </c>
      <c r="C14" s="49">
        <v>255</v>
      </c>
      <c r="D14" s="1"/>
      <c r="E14" s="49">
        <f t="shared" si="2"/>
        <v>10710000</v>
      </c>
      <c r="F14" s="1"/>
      <c r="G14" s="49">
        <v>1603</v>
      </c>
      <c r="H14" s="1"/>
      <c r="I14" s="1008"/>
      <c r="J14" s="1"/>
      <c r="K14" s="1"/>
      <c r="L14" s="1"/>
      <c r="M14" s="1"/>
      <c r="N14" s="1"/>
      <c r="O14" s="1"/>
      <c r="P14" s="1"/>
      <c r="Q14" s="1"/>
      <c r="R14" s="1"/>
      <c r="S14" s="1"/>
      <c r="T14" s="1"/>
      <c r="U14" s="1"/>
      <c r="V14" s="1"/>
      <c r="W14" s="1"/>
      <c r="X14" s="1"/>
      <c r="Y14" s="1"/>
      <c r="Z14" s="1"/>
      <c r="AA14" s="1"/>
      <c r="AB14" s="1"/>
      <c r="AC14" s="1"/>
      <c r="AD14" s="1"/>
      <c r="AE14" s="1"/>
      <c r="AF14" s="1"/>
      <c r="AG14" s="1"/>
      <c r="AH14" s="1"/>
    </row>
    <row r="15" spans="1:34" ht="14.4">
      <c r="A15" s="1"/>
      <c r="B15" s="1"/>
      <c r="C15" s="1"/>
      <c r="D15" s="1"/>
      <c r="E15" s="254"/>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row>
    <row r="16" spans="1:34" ht="14.4">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1:34" ht="14.4">
      <c r="A17" s="1"/>
      <c r="B17" s="1011" t="s">
        <v>831</v>
      </c>
      <c r="C17" s="1012"/>
      <c r="D17" s="1012"/>
      <c r="E17" s="1013"/>
      <c r="F17" s="1012"/>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row>
    <row r="18" spans="1:34" ht="30" customHeight="1">
      <c r="A18" s="1"/>
      <c r="B18" s="1014" t="s">
        <v>832</v>
      </c>
      <c r="C18" s="1015" t="s">
        <v>92</v>
      </c>
      <c r="D18" s="2247" t="s">
        <v>833</v>
      </c>
      <c r="E18" s="2261"/>
      <c r="F18" s="2262" t="s">
        <v>834</v>
      </c>
      <c r="G18" s="2261"/>
      <c r="H18" s="1"/>
      <c r="I18" s="1016" t="s">
        <v>835</v>
      </c>
      <c r="J18" s="1"/>
      <c r="K18" s="1017" t="s">
        <v>836</v>
      </c>
      <c r="L18" s="1"/>
      <c r="M18" s="1018" t="s">
        <v>837</v>
      </c>
      <c r="N18" s="1019"/>
      <c r="O18" s="1019"/>
      <c r="P18" s="1019"/>
      <c r="Q18" s="1019"/>
      <c r="R18" s="1019"/>
      <c r="S18" s="1019"/>
      <c r="T18" s="1"/>
      <c r="U18" s="1019"/>
      <c r="V18" s="1019"/>
      <c r="W18" s="1019"/>
      <c r="X18" s="1"/>
      <c r="Y18" s="1"/>
      <c r="Z18" s="1"/>
      <c r="AA18" s="1"/>
      <c r="AB18" s="1"/>
      <c r="AC18" s="1"/>
      <c r="AD18" s="1"/>
      <c r="AE18" s="1"/>
      <c r="AF18" s="1"/>
      <c r="AG18" s="1"/>
      <c r="AH18" s="1"/>
    </row>
    <row r="19" spans="1:34" ht="14.4">
      <c r="A19" s="1"/>
      <c r="B19" s="592" t="s">
        <v>838</v>
      </c>
      <c r="C19" s="1020">
        <v>2011</v>
      </c>
      <c r="D19" s="2249" t="s">
        <v>839</v>
      </c>
      <c r="E19" s="2250"/>
      <c r="F19" s="2266" t="s">
        <v>840</v>
      </c>
      <c r="G19" s="2250"/>
      <c r="H19" s="1"/>
      <c r="I19" s="594">
        <v>9437000</v>
      </c>
      <c r="J19" s="1"/>
      <c r="K19" s="1021">
        <f t="shared" ref="K19:K26" si="3">I19/$I$24</f>
        <v>3.5358968281343352E-3</v>
      </c>
      <c r="L19" s="1"/>
      <c r="M19" s="1022">
        <f t="shared" ref="M19:M23" si="4">I19/SUM($I$19:$I$23)</f>
        <v>0.12499239575509029</v>
      </c>
      <c r="N19" s="254"/>
      <c r="O19" s="254"/>
      <c r="P19" s="254"/>
      <c r="Q19" s="254"/>
      <c r="R19" s="254"/>
      <c r="S19" s="254"/>
      <c r="T19" s="1"/>
      <c r="U19" s="254">
        <v>9702000</v>
      </c>
      <c r="V19" s="254"/>
      <c r="W19" s="254"/>
      <c r="X19" s="1"/>
      <c r="Y19" s="1"/>
      <c r="Z19" s="1"/>
      <c r="AA19" s="1"/>
      <c r="AB19" s="1"/>
      <c r="AC19" s="1"/>
      <c r="AD19" s="1"/>
      <c r="AE19" s="1"/>
      <c r="AF19" s="1"/>
      <c r="AG19" s="1"/>
      <c r="AH19" s="1"/>
    </row>
    <row r="20" spans="1:34" ht="14.4">
      <c r="A20" s="1"/>
      <c r="B20" s="242" t="s">
        <v>838</v>
      </c>
      <c r="C20" s="1023">
        <v>2011</v>
      </c>
      <c r="D20" s="2249" t="s">
        <v>841</v>
      </c>
      <c r="E20" s="2250"/>
      <c r="F20" s="2266" t="s">
        <v>842</v>
      </c>
      <c r="G20" s="2250"/>
      <c r="H20" s="1"/>
      <c r="I20" s="352">
        <v>13677000</v>
      </c>
      <c r="J20" s="1"/>
      <c r="K20" s="1021">
        <f t="shared" si="3"/>
        <v>5.1245587494323725E-3</v>
      </c>
      <c r="L20" s="1"/>
      <c r="M20" s="363">
        <f t="shared" si="4"/>
        <v>0.1811508950664798</v>
      </c>
      <c r="N20" s="254"/>
      <c r="O20" s="254"/>
      <c r="P20" s="254"/>
      <c r="Q20" s="254"/>
      <c r="R20" s="254"/>
      <c r="S20" s="254"/>
      <c r="T20" s="1"/>
      <c r="U20" s="254">
        <v>8297000</v>
      </c>
      <c r="V20" s="254"/>
      <c r="W20" s="254"/>
      <c r="X20" s="1"/>
      <c r="Y20" s="1"/>
      <c r="Z20" s="1"/>
      <c r="AA20" s="1"/>
      <c r="AB20" s="1"/>
      <c r="AC20" s="1"/>
      <c r="AD20" s="1"/>
      <c r="AE20" s="1"/>
      <c r="AF20" s="1"/>
      <c r="AG20" s="1"/>
      <c r="AH20" s="1"/>
    </row>
    <row r="21" spans="1:34" ht="15.75" customHeight="1">
      <c r="A21" s="1"/>
      <c r="B21" s="242" t="s">
        <v>838</v>
      </c>
      <c r="C21" s="1023">
        <v>2011</v>
      </c>
      <c r="D21" s="2249" t="s">
        <v>843</v>
      </c>
      <c r="E21" s="2250"/>
      <c r="F21" s="2266" t="s">
        <v>844</v>
      </c>
      <c r="G21" s="2250"/>
      <c r="H21" s="1"/>
      <c r="I21" s="352">
        <v>10338000</v>
      </c>
      <c r="J21" s="1"/>
      <c r="K21" s="1021">
        <f t="shared" si="3"/>
        <v>3.8734874864101683E-3</v>
      </c>
      <c r="L21" s="1"/>
      <c r="M21" s="363">
        <f t="shared" si="4"/>
        <v>0.13692607685876057</v>
      </c>
      <c r="N21" s="254"/>
      <c r="O21" s="254"/>
      <c r="P21" s="254"/>
      <c r="Q21" s="254"/>
      <c r="R21" s="254"/>
      <c r="S21" s="254"/>
      <c r="T21" s="1"/>
      <c r="U21" s="254">
        <v>24818000</v>
      </c>
      <c r="V21" s="254"/>
      <c r="W21" s="254"/>
      <c r="X21" s="1"/>
      <c r="Y21" s="1"/>
      <c r="Z21" s="1"/>
      <c r="AA21" s="1"/>
      <c r="AB21" s="1"/>
      <c r="AC21" s="1"/>
      <c r="AD21" s="1"/>
      <c r="AE21" s="1"/>
      <c r="AF21" s="1"/>
      <c r="AG21" s="1"/>
      <c r="AH21" s="1"/>
    </row>
    <row r="22" spans="1:34" ht="15.75" customHeight="1">
      <c r="A22" s="1"/>
      <c r="B22" s="242" t="s">
        <v>845</v>
      </c>
      <c r="C22" s="1023">
        <v>2011</v>
      </c>
      <c r="D22" s="2249" t="s">
        <v>843</v>
      </c>
      <c r="E22" s="2250"/>
      <c r="F22" s="2266" t="s">
        <v>846</v>
      </c>
      <c r="G22" s="2250"/>
      <c r="H22" s="1"/>
      <c r="I22" s="352">
        <v>21138593</v>
      </c>
      <c r="J22" s="1"/>
      <c r="K22" s="1021">
        <f t="shared" si="3"/>
        <v>7.9203013605936914E-3</v>
      </c>
      <c r="L22" s="1"/>
      <c r="M22" s="363">
        <f t="shared" si="4"/>
        <v>0.27997916519675548</v>
      </c>
      <c r="N22" s="254"/>
      <c r="O22" s="254"/>
      <c r="P22" s="254"/>
      <c r="Q22" s="254"/>
      <c r="R22" s="254"/>
      <c r="S22" s="254"/>
      <c r="T22" s="1"/>
      <c r="U22" s="254">
        <v>16130243.465111727</v>
      </c>
      <c r="V22" s="254"/>
      <c r="W22" s="254"/>
      <c r="X22" s="1"/>
      <c r="Y22" s="1"/>
      <c r="Z22" s="1"/>
      <c r="AA22" s="1"/>
      <c r="AB22" s="1"/>
      <c r="AC22" s="1"/>
      <c r="AD22" s="1"/>
      <c r="AE22" s="1"/>
      <c r="AF22" s="1"/>
      <c r="AG22" s="1"/>
      <c r="AH22" s="1"/>
    </row>
    <row r="23" spans="1:34" ht="15.75" customHeight="1">
      <c r="A23" s="1"/>
      <c r="B23" s="242" t="s">
        <v>838</v>
      </c>
      <c r="C23" s="1024">
        <v>2011</v>
      </c>
      <c r="D23" s="2251" t="s">
        <v>847</v>
      </c>
      <c r="E23" s="2252"/>
      <c r="F23" s="2276" t="s">
        <v>848</v>
      </c>
      <c r="G23" s="2252"/>
      <c r="H23" s="1"/>
      <c r="I23" s="339">
        <v>20910000</v>
      </c>
      <c r="J23" s="1"/>
      <c r="K23" s="1025">
        <f t="shared" si="3"/>
        <v>7.8346511260240486E-3</v>
      </c>
      <c r="L23" s="1"/>
      <c r="M23" s="1026">
        <f t="shared" si="4"/>
        <v>0.27695146712291385</v>
      </c>
      <c r="N23" s="254"/>
      <c r="O23" s="254"/>
      <c r="P23" s="254"/>
      <c r="Q23" s="254"/>
      <c r="R23" s="254"/>
      <c r="S23" s="254"/>
      <c r="T23" s="1"/>
      <c r="U23" s="254">
        <v>24070000</v>
      </c>
      <c r="V23" s="254"/>
      <c r="W23" s="254"/>
      <c r="X23" s="1"/>
      <c r="Y23" s="1"/>
      <c r="Z23" s="1"/>
      <c r="AA23" s="1"/>
      <c r="AB23" s="1"/>
      <c r="AC23" s="1"/>
      <c r="AD23" s="1"/>
      <c r="AE23" s="1"/>
      <c r="AF23" s="1"/>
      <c r="AG23" s="1"/>
      <c r="AH23" s="1"/>
    </row>
    <row r="24" spans="1:34" ht="15.75" customHeight="1">
      <c r="A24" s="1"/>
      <c r="B24" s="1027" t="s">
        <v>849</v>
      </c>
      <c r="C24" s="1028">
        <v>2011</v>
      </c>
      <c r="D24" s="2277" t="s">
        <v>850</v>
      </c>
      <c r="E24" s="2260"/>
      <c r="F24" s="2278" t="s">
        <v>242</v>
      </c>
      <c r="G24" s="2261"/>
      <c r="H24" s="408"/>
      <c r="I24" s="584">
        <v>2668912714</v>
      </c>
      <c r="J24" s="1"/>
      <c r="K24" s="1029">
        <f t="shared" si="3"/>
        <v>1</v>
      </c>
      <c r="L24" s="1"/>
      <c r="M24" s="501"/>
      <c r="N24" s="254"/>
      <c r="O24" s="254"/>
      <c r="P24" s="254"/>
      <c r="Q24" s="254"/>
      <c r="R24" s="254"/>
      <c r="S24" s="254"/>
      <c r="T24" s="1"/>
      <c r="U24" s="254"/>
      <c r="V24" s="254"/>
      <c r="W24" s="254"/>
      <c r="X24" s="1"/>
      <c r="Y24" s="1"/>
      <c r="Z24" s="1"/>
      <c r="AA24" s="1"/>
      <c r="AB24" s="1"/>
      <c r="AC24" s="1"/>
      <c r="AD24" s="1"/>
      <c r="AE24" s="1"/>
      <c r="AF24" s="1"/>
      <c r="AG24" s="1"/>
      <c r="AH24" s="1"/>
    </row>
    <row r="25" spans="1:34" ht="15.75" customHeight="1">
      <c r="A25" s="1"/>
      <c r="B25" s="1030" t="s">
        <v>851</v>
      </c>
      <c r="C25" s="1023">
        <v>2011</v>
      </c>
      <c r="D25" s="2249" t="s">
        <v>852</v>
      </c>
      <c r="E25" s="2250"/>
      <c r="F25" s="2266" t="s">
        <v>242</v>
      </c>
      <c r="G25" s="2250"/>
      <c r="H25" s="1"/>
      <c r="I25" s="567">
        <v>2405394000</v>
      </c>
      <c r="J25" s="1"/>
      <c r="K25" s="1021">
        <f t="shared" si="3"/>
        <v>0.90126364469782361</v>
      </c>
      <c r="L25" s="1"/>
      <c r="M25" s="242"/>
      <c r="N25" s="254"/>
      <c r="O25" s="254"/>
      <c r="P25" s="254"/>
      <c r="Q25" s="254"/>
      <c r="R25" s="254"/>
      <c r="S25" s="254"/>
      <c r="T25" s="1"/>
      <c r="U25" s="254"/>
      <c r="V25" s="254"/>
      <c r="W25" s="254"/>
      <c r="X25" s="1"/>
      <c r="Y25" s="1"/>
      <c r="Z25" s="1"/>
      <c r="AA25" s="1"/>
      <c r="AB25" s="1"/>
      <c r="AC25" s="1"/>
      <c r="AD25" s="1"/>
      <c r="AE25" s="1"/>
      <c r="AF25" s="1"/>
      <c r="AG25" s="1"/>
      <c r="AH25" s="1"/>
    </row>
    <row r="26" spans="1:34" ht="15.75" customHeight="1">
      <c r="A26" s="1"/>
      <c r="B26" s="501" t="s">
        <v>427</v>
      </c>
      <c r="C26" s="1031">
        <v>2011</v>
      </c>
      <c r="D26" s="2255" t="s">
        <v>853</v>
      </c>
      <c r="E26" s="2256"/>
      <c r="F26" s="2273" t="s">
        <v>242</v>
      </c>
      <c r="G26" s="2256"/>
      <c r="H26" s="242"/>
      <c r="I26" s="643">
        <f>I24-I25</f>
        <v>263518714</v>
      </c>
      <c r="J26" s="242"/>
      <c r="K26" s="1032">
        <f t="shared" si="3"/>
        <v>9.8736355302176435E-2</v>
      </c>
      <c r="L26" s="242"/>
      <c r="M26" s="1033">
        <f>SUM(M19:M23)</f>
        <v>1</v>
      </c>
      <c r="N26" s="254"/>
      <c r="O26" s="254"/>
      <c r="P26" s="254"/>
      <c r="Q26" s="254"/>
      <c r="R26" s="254"/>
      <c r="S26" s="254"/>
      <c r="T26" s="1"/>
      <c r="U26" s="254"/>
      <c r="V26" s="254"/>
      <c r="W26" s="254"/>
      <c r="X26" s="1"/>
      <c r="Y26" s="1"/>
      <c r="Z26" s="1"/>
      <c r="AA26" s="1"/>
      <c r="AB26" s="1"/>
      <c r="AC26" s="1"/>
      <c r="AD26" s="1"/>
      <c r="AE26" s="1"/>
      <c r="AF26" s="1"/>
      <c r="AG26" s="1"/>
      <c r="AH26" s="1"/>
    </row>
    <row r="27" spans="1:34"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1:34" ht="15.75" customHeight="1">
      <c r="A28" s="1"/>
      <c r="B28" s="1"/>
      <c r="C28" s="1"/>
      <c r="D28" s="1"/>
      <c r="E28" s="1"/>
      <c r="F28" s="1"/>
      <c r="G28" s="1"/>
      <c r="H28" s="1"/>
      <c r="I28" s="254">
        <f>I21+I22</f>
        <v>31476593</v>
      </c>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ht="15.75" customHeight="1">
      <c r="A29" s="1"/>
      <c r="B29" s="2274" t="s">
        <v>854</v>
      </c>
      <c r="C29" s="2272"/>
      <c r="D29" s="2272"/>
      <c r="E29" s="2272"/>
      <c r="F29" s="2275"/>
      <c r="G29" s="254"/>
      <c r="H29" s="1"/>
      <c r="I29" s="1"/>
      <c r="J29" s="1"/>
      <c r="K29" s="1"/>
      <c r="L29" s="1019"/>
      <c r="M29" s="1"/>
      <c r="N29" s="1"/>
      <c r="O29" s="1"/>
      <c r="P29" s="1"/>
      <c r="Q29" s="1"/>
      <c r="R29" s="1"/>
      <c r="S29" s="1"/>
      <c r="T29" s="1"/>
      <c r="U29" s="1"/>
      <c r="V29" s="1"/>
      <c r="W29" s="1"/>
      <c r="X29" s="1"/>
      <c r="Y29" s="1"/>
      <c r="Z29" s="1"/>
      <c r="AA29" s="1"/>
      <c r="AB29" s="1"/>
      <c r="AC29" s="1"/>
      <c r="AD29" s="1"/>
      <c r="AE29" s="1"/>
      <c r="AF29" s="1"/>
      <c r="AG29" s="1"/>
      <c r="AH29" s="1"/>
    </row>
    <row r="30" spans="1:34" ht="15.75" customHeight="1">
      <c r="A30" s="1"/>
      <c r="B30" s="1"/>
      <c r="C30" s="1"/>
      <c r="D30" s="39"/>
      <c r="E30" s="39"/>
      <c r="F30" s="39"/>
      <c r="G30" s="39"/>
      <c r="H30" s="1"/>
      <c r="I30" s="1"/>
      <c r="J30" s="1"/>
      <c r="K30" s="1"/>
      <c r="L30" s="1"/>
      <c r="M30" s="1019"/>
      <c r="N30" s="1019"/>
      <c r="O30" s="1019"/>
      <c r="P30" s="1019"/>
      <c r="Q30" s="1019"/>
      <c r="R30" s="1019"/>
      <c r="S30" s="1019"/>
      <c r="T30" s="1"/>
      <c r="U30" s="1019"/>
      <c r="V30" s="1019"/>
      <c r="W30" s="1019"/>
      <c r="X30" s="1"/>
      <c r="Y30" s="1"/>
      <c r="Z30" s="1"/>
      <c r="AA30" s="1"/>
      <c r="AB30" s="1"/>
      <c r="AC30" s="1"/>
      <c r="AD30" s="1"/>
      <c r="AE30" s="1"/>
      <c r="AF30" s="1"/>
      <c r="AG30" s="1"/>
      <c r="AH30" s="1"/>
    </row>
    <row r="31" spans="1:34" ht="30" customHeight="1">
      <c r="A31" s="1"/>
      <c r="B31" s="1014" t="s">
        <v>832</v>
      </c>
      <c r="C31" s="1015" t="s">
        <v>92</v>
      </c>
      <c r="D31" s="2247" t="s">
        <v>833</v>
      </c>
      <c r="E31" s="2261"/>
      <c r="F31" s="2262" t="s">
        <v>834</v>
      </c>
      <c r="G31" s="2261"/>
      <c r="H31" s="1"/>
      <c r="I31" s="1016" t="s">
        <v>835</v>
      </c>
      <c r="J31" s="1"/>
      <c r="K31" s="1017" t="s">
        <v>836</v>
      </c>
      <c r="L31" s="1"/>
      <c r="M31" s="1018" t="s">
        <v>855</v>
      </c>
      <c r="N31" s="1"/>
      <c r="O31" s="1"/>
      <c r="P31" s="1"/>
      <c r="Q31" s="1"/>
      <c r="R31" s="1"/>
      <c r="S31" s="1"/>
      <c r="T31" s="1"/>
      <c r="U31" s="1"/>
      <c r="V31" s="1"/>
      <c r="W31" s="1"/>
      <c r="X31" s="1"/>
      <c r="Y31" s="1"/>
      <c r="Z31" s="1"/>
      <c r="AA31" s="1"/>
      <c r="AB31" s="1"/>
      <c r="AC31" s="1"/>
      <c r="AD31" s="1"/>
      <c r="AE31" s="1"/>
      <c r="AF31" s="1"/>
      <c r="AG31" s="1"/>
      <c r="AH31" s="1"/>
    </row>
    <row r="32" spans="1:34" ht="15.75" customHeight="1">
      <c r="A32" s="1"/>
      <c r="B32" s="242" t="s">
        <v>856</v>
      </c>
      <c r="C32" s="764">
        <v>2011</v>
      </c>
      <c r="D32" s="2263" t="s">
        <v>839</v>
      </c>
      <c r="E32" s="2264"/>
      <c r="F32" s="2265" t="s">
        <v>857</v>
      </c>
      <c r="G32" s="2264"/>
      <c r="H32" s="1"/>
      <c r="I32" s="594">
        <v>11621000</v>
      </c>
      <c r="J32" s="1"/>
      <c r="K32" s="1034">
        <f t="shared" ref="K32:K39" si="5">I32/$I$37</f>
        <v>2.0373350724576703E-2</v>
      </c>
      <c r="L32" s="1"/>
      <c r="M32" s="1022">
        <f t="shared" ref="M32:M36" si="6">I32/SUM($I$32:$I$36)</f>
        <v>5.0390451394771378E-2</v>
      </c>
      <c r="N32" s="1"/>
      <c r="O32" s="1"/>
      <c r="P32" s="1"/>
      <c r="Q32" s="1"/>
      <c r="R32" s="1"/>
      <c r="S32" s="1"/>
      <c r="T32" s="1"/>
      <c r="U32" s="1"/>
      <c r="V32" s="1"/>
      <c r="W32" s="1"/>
      <c r="X32" s="1"/>
      <c r="Y32" s="1"/>
      <c r="Z32" s="1"/>
      <c r="AA32" s="1"/>
      <c r="AB32" s="1"/>
      <c r="AC32" s="1"/>
      <c r="AD32" s="1"/>
      <c r="AE32" s="1"/>
      <c r="AF32" s="1"/>
      <c r="AG32" s="1"/>
      <c r="AH32" s="1"/>
    </row>
    <row r="33" spans="1:34" ht="15.75" customHeight="1">
      <c r="A33" s="1"/>
      <c r="B33" s="242" t="s">
        <v>856</v>
      </c>
      <c r="C33" s="579">
        <v>2011</v>
      </c>
      <c r="D33" s="2249" t="s">
        <v>841</v>
      </c>
      <c r="E33" s="2250"/>
      <c r="F33" s="2266" t="s">
        <v>858</v>
      </c>
      <c r="G33" s="2250"/>
      <c r="H33" s="1"/>
      <c r="I33" s="1035">
        <v>189703064.09999999</v>
      </c>
      <c r="J33" s="1"/>
      <c r="K33" s="1021">
        <f t="shared" si="5"/>
        <v>0.33257783826143666</v>
      </c>
      <c r="L33" s="1"/>
      <c r="M33" s="363">
        <f t="shared" si="6"/>
        <v>0.82258179424922551</v>
      </c>
      <c r="N33" s="1"/>
      <c r="O33" s="1"/>
      <c r="P33" s="1"/>
      <c r="Q33" s="1"/>
      <c r="R33" s="1"/>
      <c r="S33" s="1"/>
      <c r="T33" s="1"/>
      <c r="U33" s="1"/>
      <c r="V33" s="1"/>
      <c r="W33" s="1"/>
      <c r="X33" s="1"/>
      <c r="Y33" s="1"/>
      <c r="Z33" s="1"/>
      <c r="AA33" s="1"/>
      <c r="AB33" s="1"/>
      <c r="AC33" s="1"/>
      <c r="AD33" s="1"/>
      <c r="AE33" s="1"/>
      <c r="AF33" s="1"/>
      <c r="AG33" s="1"/>
      <c r="AH33" s="1"/>
    </row>
    <row r="34" spans="1:34" ht="15.75" customHeight="1">
      <c r="A34" s="1"/>
      <c r="B34" s="242" t="s">
        <v>856</v>
      </c>
      <c r="C34" s="579">
        <v>2011</v>
      </c>
      <c r="D34" s="2249" t="s">
        <v>843</v>
      </c>
      <c r="E34" s="2250"/>
      <c r="F34" s="2266" t="s">
        <v>859</v>
      </c>
      <c r="G34" s="2250"/>
      <c r="H34" s="1"/>
      <c r="I34" s="352">
        <v>6818999</v>
      </c>
      <c r="J34" s="1"/>
      <c r="K34" s="1021">
        <f t="shared" si="5"/>
        <v>1.1954724913306755E-2</v>
      </c>
      <c r="L34" s="1"/>
      <c r="M34" s="363">
        <f t="shared" si="6"/>
        <v>2.9568233170165617E-2</v>
      </c>
      <c r="N34" s="1"/>
      <c r="O34" s="1"/>
      <c r="P34" s="1"/>
      <c r="Q34" s="1"/>
      <c r="R34" s="1"/>
      <c r="S34" s="1"/>
      <c r="T34" s="1"/>
      <c r="U34" s="1"/>
      <c r="V34" s="1"/>
      <c r="W34" s="1"/>
      <c r="X34" s="1"/>
      <c r="Y34" s="1"/>
      <c r="Z34" s="1"/>
      <c r="AA34" s="1"/>
      <c r="AB34" s="1"/>
      <c r="AC34" s="1"/>
      <c r="AD34" s="1"/>
      <c r="AE34" s="1"/>
      <c r="AF34" s="1"/>
      <c r="AG34" s="1"/>
      <c r="AH34" s="1"/>
    </row>
    <row r="35" spans="1:34" ht="15.75" customHeight="1">
      <c r="A35" s="1"/>
      <c r="B35" s="1036" t="s">
        <v>860</v>
      </c>
      <c r="C35" s="579">
        <v>2011</v>
      </c>
      <c r="D35" s="2249" t="s">
        <v>861</v>
      </c>
      <c r="E35" s="2250"/>
      <c r="F35" s="2266" t="s">
        <v>862</v>
      </c>
      <c r="G35" s="2250"/>
      <c r="H35" s="1"/>
      <c r="I35" s="1037">
        <v>18081260</v>
      </c>
      <c r="J35" s="1"/>
      <c r="K35" s="1021">
        <f t="shared" si="5"/>
        <v>3.1699152527515685E-2</v>
      </c>
      <c r="L35" s="1"/>
      <c r="M35" s="363">
        <f t="shared" si="6"/>
        <v>7.8403136837296619E-2</v>
      </c>
      <c r="N35" s="1"/>
      <c r="O35" s="1"/>
      <c r="P35" s="1"/>
      <c r="Q35" s="1"/>
      <c r="R35" s="1"/>
      <c r="S35" s="1"/>
      <c r="T35" s="1"/>
      <c r="U35" s="1"/>
      <c r="V35" s="1"/>
      <c r="W35" s="1"/>
      <c r="X35" s="1"/>
      <c r="Y35" s="1"/>
      <c r="Z35" s="1"/>
      <c r="AA35" s="1"/>
      <c r="AB35" s="1"/>
      <c r="AC35" s="1"/>
      <c r="AD35" s="1"/>
      <c r="AE35" s="1"/>
      <c r="AF35" s="1"/>
      <c r="AG35" s="1"/>
      <c r="AH35" s="1"/>
    </row>
    <row r="36" spans="1:34" ht="15.75" customHeight="1">
      <c r="A36" s="1"/>
      <c r="B36" s="242" t="s">
        <v>856</v>
      </c>
      <c r="C36" s="1024">
        <v>2011</v>
      </c>
      <c r="D36" s="2251" t="s">
        <v>863</v>
      </c>
      <c r="E36" s="2252"/>
      <c r="F36" s="2276" t="s">
        <v>864</v>
      </c>
      <c r="G36" s="2252"/>
      <c r="H36" s="1"/>
      <c r="I36" s="339">
        <v>4394766</v>
      </c>
      <c r="J36" s="1"/>
      <c r="K36" s="1025">
        <f t="shared" si="5"/>
        <v>7.7046819611431934E-3</v>
      </c>
      <c r="L36" s="1"/>
      <c r="M36" s="1026">
        <f t="shared" si="6"/>
        <v>1.9056384348540904E-2</v>
      </c>
      <c r="N36" s="1"/>
      <c r="O36" s="1"/>
      <c r="P36" s="1"/>
      <c r="Q36" s="1"/>
      <c r="R36" s="1"/>
      <c r="S36" s="1"/>
      <c r="T36" s="1"/>
      <c r="U36" s="1"/>
      <c r="V36" s="1"/>
      <c r="W36" s="1"/>
      <c r="X36" s="1"/>
      <c r="Y36" s="1"/>
      <c r="Z36" s="1"/>
      <c r="AA36" s="1"/>
      <c r="AB36" s="1"/>
      <c r="AC36" s="1"/>
      <c r="AD36" s="1"/>
      <c r="AE36" s="1"/>
      <c r="AF36" s="1"/>
      <c r="AG36" s="1"/>
      <c r="AH36" s="1"/>
    </row>
    <row r="37" spans="1:34" ht="15.75" customHeight="1">
      <c r="A37" s="1"/>
      <c r="B37" s="224" t="s">
        <v>865</v>
      </c>
      <c r="C37" s="1023">
        <v>2011</v>
      </c>
      <c r="D37" s="2253" t="s">
        <v>866</v>
      </c>
      <c r="E37" s="2254"/>
      <c r="F37" s="2269" t="s">
        <v>242</v>
      </c>
      <c r="G37" s="2250"/>
      <c r="H37" s="1"/>
      <c r="I37" s="348">
        <f>C6*42*1000</f>
        <v>570402000</v>
      </c>
      <c r="J37" s="1"/>
      <c r="K37" s="1021">
        <f t="shared" si="5"/>
        <v>1</v>
      </c>
      <c r="L37" s="1"/>
      <c r="M37" s="242"/>
      <c r="N37" s="1"/>
      <c r="O37" s="1"/>
      <c r="P37" s="1"/>
      <c r="Q37" s="1"/>
      <c r="R37" s="1"/>
      <c r="S37" s="1"/>
      <c r="T37" s="1"/>
      <c r="U37" s="1"/>
      <c r="V37" s="1"/>
      <c r="W37" s="1"/>
      <c r="X37" s="1"/>
      <c r="Y37" s="1"/>
      <c r="Z37" s="1"/>
      <c r="AA37" s="1"/>
      <c r="AB37" s="1"/>
      <c r="AC37" s="1"/>
      <c r="AD37" s="1"/>
      <c r="AE37" s="1"/>
      <c r="AF37" s="1"/>
      <c r="AG37" s="1"/>
      <c r="AH37" s="1"/>
    </row>
    <row r="38" spans="1:34" ht="15.75" customHeight="1">
      <c r="A38" s="1"/>
      <c r="B38" s="1030" t="s">
        <v>851</v>
      </c>
      <c r="C38" s="642">
        <v>2011</v>
      </c>
      <c r="D38" s="2255" t="s">
        <v>867</v>
      </c>
      <c r="E38" s="2256"/>
      <c r="F38" s="2270" t="s">
        <v>242</v>
      </c>
      <c r="G38" s="2256"/>
      <c r="H38" s="1"/>
      <c r="I38" s="1038">
        <v>528232000</v>
      </c>
      <c r="J38" s="1"/>
      <c r="K38" s="1029">
        <f t="shared" si="5"/>
        <v>0.92606968418764313</v>
      </c>
      <c r="L38" s="1"/>
      <c r="M38" s="501"/>
      <c r="N38" s="1"/>
      <c r="O38" s="1"/>
      <c r="P38" s="1"/>
      <c r="Q38" s="1"/>
      <c r="R38" s="1"/>
      <c r="S38" s="1"/>
      <c r="T38" s="1"/>
      <c r="U38" s="1"/>
      <c r="V38" s="1"/>
      <c r="W38" s="1"/>
      <c r="X38" s="1"/>
      <c r="Y38" s="1"/>
      <c r="Z38" s="1"/>
      <c r="AA38" s="1"/>
      <c r="AB38" s="1"/>
      <c r="AC38" s="1"/>
      <c r="AD38" s="1"/>
      <c r="AE38" s="1"/>
      <c r="AF38" s="1"/>
      <c r="AG38" s="1"/>
      <c r="AH38" s="1"/>
    </row>
    <row r="39" spans="1:34" ht="15.75" customHeight="1">
      <c r="A39" s="1"/>
      <c r="B39" s="641" t="s">
        <v>868</v>
      </c>
      <c r="C39" s="1031">
        <v>2011</v>
      </c>
      <c r="D39" s="2255" t="s">
        <v>869</v>
      </c>
      <c r="E39" s="2256"/>
      <c r="F39" s="2270" t="s">
        <v>242</v>
      </c>
      <c r="G39" s="2256"/>
      <c r="H39" s="242"/>
      <c r="I39" s="643">
        <f>I37-I38</f>
        <v>42170000</v>
      </c>
      <c r="J39" s="242"/>
      <c r="K39" s="1032">
        <f t="shared" si="5"/>
        <v>7.39303158123569E-2</v>
      </c>
      <c r="L39" s="242"/>
      <c r="M39" s="1033">
        <f>SUM(M32:M36)</f>
        <v>1</v>
      </c>
      <c r="N39" s="1"/>
      <c r="O39" s="1"/>
      <c r="P39" s="1"/>
      <c r="Q39" s="1"/>
      <c r="R39" s="1"/>
      <c r="S39" s="1"/>
      <c r="T39" s="1"/>
      <c r="U39" s="1"/>
      <c r="V39" s="1"/>
      <c r="W39" s="1"/>
      <c r="X39" s="1"/>
      <c r="Y39" s="1"/>
      <c r="Z39" s="1"/>
      <c r="AA39" s="1"/>
      <c r="AB39" s="1"/>
      <c r="AC39" s="1"/>
      <c r="AD39" s="1"/>
      <c r="AE39" s="1"/>
      <c r="AF39" s="1"/>
      <c r="AG39" s="1"/>
      <c r="AH39" s="1"/>
    </row>
    <row r="40" spans="1:34" ht="15.75" customHeight="1">
      <c r="A40" s="1"/>
      <c r="B40" s="1"/>
      <c r="C40" s="1"/>
      <c r="D40" s="1"/>
      <c r="E40" s="1"/>
      <c r="F40" s="1"/>
      <c r="G40" s="1"/>
      <c r="H40" s="1"/>
      <c r="I40" s="254"/>
      <c r="J40" s="1"/>
      <c r="K40" s="221"/>
      <c r="L40" s="1"/>
      <c r="M40" s="1"/>
      <c r="N40" s="1"/>
      <c r="O40" s="1"/>
      <c r="P40" s="1"/>
      <c r="Q40" s="1"/>
      <c r="R40" s="1"/>
      <c r="S40" s="1"/>
      <c r="T40" s="1"/>
      <c r="U40" s="1"/>
      <c r="V40" s="1"/>
      <c r="W40" s="1"/>
      <c r="X40" s="1"/>
      <c r="Y40" s="1"/>
      <c r="Z40" s="1"/>
      <c r="AA40" s="1"/>
      <c r="AB40" s="1"/>
      <c r="AC40" s="1"/>
      <c r="AD40" s="1"/>
      <c r="AE40" s="1"/>
      <c r="AF40" s="1"/>
      <c r="AG40" s="1"/>
      <c r="AH40" s="1"/>
    </row>
    <row r="41" spans="1:34"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ht="15.75" customHeight="1">
      <c r="A42" s="1"/>
      <c r="B42" s="1"/>
      <c r="C42" s="1023">
        <v>2011</v>
      </c>
      <c r="D42" s="2257" t="s">
        <v>870</v>
      </c>
      <c r="E42" s="2250"/>
      <c r="F42" s="2271" t="s">
        <v>177</v>
      </c>
      <c r="G42" s="2272"/>
      <c r="H42" s="2254"/>
      <c r="I42" s="1039">
        <f>SUM(I32:I35)</f>
        <v>226224323.09999999</v>
      </c>
      <c r="J42" s="1"/>
      <c r="K42" s="254"/>
      <c r="L42" s="1"/>
      <c r="M42" s="1"/>
      <c r="N42" s="1"/>
      <c r="O42" s="1"/>
      <c r="P42" s="1"/>
      <c r="Q42" s="1"/>
      <c r="R42" s="1"/>
      <c r="S42" s="1"/>
      <c r="T42" s="1"/>
      <c r="U42" s="1"/>
      <c r="V42" s="1"/>
      <c r="W42" s="1"/>
      <c r="X42" s="1"/>
      <c r="Y42" s="1"/>
      <c r="Z42" s="1"/>
      <c r="AA42" s="1"/>
      <c r="AB42" s="1"/>
      <c r="AC42" s="1"/>
      <c r="AD42" s="1"/>
      <c r="AE42" s="1"/>
      <c r="AF42" s="1"/>
      <c r="AG42" s="1"/>
      <c r="AH42" s="1"/>
    </row>
    <row r="43" spans="1:34" ht="15.75" customHeight="1">
      <c r="A43" s="1"/>
      <c r="B43" s="1"/>
      <c r="C43" s="1023">
        <v>2011</v>
      </c>
      <c r="D43" s="2267" t="s">
        <v>861</v>
      </c>
      <c r="E43" s="2250"/>
      <c r="F43" s="2266" t="s">
        <v>830</v>
      </c>
      <c r="G43" s="2243"/>
      <c r="H43" s="2250"/>
      <c r="I43" s="1040">
        <v>0</v>
      </c>
      <c r="J43" s="1041"/>
      <c r="K43" s="1"/>
      <c r="L43" s="1"/>
      <c r="M43" s="1"/>
      <c r="N43" s="1"/>
      <c r="O43" s="1"/>
      <c r="P43" s="1"/>
      <c r="Q43" s="1"/>
      <c r="R43" s="1"/>
      <c r="S43" s="1"/>
      <c r="T43" s="1"/>
      <c r="U43" s="1"/>
      <c r="V43" s="1"/>
      <c r="W43" s="1"/>
      <c r="X43" s="1"/>
      <c r="Y43" s="1"/>
      <c r="Z43" s="1"/>
      <c r="AA43" s="1"/>
      <c r="AB43" s="1"/>
      <c r="AC43" s="1"/>
      <c r="AD43" s="1"/>
      <c r="AE43" s="1"/>
      <c r="AF43" s="1"/>
      <c r="AG43" s="1"/>
      <c r="AH43" s="1"/>
    </row>
    <row r="44" spans="1:34" ht="15.75" customHeight="1">
      <c r="A44" s="1"/>
      <c r="B44" s="641" t="s">
        <v>865</v>
      </c>
      <c r="C44" s="1023">
        <v>2011</v>
      </c>
      <c r="D44" s="2267" t="s">
        <v>863</v>
      </c>
      <c r="E44" s="2250"/>
      <c r="F44" s="1042" t="s">
        <v>871</v>
      </c>
      <c r="G44" s="1"/>
      <c r="H44" s="1"/>
      <c r="I44" s="1043">
        <f>C14*42*1000</f>
        <v>10710000</v>
      </c>
      <c r="J44" s="254"/>
      <c r="K44" s="254"/>
      <c r="L44" s="1"/>
      <c r="M44" s="1"/>
      <c r="N44" s="1"/>
      <c r="O44" s="1"/>
      <c r="P44" s="1"/>
      <c r="Q44" s="1"/>
      <c r="R44" s="1"/>
      <c r="S44" s="1"/>
      <c r="T44" s="1"/>
      <c r="U44" s="1"/>
      <c r="V44" s="1"/>
      <c r="W44" s="1"/>
      <c r="X44" s="1"/>
      <c r="Y44" s="1"/>
      <c r="Z44" s="1"/>
      <c r="AA44" s="1"/>
      <c r="AB44" s="1"/>
      <c r="AC44" s="1"/>
      <c r="AD44" s="1"/>
      <c r="AE44" s="1"/>
      <c r="AF44" s="1"/>
      <c r="AG44" s="1"/>
      <c r="AH44" s="1"/>
    </row>
    <row r="45" spans="1:34" ht="15.75" customHeight="1">
      <c r="A45" s="39"/>
      <c r="B45" s="39"/>
      <c r="C45" s="39"/>
      <c r="D45" s="2268" t="s">
        <v>872</v>
      </c>
      <c r="E45" s="2261"/>
      <c r="F45" s="2258" t="s">
        <v>177</v>
      </c>
      <c r="G45" s="2259"/>
      <c r="H45" s="2260"/>
      <c r="I45" s="1044">
        <f>SUM(I43:I44)</f>
        <v>10710000</v>
      </c>
      <c r="J45" s="1045"/>
      <c r="K45" s="39"/>
      <c r="L45" s="39"/>
      <c r="M45" s="39"/>
      <c r="N45" s="1"/>
      <c r="O45" s="1"/>
      <c r="P45" s="1"/>
      <c r="Q45" s="1"/>
      <c r="R45" s="1"/>
      <c r="S45" s="1"/>
      <c r="T45" s="1"/>
      <c r="U45" s="1"/>
      <c r="V45" s="1"/>
      <c r="W45" s="1"/>
      <c r="X45" s="1"/>
      <c r="Y45" s="1"/>
      <c r="Z45" s="1"/>
      <c r="AA45" s="1"/>
      <c r="AB45" s="1"/>
      <c r="AC45" s="1"/>
      <c r="AD45" s="1"/>
      <c r="AE45" s="1"/>
      <c r="AF45" s="1"/>
      <c r="AG45" s="1"/>
      <c r="AH45" s="1"/>
    </row>
    <row r="46" spans="1:34" ht="15.75" customHeight="1">
      <c r="A46" s="1"/>
      <c r="B46" s="893" t="s">
        <v>873</v>
      </c>
      <c r="C46" s="1"/>
      <c r="D46" s="1"/>
      <c r="E46" s="1"/>
      <c r="F46" s="1"/>
      <c r="G46" s="1"/>
      <c r="H46" s="1"/>
      <c r="I46" s="1"/>
      <c r="J46" s="254"/>
      <c r="K46" s="1"/>
      <c r="L46" s="1"/>
      <c r="M46" s="1"/>
      <c r="N46" s="1"/>
      <c r="O46" s="1"/>
      <c r="P46" s="1"/>
      <c r="Q46" s="1"/>
      <c r="R46" s="1"/>
      <c r="S46" s="1"/>
      <c r="T46" s="1"/>
      <c r="U46" s="1"/>
      <c r="V46" s="1"/>
      <c r="W46" s="1"/>
      <c r="X46" s="1"/>
      <c r="Y46" s="1"/>
      <c r="Z46" s="1"/>
      <c r="AA46" s="1"/>
      <c r="AB46" s="1"/>
      <c r="AC46" s="1"/>
      <c r="AD46" s="1"/>
      <c r="AE46" s="1"/>
      <c r="AF46" s="1"/>
      <c r="AG46" s="1"/>
      <c r="AH46" s="1"/>
    </row>
    <row r="47" spans="1:34" ht="15.75" customHeight="1">
      <c r="A47" s="1"/>
      <c r="B47" s="1046" t="s">
        <v>848</v>
      </c>
      <c r="C47" s="977">
        <v>124238</v>
      </c>
      <c r="D47" s="1" t="s">
        <v>874</v>
      </c>
      <c r="E47" s="1"/>
      <c r="F47" s="1"/>
      <c r="G47" s="1"/>
      <c r="H47" s="1"/>
      <c r="I47" s="1"/>
      <c r="J47" s="254"/>
      <c r="K47" s="1"/>
      <c r="L47" s="1"/>
      <c r="M47" s="1"/>
      <c r="N47" s="1"/>
      <c r="O47" s="1"/>
      <c r="P47" s="1"/>
      <c r="Q47" s="1"/>
      <c r="R47" s="1"/>
      <c r="S47" s="1"/>
      <c r="T47" s="1"/>
      <c r="U47" s="1"/>
      <c r="V47" s="1"/>
      <c r="W47" s="1"/>
      <c r="X47" s="1"/>
      <c r="Y47" s="1"/>
      <c r="Z47" s="1"/>
      <c r="AA47" s="1"/>
      <c r="AB47" s="1"/>
      <c r="AC47" s="1"/>
      <c r="AD47" s="1"/>
      <c r="AE47" s="1"/>
      <c r="AF47" s="1"/>
      <c r="AG47" s="1"/>
      <c r="AH47" s="1"/>
    </row>
    <row r="48" spans="1:34" ht="15.75" customHeight="1">
      <c r="A48" s="1"/>
      <c r="B48" s="1046" t="s">
        <v>424</v>
      </c>
      <c r="C48" s="977">
        <v>138690</v>
      </c>
      <c r="D48" s="1" t="s">
        <v>874</v>
      </c>
      <c r="E48" s="1"/>
      <c r="F48" s="1"/>
      <c r="G48" s="1"/>
      <c r="H48" s="1"/>
      <c r="I48" s="254"/>
      <c r="J48" s="254"/>
      <c r="K48" s="1"/>
      <c r="L48" s="1"/>
      <c r="M48" s="1"/>
      <c r="N48" s="1"/>
      <c r="O48" s="1"/>
      <c r="P48" s="1"/>
      <c r="Q48" s="1"/>
      <c r="R48" s="1"/>
      <c r="S48" s="1"/>
      <c r="T48" s="1"/>
      <c r="U48" s="1"/>
      <c r="V48" s="1"/>
      <c r="W48" s="1"/>
      <c r="X48" s="1"/>
      <c r="Y48" s="1"/>
      <c r="Z48" s="1"/>
      <c r="AA48" s="1"/>
      <c r="AB48" s="1"/>
      <c r="AC48" s="1"/>
      <c r="AD48" s="1"/>
      <c r="AE48" s="1"/>
      <c r="AF48" s="1"/>
      <c r="AG48" s="1"/>
      <c r="AH48" s="1"/>
    </row>
    <row r="49" spans="1:34" ht="15.75" customHeight="1">
      <c r="A49" s="39"/>
      <c r="B49" s="39"/>
      <c r="C49" s="39"/>
      <c r="D49" s="2247"/>
      <c r="E49" s="2248"/>
      <c r="F49" s="39"/>
      <c r="G49" s="39"/>
      <c r="H49" s="39"/>
      <c r="I49" s="39"/>
      <c r="J49" s="39"/>
      <c r="K49" s="39"/>
      <c r="L49" s="39"/>
      <c r="M49" s="39"/>
      <c r="N49" s="1"/>
      <c r="O49" s="1"/>
      <c r="P49" s="1"/>
      <c r="Q49" s="1"/>
      <c r="R49" s="1"/>
      <c r="S49" s="1"/>
      <c r="T49" s="1"/>
      <c r="U49" s="1"/>
      <c r="V49" s="1"/>
      <c r="W49" s="1"/>
      <c r="X49" s="1"/>
      <c r="Y49" s="1"/>
      <c r="Z49" s="1"/>
      <c r="AA49" s="1"/>
      <c r="AB49" s="1"/>
      <c r="AC49" s="1"/>
      <c r="AD49" s="1"/>
      <c r="AE49" s="1"/>
      <c r="AF49" s="1"/>
      <c r="AG49" s="1"/>
      <c r="AH49" s="1"/>
    </row>
    <row r="50" spans="1:34"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ht="21" customHeight="1">
      <c r="A52" s="1"/>
      <c r="B52" s="1047" t="s">
        <v>875</v>
      </c>
      <c r="C52" s="1048"/>
      <c r="D52" s="1048"/>
      <c r="E52" s="1048"/>
      <c r="F52" s="1048"/>
      <c r="G52" s="1048"/>
      <c r="H52" s="1048"/>
      <c r="I52" s="1048"/>
      <c r="J52" s="1048"/>
      <c r="K52" s="1048"/>
      <c r="L52" s="1048"/>
      <c r="M52" s="1048"/>
      <c r="N52" s="1048"/>
      <c r="O52" s="1048"/>
      <c r="P52" s="1048"/>
      <c r="Q52" s="1048"/>
      <c r="R52" s="1048"/>
      <c r="S52" s="1048"/>
      <c r="T52" s="1048"/>
      <c r="U52" s="1048"/>
      <c r="V52" s="1048"/>
      <c r="W52" s="1048"/>
      <c r="X52" s="1048"/>
      <c r="Y52" s="1048"/>
      <c r="Z52" s="1048"/>
      <c r="AA52" s="1048"/>
      <c r="AB52" s="1048"/>
      <c r="AC52" s="1048"/>
      <c r="AD52" s="1048"/>
      <c r="AE52" s="1048"/>
      <c r="AF52" s="1048"/>
      <c r="AG52" s="1048"/>
      <c r="AH52" s="1049"/>
    </row>
    <row r="53" spans="1:34" ht="15.75" customHeight="1">
      <c r="A53" s="1"/>
      <c r="B53" s="1050" t="s">
        <v>876</v>
      </c>
      <c r="C53" s="1051"/>
      <c r="D53" s="1051"/>
      <c r="E53" s="1051"/>
      <c r="F53" s="1051"/>
      <c r="G53" s="1051"/>
      <c r="H53" s="1051"/>
      <c r="I53" s="1051"/>
      <c r="J53" s="1051"/>
      <c r="K53" s="1051"/>
      <c r="L53" s="1051"/>
      <c r="M53" s="1051"/>
      <c r="N53" s="1051"/>
      <c r="O53" s="1051"/>
      <c r="P53" s="1"/>
      <c r="Q53" s="1"/>
      <c r="R53" s="1"/>
      <c r="S53" s="1"/>
      <c r="T53" s="1"/>
      <c r="U53" s="1"/>
      <c r="V53" s="1"/>
      <c r="W53" s="1"/>
      <c r="X53" s="1"/>
      <c r="Y53" s="1"/>
      <c r="Z53" s="1"/>
      <c r="AA53" s="1"/>
      <c r="AB53" s="1"/>
      <c r="AC53" s="1"/>
      <c r="AD53" s="1"/>
      <c r="AE53" s="1"/>
      <c r="AF53" s="1"/>
      <c r="AG53" s="1"/>
      <c r="AH53" s="1052"/>
    </row>
    <row r="54" spans="1:34" ht="15.75" customHeight="1">
      <c r="A54" s="1"/>
      <c r="B54" s="1053"/>
      <c r="C54" s="1"/>
      <c r="D54" s="1"/>
      <c r="E54" s="404"/>
      <c r="F54" s="404"/>
      <c r="G54" s="404"/>
      <c r="H54" s="404"/>
      <c r="I54" s="404"/>
      <c r="J54" s="404"/>
      <c r="K54" s="1054"/>
      <c r="L54" s="1055"/>
      <c r="M54" s="1056" t="s">
        <v>877</v>
      </c>
      <c r="N54" s="1055"/>
      <c r="O54" s="1057"/>
      <c r="P54" s="404"/>
      <c r="Q54" s="1054"/>
      <c r="R54" s="1055"/>
      <c r="S54" s="1055"/>
      <c r="T54" s="1056" t="s">
        <v>878</v>
      </c>
      <c r="U54" s="1058"/>
      <c r="V54" s="1058"/>
      <c r="W54" s="1058"/>
      <c r="X54" s="1059"/>
      <c r="Y54" s="1"/>
      <c r="Z54" s="1060"/>
      <c r="AA54" s="1061" t="s">
        <v>879</v>
      </c>
      <c r="AB54" s="1056"/>
      <c r="AC54" s="1056"/>
      <c r="AD54" s="1056"/>
      <c r="AE54" s="1059"/>
      <c r="AF54" s="1"/>
      <c r="AG54" s="1062" t="s">
        <v>880</v>
      </c>
      <c r="AH54" s="1052"/>
    </row>
    <row r="55" spans="1:34" ht="15.75" customHeight="1">
      <c r="A55" s="1"/>
      <c r="B55" s="1053"/>
      <c r="C55" s="1063" t="s">
        <v>90</v>
      </c>
      <c r="D55" s="1"/>
      <c r="E55" s="1063" t="s">
        <v>90</v>
      </c>
      <c r="F55" s="1063"/>
      <c r="G55" s="1063" t="s">
        <v>881</v>
      </c>
      <c r="H55" s="404"/>
      <c r="I55" s="1063" t="s">
        <v>882</v>
      </c>
      <c r="J55" s="404"/>
      <c r="K55" s="1064" t="s">
        <v>118</v>
      </c>
      <c r="L55" s="404"/>
      <c r="M55" s="46" t="s">
        <v>118</v>
      </c>
      <c r="N55" s="404"/>
      <c r="O55" s="1065" t="s">
        <v>118</v>
      </c>
      <c r="P55" s="404"/>
      <c r="Q55" s="1066"/>
      <c r="R55" s="404"/>
      <c r="S55" s="404"/>
      <c r="T55" s="1"/>
      <c r="U55" s="1"/>
      <c r="V55" s="1"/>
      <c r="W55" s="1"/>
      <c r="X55" s="1067"/>
      <c r="Y55" s="1"/>
      <c r="Z55" s="1068"/>
      <c r="AA55" s="1"/>
      <c r="AB55" s="1"/>
      <c r="AC55" s="1"/>
      <c r="AD55" s="1"/>
      <c r="AE55" s="1067"/>
      <c r="AF55" s="1"/>
      <c r="AG55" s="1069" t="s">
        <v>883</v>
      </c>
      <c r="AH55" s="1052"/>
    </row>
    <row r="56" spans="1:34" ht="45" customHeight="1">
      <c r="A56" s="1"/>
      <c r="B56" s="1070" t="s">
        <v>348</v>
      </c>
      <c r="C56" s="1063" t="s">
        <v>884</v>
      </c>
      <c r="D56" s="1"/>
      <c r="E56" s="1063" t="s">
        <v>699</v>
      </c>
      <c r="F56" s="404"/>
      <c r="G56" s="1063" t="s">
        <v>885</v>
      </c>
      <c r="H56" s="404"/>
      <c r="I56" s="1063" t="s">
        <v>886</v>
      </c>
      <c r="J56" s="404"/>
      <c r="K56" s="1071" t="s">
        <v>887</v>
      </c>
      <c r="L56" s="1063"/>
      <c r="M56" s="1063" t="s">
        <v>888</v>
      </c>
      <c r="N56" s="404"/>
      <c r="O56" s="1065" t="s">
        <v>889</v>
      </c>
      <c r="P56" s="404"/>
      <c r="Q56" s="1072" t="s">
        <v>890</v>
      </c>
      <c r="R56" s="47" t="s">
        <v>891</v>
      </c>
      <c r="S56" s="47" t="s">
        <v>892</v>
      </c>
      <c r="T56" s="1073" t="s">
        <v>893</v>
      </c>
      <c r="U56" s="1"/>
      <c r="V56" s="1073" t="s">
        <v>894</v>
      </c>
      <c r="W56" s="1"/>
      <c r="X56" s="1074" t="s">
        <v>895</v>
      </c>
      <c r="Y56" s="47"/>
      <c r="Z56" s="1072" t="s">
        <v>896</v>
      </c>
      <c r="AA56" s="1073" t="s">
        <v>897</v>
      </c>
      <c r="AB56" s="1"/>
      <c r="AC56" s="1073" t="s">
        <v>898</v>
      </c>
      <c r="AD56" s="1"/>
      <c r="AE56" s="1074" t="s">
        <v>899</v>
      </c>
      <c r="AF56" s="1"/>
      <c r="AG56" s="1075" t="s">
        <v>900</v>
      </c>
      <c r="AH56" s="1052"/>
    </row>
    <row r="57" spans="1:34" ht="15.75" customHeight="1">
      <c r="A57" s="1"/>
      <c r="B57" s="1053" t="s">
        <v>901</v>
      </c>
      <c r="C57" s="254">
        <f>E5</f>
        <v>1764000</v>
      </c>
      <c r="D57" s="1"/>
      <c r="E57" s="1076">
        <f>G5</f>
        <v>210</v>
      </c>
      <c r="F57" s="1077" t="s">
        <v>77</v>
      </c>
      <c r="G57" s="1078">
        <v>41.53</v>
      </c>
      <c r="H57" s="1077" t="s">
        <v>77</v>
      </c>
      <c r="I57" s="1079">
        <v>1</v>
      </c>
      <c r="J57" s="1077" t="s">
        <v>78</v>
      </c>
      <c r="K57" s="1080">
        <f t="shared" ref="K57:K73" si="7">E57*1000*G57*I57/2000</f>
        <v>4360.6499999999996</v>
      </c>
      <c r="L57" s="1077" t="s">
        <v>78</v>
      </c>
      <c r="M57" s="1081">
        <f t="shared" ref="M57:M73" si="8">K57*0.90718474/1000000</f>
        <v>3.9559151364810001E-3</v>
      </c>
      <c r="N57" s="1077" t="s">
        <v>78</v>
      </c>
      <c r="O57" s="1082">
        <f t="shared" ref="O57:O73" si="9">M57*44/12</f>
        <v>1.4505022167097001E-2</v>
      </c>
      <c r="P57" s="404"/>
      <c r="Q57" s="1083">
        <v>22.257999999999999</v>
      </c>
      <c r="R57" s="1"/>
      <c r="S57" s="1084">
        <v>0.04</v>
      </c>
      <c r="T57" s="1085">
        <f>E57*1000*Q57*S57/1000000000</f>
        <v>1.869672E-4</v>
      </c>
      <c r="U57" s="1077" t="s">
        <v>78</v>
      </c>
      <c r="V57" s="1086">
        <f t="shared" ref="V57:V63" si="10">T57*$P$10*12/44*1000</f>
        <v>13.512629454545454</v>
      </c>
      <c r="W57" s="1077" t="s">
        <v>78</v>
      </c>
      <c r="X57" s="1087">
        <f t="shared" ref="X57:X63" si="11">V57*44/12</f>
        <v>49.546308000000003</v>
      </c>
      <c r="Y57" s="1088"/>
      <c r="Z57" s="1089">
        <v>2.64</v>
      </c>
      <c r="AA57" s="1090">
        <f>E57*1000*Q57*Z57/1000000000</f>
        <v>1.2339835200000001E-2</v>
      </c>
      <c r="AB57" s="1077" t="s">
        <v>78</v>
      </c>
      <c r="AC57" s="1088">
        <f t="shared" ref="AC57:AC63" si="12">AA57*$P$9*12/44*1000</f>
        <v>94.231468800000016</v>
      </c>
      <c r="AD57" s="1077" t="s">
        <v>78</v>
      </c>
      <c r="AE57" s="1091">
        <f t="shared" ref="AE57:AE63" si="13">AC57*44/12</f>
        <v>345.5153856</v>
      </c>
      <c r="AF57" s="1" t="s">
        <v>77</v>
      </c>
      <c r="AG57" s="1092">
        <f t="shared" ref="AG57:AG63" si="14">X57+AE57</f>
        <v>395.06169360000001</v>
      </c>
      <c r="AH57" s="1052"/>
    </row>
    <row r="58" spans="1:34" ht="15.75" customHeight="1">
      <c r="A58" s="1"/>
      <c r="B58" s="1053" t="s">
        <v>902</v>
      </c>
      <c r="C58" s="1093">
        <f t="shared" ref="C58:C62" si="15">I32</f>
        <v>11621000</v>
      </c>
      <c r="D58" s="1"/>
      <c r="E58" s="1076">
        <f t="shared" ref="E58:E62" si="16">C58*$C$48/1000000000</f>
        <v>1611.71649</v>
      </c>
      <c r="F58" s="1077" t="s">
        <v>77</v>
      </c>
      <c r="G58" s="1078">
        <v>44.43</v>
      </c>
      <c r="H58" s="1077" t="s">
        <v>77</v>
      </c>
      <c r="I58" s="1079">
        <v>1</v>
      </c>
      <c r="J58" s="1077" t="s">
        <v>78</v>
      </c>
      <c r="K58" s="1080">
        <f t="shared" si="7"/>
        <v>35804.281825350001</v>
      </c>
      <c r="L58" s="1077" t="s">
        <v>78</v>
      </c>
      <c r="M58" s="1081">
        <f t="shared" si="8"/>
        <v>3.2481098098616872E-2</v>
      </c>
      <c r="N58" s="1077" t="s">
        <v>78</v>
      </c>
      <c r="O58" s="1082">
        <f t="shared" si="9"/>
        <v>0.11909735969492853</v>
      </c>
      <c r="P58" s="404"/>
      <c r="Q58" s="1068"/>
      <c r="R58" s="1094">
        <v>3.1920000000000002</v>
      </c>
      <c r="S58" s="1095">
        <v>0.08</v>
      </c>
      <c r="T58" s="1085">
        <f t="shared" ref="T58:T62" si="17">C58*R58*S58/1000000000</f>
        <v>2.96753856E-3</v>
      </c>
      <c r="U58" s="1077" t="s">
        <v>78</v>
      </c>
      <c r="V58" s="1086">
        <f t="shared" si="10"/>
        <v>214.47210501818182</v>
      </c>
      <c r="W58" s="1077" t="s">
        <v>78</v>
      </c>
      <c r="X58" s="1087">
        <f t="shared" si="11"/>
        <v>786.39771840000003</v>
      </c>
      <c r="Y58" s="1"/>
      <c r="Z58" s="1089">
        <v>0.45</v>
      </c>
      <c r="AA58" s="1090">
        <f t="shared" ref="AA58:AA62" si="18">C58*R58*Z58/1000000000</f>
        <v>1.6692404399999999E-2</v>
      </c>
      <c r="AB58" s="1077" t="s">
        <v>78</v>
      </c>
      <c r="AC58" s="1088">
        <f t="shared" si="12"/>
        <v>127.46926996363636</v>
      </c>
      <c r="AD58" s="1077" t="s">
        <v>78</v>
      </c>
      <c r="AE58" s="1091">
        <f t="shared" si="13"/>
        <v>467.38732320000003</v>
      </c>
      <c r="AF58" s="1"/>
      <c r="AG58" s="1092">
        <f t="shared" si="14"/>
        <v>1253.7850416000001</v>
      </c>
      <c r="AH58" s="1052"/>
    </row>
    <row r="59" spans="1:34" ht="15.75" customHeight="1">
      <c r="A59" s="1"/>
      <c r="B59" s="1053" t="s">
        <v>903</v>
      </c>
      <c r="C59" s="1093">
        <f t="shared" si="15"/>
        <v>189703064.09999999</v>
      </c>
      <c r="D59" s="1"/>
      <c r="E59" s="1076">
        <f t="shared" si="16"/>
        <v>26309.917960029001</v>
      </c>
      <c r="F59" s="1077" t="s">
        <v>77</v>
      </c>
      <c r="G59" s="1078">
        <v>44.43</v>
      </c>
      <c r="H59" s="1077" t="s">
        <v>77</v>
      </c>
      <c r="I59" s="1079">
        <v>1</v>
      </c>
      <c r="J59" s="1077" t="s">
        <v>78</v>
      </c>
      <c r="K59" s="1080">
        <f t="shared" si="7"/>
        <v>584474.82748204435</v>
      </c>
      <c r="L59" s="1077" t="s">
        <v>78</v>
      </c>
      <c r="M59" s="1081">
        <f t="shared" si="8"/>
        <v>0.53022664440584322</v>
      </c>
      <c r="N59" s="1077" t="s">
        <v>78</v>
      </c>
      <c r="O59" s="1082">
        <f t="shared" si="9"/>
        <v>1.9441643628214251</v>
      </c>
      <c r="P59" s="404"/>
      <c r="Q59" s="1068"/>
      <c r="R59" s="1094">
        <v>3.1920000000000002</v>
      </c>
      <c r="S59" s="1095">
        <v>0.08</v>
      </c>
      <c r="T59" s="1085">
        <f t="shared" si="17"/>
        <v>4.8442574448576005E-2</v>
      </c>
      <c r="U59" s="1077" t="s">
        <v>78</v>
      </c>
      <c r="V59" s="1086">
        <f t="shared" si="10"/>
        <v>3501.0769715107208</v>
      </c>
      <c r="W59" s="1077" t="s">
        <v>78</v>
      </c>
      <c r="X59" s="1087">
        <f t="shared" si="11"/>
        <v>12837.282228872644</v>
      </c>
      <c r="Y59" s="1"/>
      <c r="Z59" s="1089">
        <v>0.45</v>
      </c>
      <c r="AA59" s="1090">
        <f t="shared" si="18"/>
        <v>0.27248948127324002</v>
      </c>
      <c r="AB59" s="1077" t="s">
        <v>78</v>
      </c>
      <c r="AC59" s="1088">
        <f t="shared" si="12"/>
        <v>2080.8287660865599</v>
      </c>
      <c r="AD59" s="1077" t="s">
        <v>78</v>
      </c>
      <c r="AE59" s="1091">
        <f t="shared" si="13"/>
        <v>7629.7054756507196</v>
      </c>
      <c r="AF59" s="1"/>
      <c r="AG59" s="1092">
        <f t="shared" si="14"/>
        <v>20466.987704523362</v>
      </c>
      <c r="AH59" s="1052"/>
    </row>
    <row r="60" spans="1:34" ht="15.75" customHeight="1">
      <c r="A60" s="1"/>
      <c r="B60" s="1053" t="s">
        <v>904</v>
      </c>
      <c r="C60" s="1093">
        <f t="shared" si="15"/>
        <v>6818999</v>
      </c>
      <c r="D60" s="1"/>
      <c r="E60" s="1076">
        <f t="shared" si="16"/>
        <v>945.72697130999995</v>
      </c>
      <c r="F60" s="1077" t="s">
        <v>77</v>
      </c>
      <c r="G60" s="1078">
        <v>44.43</v>
      </c>
      <c r="H60" s="1077" t="s">
        <v>77</v>
      </c>
      <c r="I60" s="1079">
        <v>1</v>
      </c>
      <c r="J60" s="1077" t="s">
        <v>78</v>
      </c>
      <c r="K60" s="1080">
        <f t="shared" si="7"/>
        <v>21009.32466765165</v>
      </c>
      <c r="L60" s="1077" t="s">
        <v>78</v>
      </c>
      <c r="M60" s="1081">
        <f t="shared" si="8"/>
        <v>1.9059338736199149E-2</v>
      </c>
      <c r="N60" s="1077" t="s">
        <v>78</v>
      </c>
      <c r="O60" s="1082">
        <f t="shared" si="9"/>
        <v>6.9884242032730207E-2</v>
      </c>
      <c r="P60" s="404"/>
      <c r="Q60" s="1068"/>
      <c r="R60" s="1094">
        <v>3.1920000000000002</v>
      </c>
      <c r="S60" s="1095">
        <v>0.08</v>
      </c>
      <c r="T60" s="1085">
        <f t="shared" si="17"/>
        <v>1.7412995846400002E-3</v>
      </c>
      <c r="U60" s="1077" t="s">
        <v>78</v>
      </c>
      <c r="V60" s="1086">
        <f t="shared" si="10"/>
        <v>125.84846998080002</v>
      </c>
      <c r="W60" s="1077" t="s">
        <v>78</v>
      </c>
      <c r="X60" s="1087">
        <f t="shared" si="11"/>
        <v>461.44438992960005</v>
      </c>
      <c r="Y60" s="1"/>
      <c r="Z60" s="1089">
        <v>0.18</v>
      </c>
      <c r="AA60" s="1090">
        <f t="shared" si="18"/>
        <v>3.9179240654400004E-3</v>
      </c>
      <c r="AB60" s="1077" t="s">
        <v>78</v>
      </c>
      <c r="AC60" s="1088">
        <f t="shared" si="12"/>
        <v>29.918692863360004</v>
      </c>
      <c r="AD60" s="1077" t="s">
        <v>78</v>
      </c>
      <c r="AE60" s="1091">
        <f t="shared" si="13"/>
        <v>109.70187383232002</v>
      </c>
      <c r="AF60" s="1"/>
      <c r="AG60" s="1092">
        <f t="shared" si="14"/>
        <v>571.14626376192007</v>
      </c>
      <c r="AH60" s="1052"/>
    </row>
    <row r="61" spans="1:34" ht="15.75" customHeight="1">
      <c r="A61" s="1"/>
      <c r="B61" s="1053" t="s">
        <v>905</v>
      </c>
      <c r="C61" s="1093">
        <f t="shared" si="15"/>
        <v>18081260</v>
      </c>
      <c r="D61" s="1"/>
      <c r="E61" s="1076">
        <f t="shared" si="16"/>
        <v>2507.6899493999999</v>
      </c>
      <c r="F61" s="1077" t="s">
        <v>77</v>
      </c>
      <c r="G61" s="1078">
        <v>44.43</v>
      </c>
      <c r="H61" s="1077" t="s">
        <v>77</v>
      </c>
      <c r="I61" s="1079">
        <v>1</v>
      </c>
      <c r="J61" s="1077" t="s">
        <v>78</v>
      </c>
      <c r="K61" s="1080">
        <f t="shared" si="7"/>
        <v>55708.332225920996</v>
      </c>
      <c r="L61" s="1077" t="s">
        <v>78</v>
      </c>
      <c r="M61" s="1081">
        <f t="shared" si="8"/>
        <v>5.0537748886205762E-2</v>
      </c>
      <c r="N61" s="1077" t="s">
        <v>78</v>
      </c>
      <c r="O61" s="1082">
        <f t="shared" si="9"/>
        <v>0.18530507924942111</v>
      </c>
      <c r="P61" s="404"/>
      <c r="Q61" s="1068"/>
      <c r="R61" s="1094">
        <v>3.1920000000000002</v>
      </c>
      <c r="S61" s="1095">
        <v>0.08</v>
      </c>
      <c r="T61" s="1085">
        <f t="shared" si="17"/>
        <v>4.6172305536E-3</v>
      </c>
      <c r="U61" s="1077" t="s">
        <v>78</v>
      </c>
      <c r="V61" s="1086">
        <f t="shared" si="10"/>
        <v>333.69984455563633</v>
      </c>
      <c r="W61" s="1077" t="s">
        <v>78</v>
      </c>
      <c r="X61" s="1087">
        <f t="shared" si="11"/>
        <v>1223.5660967039998</v>
      </c>
      <c r="Y61" s="1"/>
      <c r="Z61" s="1089">
        <v>0.25</v>
      </c>
      <c r="AA61" s="1090">
        <f t="shared" si="18"/>
        <v>1.4428845480000001E-2</v>
      </c>
      <c r="AB61" s="1077" t="s">
        <v>78</v>
      </c>
      <c r="AC61" s="1088">
        <f t="shared" si="12"/>
        <v>110.18391093818182</v>
      </c>
      <c r="AD61" s="1077" t="s">
        <v>78</v>
      </c>
      <c r="AE61" s="1091">
        <f t="shared" si="13"/>
        <v>404.00767344000002</v>
      </c>
      <c r="AF61" s="1"/>
      <c r="AG61" s="1092">
        <f t="shared" si="14"/>
        <v>1627.5737701439998</v>
      </c>
      <c r="AH61" s="1052"/>
    </row>
    <row r="62" spans="1:34" ht="15.75" customHeight="1">
      <c r="A62" s="1"/>
      <c r="B62" s="1053" t="s">
        <v>906</v>
      </c>
      <c r="C62" s="1093">
        <f t="shared" si="15"/>
        <v>4394766</v>
      </c>
      <c r="D62" s="1"/>
      <c r="E62" s="1076">
        <f t="shared" si="16"/>
        <v>609.51009653999995</v>
      </c>
      <c r="F62" s="1077" t="s">
        <v>77</v>
      </c>
      <c r="G62" s="1078">
        <v>44.43</v>
      </c>
      <c r="H62" s="1077" t="s">
        <v>77</v>
      </c>
      <c r="I62" s="1079">
        <v>1</v>
      </c>
      <c r="J62" s="1077" t="s">
        <v>78</v>
      </c>
      <c r="K62" s="1080">
        <f t="shared" si="7"/>
        <v>13540.266794636098</v>
      </c>
      <c r="L62" s="1077" t="s">
        <v>78</v>
      </c>
      <c r="M62" s="1081">
        <f t="shared" si="8"/>
        <v>1.2283523411622583E-2</v>
      </c>
      <c r="N62" s="1077" t="s">
        <v>78</v>
      </c>
      <c r="O62" s="1082">
        <f t="shared" si="9"/>
        <v>4.5039585842616137E-2</v>
      </c>
      <c r="P62" s="404"/>
      <c r="Q62" s="1068"/>
      <c r="R62" s="1094">
        <v>3.1920000000000002</v>
      </c>
      <c r="S62" s="1095">
        <v>0.08</v>
      </c>
      <c r="T62" s="1085">
        <f t="shared" si="17"/>
        <v>1.1222474457600001E-3</v>
      </c>
      <c r="U62" s="1077" t="s">
        <v>78</v>
      </c>
      <c r="V62" s="1086">
        <f t="shared" si="10"/>
        <v>81.107883579927275</v>
      </c>
      <c r="W62" s="1077" t="s">
        <v>78</v>
      </c>
      <c r="X62" s="1087">
        <f t="shared" si="11"/>
        <v>297.3955731264</v>
      </c>
      <c r="Y62" s="1"/>
      <c r="Z62" s="1089">
        <v>0.23</v>
      </c>
      <c r="AA62" s="1090">
        <f t="shared" si="18"/>
        <v>3.2264614065600004E-3</v>
      </c>
      <c r="AB62" s="1077" t="s">
        <v>78</v>
      </c>
      <c r="AC62" s="1088">
        <f t="shared" si="12"/>
        <v>24.63843255918546</v>
      </c>
      <c r="AD62" s="1077" t="s">
        <v>78</v>
      </c>
      <c r="AE62" s="1091">
        <f t="shared" si="13"/>
        <v>90.340919383680031</v>
      </c>
      <c r="AF62" s="1"/>
      <c r="AG62" s="1092">
        <f t="shared" si="14"/>
        <v>387.73649251008004</v>
      </c>
      <c r="AH62" s="1052"/>
    </row>
    <row r="63" spans="1:34" ht="15.75" customHeight="1">
      <c r="A63" s="1"/>
      <c r="B63" s="1053" t="s">
        <v>907</v>
      </c>
      <c r="C63" s="254">
        <f>C8</f>
        <v>5903</v>
      </c>
      <c r="D63" s="1"/>
      <c r="E63" s="1076">
        <f>G8</f>
        <v>33468</v>
      </c>
      <c r="F63" s="1077" t="s">
        <v>77</v>
      </c>
      <c r="G63" s="793">
        <v>43.431818181818173</v>
      </c>
      <c r="H63" s="1077" t="s">
        <v>77</v>
      </c>
      <c r="I63" s="1079">
        <v>1</v>
      </c>
      <c r="J63" s="1077" t="s">
        <v>78</v>
      </c>
      <c r="K63" s="1080">
        <f t="shared" si="7"/>
        <v>726788.0454545453</v>
      </c>
      <c r="L63" s="1077" t="s">
        <v>78</v>
      </c>
      <c r="M63" s="1081">
        <f t="shared" si="8"/>
        <v>0.65933102405078992</v>
      </c>
      <c r="N63" s="1077" t="s">
        <v>78</v>
      </c>
      <c r="O63" s="1082">
        <f t="shared" si="9"/>
        <v>2.4175470881862298</v>
      </c>
      <c r="P63" s="404"/>
      <c r="Q63" s="1083">
        <v>22.24</v>
      </c>
      <c r="R63" s="1"/>
      <c r="S63" s="1084">
        <v>0.1</v>
      </c>
      <c r="T63" s="1085">
        <f>E63*1000*Q63*S63/1000000000</f>
        <v>7.4432832000000004E-2</v>
      </c>
      <c r="U63" s="1077" t="s">
        <v>78</v>
      </c>
      <c r="V63" s="1086">
        <f t="shared" si="10"/>
        <v>5379.4637672727285</v>
      </c>
      <c r="W63" s="1077" t="s">
        <v>78</v>
      </c>
      <c r="X63" s="1087">
        <f t="shared" si="11"/>
        <v>19724.700480000003</v>
      </c>
      <c r="Y63" s="1"/>
      <c r="Z63" s="1089">
        <v>8.7000000000000008E-2</v>
      </c>
      <c r="AA63" s="1090">
        <f>E63*1000*Q63*Z63/1000000000</f>
        <v>6.4756563840000003E-2</v>
      </c>
      <c r="AB63" s="1077" t="s">
        <v>78</v>
      </c>
      <c r="AC63" s="1088">
        <f t="shared" si="12"/>
        <v>494.50466932363639</v>
      </c>
      <c r="AD63" s="1077" t="s">
        <v>78</v>
      </c>
      <c r="AE63" s="1091">
        <f t="shared" si="13"/>
        <v>1813.1837875200001</v>
      </c>
      <c r="AF63" s="1" t="s">
        <v>77</v>
      </c>
      <c r="AG63" s="1092">
        <f t="shared" si="14"/>
        <v>21537.884267520003</v>
      </c>
      <c r="AH63" s="1052"/>
    </row>
    <row r="64" spans="1:34" ht="15.75" customHeight="1">
      <c r="A64" s="1"/>
      <c r="B64" s="1053" t="s">
        <v>908</v>
      </c>
      <c r="C64" s="1096">
        <v>0</v>
      </c>
      <c r="D64" s="1"/>
      <c r="E64" s="1076">
        <v>0</v>
      </c>
      <c r="F64" s="1077" t="s">
        <v>77</v>
      </c>
      <c r="G64" s="1078">
        <v>43.39</v>
      </c>
      <c r="H64" s="1077" t="s">
        <v>77</v>
      </c>
      <c r="I64" s="1079">
        <v>1</v>
      </c>
      <c r="J64" s="1077" t="s">
        <v>78</v>
      </c>
      <c r="K64" s="1080">
        <f t="shared" si="7"/>
        <v>0</v>
      </c>
      <c r="L64" s="1077" t="s">
        <v>78</v>
      </c>
      <c r="M64" s="1081">
        <f t="shared" si="8"/>
        <v>0</v>
      </c>
      <c r="N64" s="1077" t="s">
        <v>78</v>
      </c>
      <c r="O64" s="1082">
        <f t="shared" si="9"/>
        <v>0</v>
      </c>
      <c r="P64" s="404"/>
      <c r="Q64" s="1066"/>
      <c r="R64" s="404"/>
      <c r="S64" s="1084">
        <v>0.1</v>
      </c>
      <c r="T64" s="1"/>
      <c r="U64" s="1"/>
      <c r="V64" s="1086"/>
      <c r="W64" s="1"/>
      <c r="X64" s="1087"/>
      <c r="Y64" s="1"/>
      <c r="Z64" s="1089">
        <v>8.6999999999999994E-2</v>
      </c>
      <c r="AA64" s="1090"/>
      <c r="AB64" s="1"/>
      <c r="AC64" s="1"/>
      <c r="AD64" s="1"/>
      <c r="AE64" s="1067"/>
      <c r="AF64" s="1"/>
      <c r="AG64" s="1097"/>
      <c r="AH64" s="1052"/>
    </row>
    <row r="65" spans="1:34" ht="15.75" customHeight="1">
      <c r="A65" s="1"/>
      <c r="B65" s="1053" t="s">
        <v>909</v>
      </c>
      <c r="C65" s="254">
        <f>E9</f>
        <v>3192000</v>
      </c>
      <c r="D65" s="1"/>
      <c r="E65" s="1076">
        <f>G9</f>
        <v>293</v>
      </c>
      <c r="F65" s="1077" t="s">
        <v>77</v>
      </c>
      <c r="G65" s="793">
        <v>37.110283550140529</v>
      </c>
      <c r="H65" s="1077" t="s">
        <v>77</v>
      </c>
      <c r="I65" s="1079">
        <v>1</v>
      </c>
      <c r="J65" s="1077" t="s">
        <v>78</v>
      </c>
      <c r="K65" s="1080">
        <f t="shared" si="7"/>
        <v>5436.6565400955869</v>
      </c>
      <c r="L65" s="1077" t="s">
        <v>78</v>
      </c>
      <c r="M65" s="1081">
        <f t="shared" si="8"/>
        <v>4.9320518497959149E-3</v>
      </c>
      <c r="N65" s="1077" t="s">
        <v>78</v>
      </c>
      <c r="O65" s="1082">
        <f t="shared" si="9"/>
        <v>1.8084190115918355E-2</v>
      </c>
      <c r="P65" s="404"/>
      <c r="Q65" s="1066"/>
      <c r="R65" s="404"/>
      <c r="S65" s="404"/>
      <c r="T65" s="1"/>
      <c r="U65" s="1"/>
      <c r="V65" s="1086"/>
      <c r="W65" s="1"/>
      <c r="X65" s="1087"/>
      <c r="Y65" s="1"/>
      <c r="Z65" s="1068"/>
      <c r="AA65" s="1090"/>
      <c r="AB65" s="1"/>
      <c r="AC65" s="1"/>
      <c r="AD65" s="1"/>
      <c r="AE65" s="1067"/>
      <c r="AF65" s="1"/>
      <c r="AG65" s="1097"/>
      <c r="AH65" s="1052"/>
    </row>
    <row r="66" spans="1:34" ht="15.75" customHeight="1">
      <c r="A66" s="1"/>
      <c r="B66" s="1053" t="s">
        <v>910</v>
      </c>
      <c r="C66" s="1093">
        <f t="shared" ref="C66:C70" si="19">I19</f>
        <v>9437000</v>
      </c>
      <c r="D66" s="1"/>
      <c r="E66" s="1076">
        <f>K26*G11</f>
        <v>32678.127158234041</v>
      </c>
      <c r="F66" s="1077" t="s">
        <v>77</v>
      </c>
      <c r="G66" s="793">
        <v>42.900741155457617</v>
      </c>
      <c r="H66" s="1077" t="s">
        <v>77</v>
      </c>
      <c r="I66" s="1079">
        <v>1</v>
      </c>
      <c r="J66" s="1077" t="s">
        <v>78</v>
      </c>
      <c r="K66" s="1080">
        <f t="shared" si="7"/>
        <v>700957.93733026425</v>
      </c>
      <c r="L66" s="1077" t="s">
        <v>78</v>
      </c>
      <c r="M66" s="1081">
        <f t="shared" si="8"/>
        <v>0.63589834412789203</v>
      </c>
      <c r="N66" s="1077" t="s">
        <v>78</v>
      </c>
      <c r="O66" s="1082">
        <f t="shared" si="9"/>
        <v>2.3316272618022711</v>
      </c>
      <c r="P66" s="404"/>
      <c r="Q66" s="1066"/>
      <c r="R66" s="1095">
        <v>2.8008999999999999</v>
      </c>
      <c r="S66" s="1095">
        <v>0.08</v>
      </c>
      <c r="T66" s="1085">
        <f t="shared" ref="T66:T71" si="20">C66*R66*S66/1000000000</f>
        <v>2.1145674640000002E-3</v>
      </c>
      <c r="U66" s="1077" t="s">
        <v>78</v>
      </c>
      <c r="V66" s="1086">
        <f t="shared" ref="V66:V71" si="21">T66*$P$10*12/44*1000</f>
        <v>152.82555762545456</v>
      </c>
      <c r="W66" s="1077" t="s">
        <v>78</v>
      </c>
      <c r="X66" s="1087">
        <f t="shared" ref="X66:X71" si="22">V66*44/12</f>
        <v>560.36037796000005</v>
      </c>
      <c r="Y66" s="1"/>
      <c r="Z66" s="1089">
        <v>0.45</v>
      </c>
      <c r="AA66" s="1090">
        <f t="shared" ref="AA66:AA71" si="23">C66*R66*Z66/1000000000</f>
        <v>1.1894441985000002E-2</v>
      </c>
      <c r="AB66" s="1077" t="s">
        <v>78</v>
      </c>
      <c r="AC66" s="1088">
        <f t="shared" ref="AC66:AC71" si="24">AA66*$P$9*12/44*1000</f>
        <v>90.830284249090909</v>
      </c>
      <c r="AD66" s="1077" t="s">
        <v>78</v>
      </c>
      <c r="AE66" s="1091">
        <f t="shared" ref="AE66:AE71" si="25">AC66*44/12</f>
        <v>333.04437558000001</v>
      </c>
      <c r="AF66" s="1"/>
      <c r="AG66" s="1092">
        <f t="shared" ref="AG66:AG71" si="26">X66+AE66</f>
        <v>893.40475354</v>
      </c>
      <c r="AH66" s="1052"/>
    </row>
    <row r="67" spans="1:34" ht="15.75" customHeight="1">
      <c r="A67" s="1"/>
      <c r="B67" s="1053" t="s">
        <v>911</v>
      </c>
      <c r="C67" s="1093">
        <f t="shared" si="19"/>
        <v>13677000</v>
      </c>
      <c r="D67" s="1"/>
      <c r="E67" s="1076">
        <f>C67*C47/1000000000</f>
        <v>1699.2031260000001</v>
      </c>
      <c r="F67" s="1077" t="s">
        <v>77</v>
      </c>
      <c r="G67" s="793">
        <v>42.900741155457617</v>
      </c>
      <c r="H67" s="1077" t="s">
        <v>77</v>
      </c>
      <c r="I67" s="1079">
        <v>1</v>
      </c>
      <c r="J67" s="1077" t="s">
        <v>78</v>
      </c>
      <c r="K67" s="1080">
        <f t="shared" si="7"/>
        <v>36448.536739535222</v>
      </c>
      <c r="L67" s="1077" t="s">
        <v>78</v>
      </c>
      <c r="M67" s="1081">
        <f t="shared" si="8"/>
        <v>3.3065556325435709E-2</v>
      </c>
      <c r="N67" s="1077" t="s">
        <v>78</v>
      </c>
      <c r="O67" s="1082">
        <f t="shared" si="9"/>
        <v>0.12124037319326426</v>
      </c>
      <c r="P67" s="404"/>
      <c r="Q67" s="1066"/>
      <c r="R67" s="1095">
        <v>2.8008999999999999</v>
      </c>
      <c r="S67" s="1095">
        <v>0.08</v>
      </c>
      <c r="T67" s="1085">
        <f t="shared" si="20"/>
        <v>3.0646327439999999E-3</v>
      </c>
      <c r="U67" s="1077" t="s">
        <v>78</v>
      </c>
      <c r="V67" s="1086">
        <f t="shared" si="21"/>
        <v>221.48936649818182</v>
      </c>
      <c r="W67" s="1077" t="s">
        <v>78</v>
      </c>
      <c r="X67" s="1087">
        <f t="shared" si="22"/>
        <v>812.12767716000008</v>
      </c>
      <c r="Y67" s="1"/>
      <c r="Z67" s="1089">
        <v>0.45</v>
      </c>
      <c r="AA67" s="1090">
        <f t="shared" si="23"/>
        <v>1.7238559184999998E-2</v>
      </c>
      <c r="AB67" s="1077" t="s">
        <v>78</v>
      </c>
      <c r="AC67" s="1088">
        <f t="shared" si="24"/>
        <v>131.63990650363635</v>
      </c>
      <c r="AD67" s="1077" t="s">
        <v>78</v>
      </c>
      <c r="AE67" s="1091">
        <f t="shared" si="25"/>
        <v>482.67965717999999</v>
      </c>
      <c r="AF67" s="1"/>
      <c r="AG67" s="1092">
        <f t="shared" si="26"/>
        <v>1294.8073343400001</v>
      </c>
      <c r="AH67" s="1052"/>
    </row>
    <row r="68" spans="1:34" ht="15.75" customHeight="1">
      <c r="A68" s="1"/>
      <c r="B68" s="1053" t="s">
        <v>912</v>
      </c>
      <c r="C68" s="1093">
        <f t="shared" si="19"/>
        <v>10338000</v>
      </c>
      <c r="D68" s="1"/>
      <c r="E68" s="1076">
        <f>C68*C47/1000000000</f>
        <v>1284.3724440000001</v>
      </c>
      <c r="F68" s="1077" t="s">
        <v>77</v>
      </c>
      <c r="G68" s="793">
        <v>42.900741155457617</v>
      </c>
      <c r="H68" s="1077" t="s">
        <v>77</v>
      </c>
      <c r="I68" s="1079">
        <v>1</v>
      </c>
      <c r="J68" s="1077" t="s">
        <v>78</v>
      </c>
      <c r="K68" s="1080">
        <f t="shared" si="7"/>
        <v>27550.264883623247</v>
      </c>
      <c r="L68" s="1077" t="s">
        <v>78</v>
      </c>
      <c r="M68" s="1081">
        <f t="shared" si="8"/>
        <v>2.4993179885380887E-2</v>
      </c>
      <c r="N68" s="1077" t="s">
        <v>78</v>
      </c>
      <c r="O68" s="1082">
        <f t="shared" si="9"/>
        <v>9.1641659579729917E-2</v>
      </c>
      <c r="P68" s="404"/>
      <c r="Q68" s="1066"/>
      <c r="R68" s="1094">
        <v>2.8008999999999999</v>
      </c>
      <c r="S68" s="1095">
        <v>0.08</v>
      </c>
      <c r="T68" s="1085">
        <f t="shared" si="20"/>
        <v>2.3164563360000001E-3</v>
      </c>
      <c r="U68" s="1077" t="s">
        <v>78</v>
      </c>
      <c r="V68" s="1086">
        <f t="shared" si="21"/>
        <v>167.41661701090911</v>
      </c>
      <c r="W68" s="1077" t="s">
        <v>78</v>
      </c>
      <c r="X68" s="1087">
        <f t="shared" si="22"/>
        <v>613.86092904000009</v>
      </c>
      <c r="Y68" s="1"/>
      <c r="Z68" s="1089">
        <v>0.18</v>
      </c>
      <c r="AA68" s="1090">
        <f t="shared" si="23"/>
        <v>5.2120267560000003E-3</v>
      </c>
      <c r="AB68" s="1077" t="s">
        <v>78</v>
      </c>
      <c r="AC68" s="1088">
        <f t="shared" si="24"/>
        <v>39.800931591272729</v>
      </c>
      <c r="AD68" s="1077" t="s">
        <v>78</v>
      </c>
      <c r="AE68" s="1091">
        <f t="shared" si="25"/>
        <v>145.93674916800001</v>
      </c>
      <c r="AF68" s="1"/>
      <c r="AG68" s="1092">
        <f t="shared" si="26"/>
        <v>759.79767820800009</v>
      </c>
      <c r="AH68" s="1052"/>
    </row>
    <row r="69" spans="1:34" ht="15.75" customHeight="1">
      <c r="A69" s="1"/>
      <c r="B69" s="1053" t="s">
        <v>913</v>
      </c>
      <c r="C69" s="1093">
        <f t="shared" si="19"/>
        <v>21138593</v>
      </c>
      <c r="D69" s="1"/>
      <c r="E69" s="1076">
        <f>C69*C47/1000000000</f>
        <v>2626.2165171339998</v>
      </c>
      <c r="F69" s="1077" t="s">
        <v>77</v>
      </c>
      <c r="G69" s="793">
        <v>42.900741155457617</v>
      </c>
      <c r="H69" s="1077" t="s">
        <v>77</v>
      </c>
      <c r="I69" s="1079">
        <v>1</v>
      </c>
      <c r="J69" s="1077" t="s">
        <v>78</v>
      </c>
      <c r="K69" s="1080">
        <f t="shared" si="7"/>
        <v>56333.317509876571</v>
      </c>
      <c r="L69" s="1077" t="s">
        <v>78</v>
      </c>
      <c r="M69" s="1081">
        <f t="shared" si="8"/>
        <v>5.1104725998534828E-2</v>
      </c>
      <c r="N69" s="1077" t="s">
        <v>78</v>
      </c>
      <c r="O69" s="1082">
        <f t="shared" si="9"/>
        <v>0.18738399532796102</v>
      </c>
      <c r="P69" s="404"/>
      <c r="Q69" s="1066"/>
      <c r="R69" s="1094">
        <v>2.8008999999999999</v>
      </c>
      <c r="S69" s="1095">
        <v>0.08</v>
      </c>
      <c r="T69" s="1085">
        <f t="shared" si="20"/>
        <v>4.7365668106960001E-3</v>
      </c>
      <c r="U69" s="1077" t="s">
        <v>78</v>
      </c>
      <c r="V69" s="1086">
        <f t="shared" si="21"/>
        <v>342.3246013184837</v>
      </c>
      <c r="W69" s="1077" t="s">
        <v>78</v>
      </c>
      <c r="X69" s="1087">
        <f t="shared" si="22"/>
        <v>1255.1902048344402</v>
      </c>
      <c r="Y69" s="1"/>
      <c r="Z69" s="1089">
        <v>0.18</v>
      </c>
      <c r="AA69" s="1090">
        <f t="shared" si="23"/>
        <v>1.0657275324066001E-2</v>
      </c>
      <c r="AB69" s="1077" t="s">
        <v>78</v>
      </c>
      <c r="AC69" s="1088">
        <f t="shared" si="24"/>
        <v>81.382829747413084</v>
      </c>
      <c r="AD69" s="1077" t="s">
        <v>78</v>
      </c>
      <c r="AE69" s="1091">
        <f t="shared" si="25"/>
        <v>298.40370907384801</v>
      </c>
      <c r="AF69" s="1"/>
      <c r="AG69" s="1092">
        <f t="shared" si="26"/>
        <v>1553.5939139082882</v>
      </c>
      <c r="AH69" s="1052"/>
    </row>
    <row r="70" spans="1:34" ht="15.75" customHeight="1">
      <c r="A70" s="1"/>
      <c r="B70" s="1098" t="s">
        <v>914</v>
      </c>
      <c r="C70" s="1093">
        <f t="shared" si="19"/>
        <v>20910000</v>
      </c>
      <c r="D70" s="1"/>
      <c r="E70" s="1076">
        <f>C70*C47/1000000000</f>
        <v>2597.8165800000002</v>
      </c>
      <c r="F70" s="1077" t="s">
        <v>77</v>
      </c>
      <c r="G70" s="793">
        <v>42.900741155457617</v>
      </c>
      <c r="H70" s="1077" t="s">
        <v>77</v>
      </c>
      <c r="I70" s="1079">
        <v>1</v>
      </c>
      <c r="J70" s="1077" t="s">
        <v>78</v>
      </c>
      <c r="K70" s="1080">
        <f t="shared" si="7"/>
        <v>55724.128333968081</v>
      </c>
      <c r="L70" s="1077" t="s">
        <v>78</v>
      </c>
      <c r="M70" s="1081">
        <f t="shared" si="8"/>
        <v>5.0552078874377467E-2</v>
      </c>
      <c r="N70" s="1077" t="s">
        <v>78</v>
      </c>
      <c r="O70" s="1082">
        <f t="shared" si="9"/>
        <v>0.18535762253938404</v>
      </c>
      <c r="P70" s="404"/>
      <c r="Q70" s="1066"/>
      <c r="R70" s="1099">
        <v>2.8008999999999999</v>
      </c>
      <c r="S70" s="1100">
        <v>0.08</v>
      </c>
      <c r="T70" s="1085">
        <f t="shared" si="20"/>
        <v>4.6853455200000001E-3</v>
      </c>
      <c r="U70" s="1077" t="s">
        <v>78</v>
      </c>
      <c r="V70" s="1086">
        <f t="shared" si="21"/>
        <v>338.62269894545454</v>
      </c>
      <c r="W70" s="1077" t="s">
        <v>78</v>
      </c>
      <c r="X70" s="1087">
        <f t="shared" si="22"/>
        <v>1241.6165628000001</v>
      </c>
      <c r="Y70" s="1"/>
      <c r="Z70" s="1101">
        <v>0.23</v>
      </c>
      <c r="AA70" s="1090">
        <f t="shared" si="23"/>
        <v>1.3470368370000001E-2</v>
      </c>
      <c r="AB70" s="1077" t="s">
        <v>78</v>
      </c>
      <c r="AC70" s="1088">
        <f t="shared" si="24"/>
        <v>102.86463118909091</v>
      </c>
      <c r="AD70" s="1077" t="s">
        <v>78</v>
      </c>
      <c r="AE70" s="1091">
        <f t="shared" si="25"/>
        <v>377.17031436000002</v>
      </c>
      <c r="AF70" s="1"/>
      <c r="AG70" s="1092">
        <f t="shared" si="26"/>
        <v>1618.7868771600001</v>
      </c>
      <c r="AH70" s="1052"/>
    </row>
    <row r="71" spans="1:34" ht="15.75" customHeight="1">
      <c r="A71" s="1"/>
      <c r="B71" s="1053" t="s">
        <v>704</v>
      </c>
      <c r="C71" s="254">
        <f>E14</f>
        <v>10710000</v>
      </c>
      <c r="D71" s="1"/>
      <c r="E71" s="1076">
        <f>G14</f>
        <v>1603</v>
      </c>
      <c r="F71" s="1077" t="s">
        <v>77</v>
      </c>
      <c r="G71" s="1078">
        <v>45.11</v>
      </c>
      <c r="H71" s="1077" t="s">
        <v>77</v>
      </c>
      <c r="I71" s="1079">
        <v>1</v>
      </c>
      <c r="J71" s="1077" t="s">
        <v>78</v>
      </c>
      <c r="K71" s="1080">
        <f t="shared" si="7"/>
        <v>36155.665000000001</v>
      </c>
      <c r="L71" s="1077" t="s">
        <v>78</v>
      </c>
      <c r="M71" s="1081">
        <f t="shared" si="8"/>
        <v>3.2799867552552105E-2</v>
      </c>
      <c r="N71" s="1077" t="s">
        <v>78</v>
      </c>
      <c r="O71" s="1082">
        <f t="shared" si="9"/>
        <v>0.12026618102602438</v>
      </c>
      <c r="P71" s="404"/>
      <c r="Q71" s="1066"/>
      <c r="R71" s="1094">
        <v>3.5750000000000002</v>
      </c>
      <c r="S71" s="1095">
        <v>0.08</v>
      </c>
      <c r="T71" s="1085">
        <f t="shared" si="20"/>
        <v>3.0630599999999998E-3</v>
      </c>
      <c r="U71" s="1077" t="s">
        <v>78</v>
      </c>
      <c r="V71" s="1086">
        <f t="shared" si="21"/>
        <v>221.37569999999997</v>
      </c>
      <c r="W71" s="1077" t="s">
        <v>78</v>
      </c>
      <c r="X71" s="1087">
        <f t="shared" si="22"/>
        <v>811.71089999999992</v>
      </c>
      <c r="Y71" s="1"/>
      <c r="Z71" s="1089">
        <v>0.23</v>
      </c>
      <c r="AA71" s="1090">
        <f t="shared" si="23"/>
        <v>8.8062975000000009E-3</v>
      </c>
      <c r="AB71" s="1077" t="s">
        <v>78</v>
      </c>
      <c r="AC71" s="1088">
        <f t="shared" si="24"/>
        <v>67.248089999999991</v>
      </c>
      <c r="AD71" s="1077" t="s">
        <v>78</v>
      </c>
      <c r="AE71" s="1091">
        <f t="shared" si="25"/>
        <v>246.57632999999996</v>
      </c>
      <c r="AF71" s="1"/>
      <c r="AG71" s="1092">
        <f t="shared" si="26"/>
        <v>1058.2872299999999</v>
      </c>
      <c r="AH71" s="1052"/>
    </row>
    <row r="72" spans="1:34" ht="15.75" customHeight="1">
      <c r="A72" s="1"/>
      <c r="B72" s="1053" t="s">
        <v>295</v>
      </c>
      <c r="C72" s="254">
        <f>E13</f>
        <v>261870000</v>
      </c>
      <c r="D72" s="1"/>
      <c r="E72" s="1076">
        <f>G13</f>
        <v>6408</v>
      </c>
      <c r="F72" s="1077" t="s">
        <v>77</v>
      </c>
      <c r="G72" s="1078">
        <v>31.87</v>
      </c>
      <c r="H72" s="1077" t="s">
        <v>77</v>
      </c>
      <c r="I72" s="1079">
        <v>1</v>
      </c>
      <c r="J72" s="1077" t="s">
        <v>78</v>
      </c>
      <c r="K72" s="1080">
        <f t="shared" si="7"/>
        <v>102111.48</v>
      </c>
      <c r="L72" s="1077" t="s">
        <v>78</v>
      </c>
      <c r="M72" s="1081">
        <f t="shared" si="8"/>
        <v>9.2633976434815191E-2</v>
      </c>
      <c r="N72" s="1077" t="s">
        <v>78</v>
      </c>
      <c r="O72" s="1082">
        <f t="shared" si="9"/>
        <v>0.33965791359432235</v>
      </c>
      <c r="P72" s="404"/>
      <c r="Q72" s="1066"/>
      <c r="R72" s="404"/>
      <c r="S72" s="404"/>
      <c r="T72" s="1"/>
      <c r="U72" s="1"/>
      <c r="V72" s="1"/>
      <c r="W72" s="1"/>
      <c r="X72" s="1067"/>
      <c r="Y72" s="1"/>
      <c r="Z72" s="1068"/>
      <c r="AA72" s="1"/>
      <c r="AB72" s="1"/>
      <c r="AC72" s="1"/>
      <c r="AD72" s="1"/>
      <c r="AE72" s="1067"/>
      <c r="AF72" s="1"/>
      <c r="AG72" s="1097"/>
      <c r="AH72" s="1052"/>
    </row>
    <row r="73" spans="1:34" ht="15.75" customHeight="1">
      <c r="A73" s="1"/>
      <c r="B73" s="1053" t="s">
        <v>785</v>
      </c>
      <c r="C73" s="1"/>
      <c r="D73" s="1"/>
      <c r="E73" s="1076"/>
      <c r="F73" s="1077" t="s">
        <v>77</v>
      </c>
      <c r="G73" s="1102"/>
      <c r="H73" s="1077" t="s">
        <v>77</v>
      </c>
      <c r="I73" s="1103"/>
      <c r="J73" s="1077" t="s">
        <v>78</v>
      </c>
      <c r="K73" s="1080">
        <f t="shared" si="7"/>
        <v>0</v>
      </c>
      <c r="L73" s="1077" t="s">
        <v>78</v>
      </c>
      <c r="M73" s="1081">
        <f t="shared" si="8"/>
        <v>0</v>
      </c>
      <c r="N73" s="1077" t="s">
        <v>78</v>
      </c>
      <c r="O73" s="1082">
        <f t="shared" si="9"/>
        <v>0</v>
      </c>
      <c r="P73" s="404"/>
      <c r="Q73" s="1066"/>
      <c r="R73" s="404"/>
      <c r="S73" s="404"/>
      <c r="T73" s="1"/>
      <c r="U73" s="1"/>
      <c r="V73" s="1"/>
      <c r="W73" s="1"/>
      <c r="X73" s="1067"/>
      <c r="Y73" s="1"/>
      <c r="Z73" s="1068"/>
      <c r="AA73" s="1"/>
      <c r="AB73" s="1"/>
      <c r="AC73" s="1"/>
      <c r="AD73" s="1"/>
      <c r="AE73" s="1067"/>
      <c r="AF73" s="1"/>
      <c r="AG73" s="1097"/>
      <c r="AH73" s="1052"/>
    </row>
    <row r="74" spans="1:34" ht="15.75" customHeight="1">
      <c r="A74" s="1"/>
      <c r="B74" s="1053"/>
      <c r="C74" s="1"/>
      <c r="D74" s="1"/>
      <c r="E74" s="1104"/>
      <c r="F74" s="1077"/>
      <c r="G74" s="1051"/>
      <c r="H74" s="1077"/>
      <c r="I74" s="1105"/>
      <c r="J74" s="1077"/>
      <c r="K74" s="1106"/>
      <c r="L74" s="1077"/>
      <c r="M74" s="1086"/>
      <c r="N74" s="1077"/>
      <c r="O74" s="1107">
        <f>SUM(O57:O73)</f>
        <v>8.1908019371733243</v>
      </c>
      <c r="P74" s="404"/>
      <c r="Q74" s="1066"/>
      <c r="R74" s="404"/>
      <c r="S74" s="404"/>
      <c r="T74" s="1"/>
      <c r="U74" s="1"/>
      <c r="V74" s="1"/>
      <c r="W74" s="1"/>
      <c r="X74" s="1067"/>
      <c r="Y74" s="1"/>
      <c r="Z74" s="1068"/>
      <c r="AA74" s="1"/>
      <c r="AB74" s="1"/>
      <c r="AC74" s="1"/>
      <c r="AD74" s="1"/>
      <c r="AE74" s="1067"/>
      <c r="AF74" s="1"/>
      <c r="AG74" s="1097"/>
      <c r="AH74" s="1052"/>
    </row>
    <row r="75" spans="1:34" ht="15.75" customHeight="1">
      <c r="A75" s="1"/>
      <c r="B75" s="1053"/>
      <c r="C75" s="1093">
        <f>C66+C67+C68+C69+C70</f>
        <v>75500593</v>
      </c>
      <c r="D75" s="1"/>
      <c r="E75" s="404"/>
      <c r="F75" s="404"/>
      <c r="G75" s="404"/>
      <c r="H75" s="404"/>
      <c r="I75" s="404"/>
      <c r="J75" s="404"/>
      <c r="K75" s="1108"/>
      <c r="L75" s="1109"/>
      <c r="M75" s="1110"/>
      <c r="N75" s="1111"/>
      <c r="O75" s="1112"/>
      <c r="P75" s="404"/>
      <c r="Q75" s="1108"/>
      <c r="R75" s="1110"/>
      <c r="S75" s="1110"/>
      <c r="T75" s="1113"/>
      <c r="U75" s="1113"/>
      <c r="V75" s="1113"/>
      <c r="W75" s="1113"/>
      <c r="X75" s="1114"/>
      <c r="Y75" s="1"/>
      <c r="Z75" s="1115"/>
      <c r="AA75" s="1113"/>
      <c r="AB75" s="1113"/>
      <c r="AC75" s="1113"/>
      <c r="AD75" s="1113"/>
      <c r="AE75" s="1114"/>
      <c r="AF75" s="1"/>
      <c r="AG75" s="1116"/>
      <c r="AH75" s="1052"/>
    </row>
    <row r="76" spans="1:34" ht="15.75" customHeight="1">
      <c r="A76" s="1"/>
      <c r="B76" s="1117"/>
      <c r="C76" s="663"/>
      <c r="D76" s="663"/>
      <c r="E76" s="663"/>
      <c r="F76" s="663"/>
      <c r="G76" s="663"/>
      <c r="H76" s="663"/>
      <c r="I76" s="663"/>
      <c r="J76" s="663"/>
      <c r="K76" s="663"/>
      <c r="L76" s="663"/>
      <c r="M76" s="663"/>
      <c r="N76" s="663"/>
      <c r="O76" s="663"/>
      <c r="P76" s="663"/>
      <c r="Q76" s="663"/>
      <c r="R76" s="663"/>
      <c r="S76" s="663"/>
      <c r="T76" s="663"/>
      <c r="U76" s="663"/>
      <c r="V76" s="663"/>
      <c r="W76" s="663"/>
      <c r="X76" s="663"/>
      <c r="Y76" s="663"/>
      <c r="Z76" s="663"/>
      <c r="AA76" s="663"/>
      <c r="AB76" s="663"/>
      <c r="AC76" s="663"/>
      <c r="AD76" s="663"/>
      <c r="AE76" s="663"/>
      <c r="AF76" s="663"/>
      <c r="AG76" s="663"/>
      <c r="AH76" s="1118"/>
    </row>
    <row r="77" spans="1:34"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75" customHeight="1">
      <c r="A78" s="1"/>
      <c r="B78" s="1"/>
      <c r="C78" s="1"/>
      <c r="D78" s="1"/>
      <c r="E78" s="1"/>
      <c r="F78" s="1"/>
      <c r="G78" s="1"/>
      <c r="H78" s="1"/>
      <c r="I78" s="22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ht="15.75" customHeight="1">
      <c r="A79" s="1"/>
      <c r="B79" s="1119"/>
      <c r="C79" s="1120"/>
      <c r="D79" s="1120"/>
      <c r="E79" s="1121" t="s">
        <v>915</v>
      </c>
      <c r="F79" s="1120"/>
      <c r="G79" s="1120"/>
      <c r="H79" s="1120"/>
      <c r="I79" s="1121" t="s">
        <v>916</v>
      </c>
      <c r="J79" s="1122"/>
      <c r="K79" s="1120"/>
      <c r="L79" s="1123"/>
      <c r="M79" s="1120"/>
      <c r="N79" s="1122"/>
      <c r="O79" s="1048"/>
      <c r="P79" s="1048"/>
      <c r="Q79" s="1048"/>
      <c r="R79" s="1048"/>
      <c r="S79" s="1048"/>
      <c r="T79" s="1049"/>
      <c r="U79" s="1"/>
      <c r="V79" s="1"/>
      <c r="W79" s="1"/>
      <c r="X79" s="1"/>
      <c r="Y79" s="1"/>
      <c r="Z79" s="1"/>
      <c r="AA79" s="1"/>
      <c r="AB79" s="1"/>
      <c r="AC79" s="1"/>
      <c r="AD79" s="1"/>
      <c r="AE79" s="1"/>
      <c r="AF79" s="1"/>
      <c r="AG79" s="1"/>
      <c r="AH79" s="1"/>
    </row>
    <row r="80" spans="1:34" ht="15.75" customHeight="1">
      <c r="A80" s="1"/>
      <c r="B80" s="1053"/>
      <c r="C80" s="1063" t="s">
        <v>90</v>
      </c>
      <c r="D80" s="404"/>
      <c r="E80" s="1063" t="s">
        <v>90</v>
      </c>
      <c r="F80" s="404"/>
      <c r="G80" s="404"/>
      <c r="H80" s="404"/>
      <c r="I80" s="1063" t="s">
        <v>90</v>
      </c>
      <c r="J80" s="404"/>
      <c r="K80" s="1063" t="s">
        <v>881</v>
      </c>
      <c r="L80" s="404"/>
      <c r="M80" s="1063" t="s">
        <v>882</v>
      </c>
      <c r="N80" s="404"/>
      <c r="O80" s="46" t="s">
        <v>118</v>
      </c>
      <c r="P80" s="404"/>
      <c r="Q80" s="46" t="s">
        <v>118</v>
      </c>
      <c r="R80" s="404"/>
      <c r="S80" s="46" t="s">
        <v>118</v>
      </c>
      <c r="T80" s="1052"/>
      <c r="U80" s="1"/>
      <c r="V80" s="1"/>
      <c r="W80" s="1"/>
      <c r="X80" s="1"/>
      <c r="Y80" s="1"/>
      <c r="Z80" s="1"/>
      <c r="AA80" s="1"/>
      <c r="AB80" s="1"/>
      <c r="AC80" s="1"/>
      <c r="AD80" s="1"/>
      <c r="AE80" s="1"/>
      <c r="AF80" s="1"/>
      <c r="AG80" s="1"/>
      <c r="AH80" s="1"/>
    </row>
    <row r="81" spans="1:34" ht="15.75" customHeight="1">
      <c r="A81" s="1"/>
      <c r="B81" s="1053"/>
      <c r="C81" s="1063" t="s">
        <v>699</v>
      </c>
      <c r="D81" s="404"/>
      <c r="E81" s="1063" t="s">
        <v>699</v>
      </c>
      <c r="F81" s="404"/>
      <c r="G81" s="1063" t="s">
        <v>917</v>
      </c>
      <c r="H81" s="404"/>
      <c r="I81" s="1063" t="s">
        <v>699</v>
      </c>
      <c r="J81" s="404"/>
      <c r="K81" s="1063" t="s">
        <v>885</v>
      </c>
      <c r="L81" s="404"/>
      <c r="M81" s="1063" t="s">
        <v>886</v>
      </c>
      <c r="N81" s="404"/>
      <c r="O81" s="1063" t="s">
        <v>887</v>
      </c>
      <c r="P81" s="1063"/>
      <c r="Q81" s="1063" t="s">
        <v>888</v>
      </c>
      <c r="R81" s="404"/>
      <c r="S81" s="46" t="s">
        <v>918</v>
      </c>
      <c r="T81" s="1052"/>
      <c r="U81" s="1"/>
      <c r="V81" s="1"/>
      <c r="W81" s="1"/>
      <c r="X81" s="1"/>
      <c r="Y81" s="1"/>
      <c r="Z81" s="1"/>
      <c r="AA81" s="1"/>
      <c r="AB81" s="1"/>
      <c r="AC81" s="1"/>
      <c r="AD81" s="1"/>
      <c r="AE81" s="1"/>
      <c r="AF81" s="1"/>
      <c r="AG81" s="1"/>
      <c r="AH81" s="1"/>
    </row>
    <row r="82" spans="1:34" ht="15.75" customHeight="1">
      <c r="A82" s="1"/>
      <c r="B82" s="1070" t="s">
        <v>919</v>
      </c>
      <c r="C82" s="1076">
        <f>G10</f>
        <v>1466</v>
      </c>
      <c r="D82" s="1077" t="s">
        <v>101</v>
      </c>
      <c r="E82" s="1076">
        <v>1466</v>
      </c>
      <c r="F82" s="1077" t="s">
        <v>77</v>
      </c>
      <c r="G82" s="1124">
        <v>9.2393732597307904E-2</v>
      </c>
      <c r="H82" s="1077" t="s">
        <v>102</v>
      </c>
      <c r="I82" s="809">
        <f>C82-(E82*G82)</f>
        <v>1330.5507880123466</v>
      </c>
      <c r="J82" s="1077" t="s">
        <v>77</v>
      </c>
      <c r="K82" s="1078">
        <v>43.97</v>
      </c>
      <c r="L82" s="1077" t="s">
        <v>77</v>
      </c>
      <c r="M82" s="1079">
        <v>1</v>
      </c>
      <c r="N82" s="1077" t="s">
        <v>78</v>
      </c>
      <c r="O82" s="809">
        <f>I82*1000*K82*M82/2000</f>
        <v>29252.159074451443</v>
      </c>
      <c r="P82" s="1077" t="s">
        <v>78</v>
      </c>
      <c r="Q82" s="1081">
        <f>O82*0.90718474/1000000</f>
        <v>2.6537112324394874E-2</v>
      </c>
      <c r="R82" s="1077" t="s">
        <v>78</v>
      </c>
      <c r="S82" s="1125">
        <f>Q82*44/12</f>
        <v>9.730274518944787E-2</v>
      </c>
      <c r="T82" s="1052"/>
      <c r="U82" s="1"/>
      <c r="V82" s="1"/>
      <c r="W82" s="1"/>
      <c r="X82" s="1"/>
      <c r="Y82" s="1"/>
      <c r="Z82" s="1"/>
      <c r="AA82" s="1"/>
      <c r="AB82" s="1"/>
      <c r="AC82" s="1"/>
      <c r="AD82" s="1"/>
      <c r="AE82" s="1"/>
      <c r="AF82" s="1"/>
      <c r="AG82" s="1"/>
      <c r="AH82" s="1"/>
    </row>
    <row r="83" spans="1:34" ht="15.75" customHeight="1">
      <c r="A83" s="1"/>
      <c r="B83" s="1126"/>
      <c r="C83" s="1127"/>
      <c r="D83" s="1128"/>
      <c r="E83" s="1127"/>
      <c r="F83" s="1128"/>
      <c r="G83" s="1129"/>
      <c r="H83" s="1128"/>
      <c r="I83" s="1127"/>
      <c r="J83" s="1128"/>
      <c r="K83" s="1130"/>
      <c r="L83" s="1128"/>
      <c r="M83" s="1131"/>
      <c r="N83" s="1128"/>
      <c r="O83" s="1127"/>
      <c r="P83" s="1128"/>
      <c r="Q83" s="1132"/>
      <c r="R83" s="1128"/>
      <c r="S83" s="1132"/>
      <c r="T83" s="1118"/>
      <c r="U83" s="1"/>
      <c r="V83" s="1"/>
      <c r="W83" s="1"/>
      <c r="X83" s="1"/>
      <c r="Y83" s="1"/>
      <c r="Z83" s="1"/>
      <c r="AA83" s="1"/>
      <c r="AB83" s="1"/>
      <c r="AC83" s="1"/>
      <c r="AD83" s="1"/>
      <c r="AE83" s="1"/>
      <c r="AF83" s="1"/>
      <c r="AG83" s="1"/>
      <c r="AH83" s="1"/>
    </row>
    <row r="84" spans="1:34" ht="15.75" customHeight="1">
      <c r="A84" s="1"/>
      <c r="B84" s="404"/>
      <c r="C84" s="1096"/>
      <c r="D84" s="1077"/>
      <c r="E84" s="1096"/>
      <c r="F84" s="1077"/>
      <c r="G84" s="1133"/>
      <c r="H84" s="1077"/>
      <c r="I84" s="1096"/>
      <c r="J84" s="1077"/>
      <c r="K84" s="1134"/>
      <c r="L84" s="1077"/>
      <c r="M84" s="1135"/>
      <c r="N84" s="1077"/>
      <c r="O84" s="1096"/>
      <c r="P84" s="1077"/>
      <c r="Q84" s="1086"/>
      <c r="R84" s="1077"/>
      <c r="S84" s="1086"/>
      <c r="T84" s="1"/>
      <c r="U84" s="1"/>
      <c r="V84" s="1"/>
      <c r="W84" s="1"/>
      <c r="X84" s="1"/>
      <c r="Y84" s="1"/>
      <c r="Z84" s="1"/>
      <c r="AA84" s="1"/>
      <c r="AB84" s="1"/>
      <c r="AC84" s="1"/>
      <c r="AD84" s="1"/>
      <c r="AE84" s="1"/>
      <c r="AF84" s="1"/>
      <c r="AG84" s="1"/>
      <c r="AH84" s="1"/>
    </row>
    <row r="85" spans="1:34"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ht="15.75" customHeight="1">
      <c r="A86" s="1"/>
      <c r="B86" s="1136" t="s">
        <v>920</v>
      </c>
      <c r="C86" s="1137"/>
      <c r="D86" s="1137"/>
      <c r="E86" s="1137"/>
      <c r="F86" s="1137"/>
      <c r="G86" s="1137">
        <v>2011</v>
      </c>
      <c r="H86" s="1137"/>
      <c r="I86" s="1137"/>
      <c r="J86" s="1137"/>
      <c r="K86" s="1137"/>
      <c r="L86" s="1137"/>
      <c r="M86" s="1137"/>
      <c r="N86" s="1049"/>
      <c r="O86" s="1"/>
      <c r="P86" s="1"/>
      <c r="Q86" s="1"/>
      <c r="R86" s="1"/>
      <c r="S86" s="1"/>
      <c r="T86" s="1"/>
      <c r="U86" s="1"/>
      <c r="V86" s="1"/>
      <c r="W86" s="1"/>
      <c r="X86" s="1"/>
      <c r="Y86" s="1"/>
      <c r="Z86" s="1"/>
      <c r="AA86" s="1"/>
      <c r="AB86" s="1"/>
      <c r="AC86" s="1"/>
      <c r="AD86" s="1"/>
      <c r="AE86" s="1"/>
      <c r="AF86" s="1"/>
      <c r="AG86" s="1"/>
      <c r="AH86" s="1"/>
    </row>
    <row r="87" spans="1:34" ht="15.75" customHeight="1">
      <c r="A87" s="1"/>
      <c r="B87" s="1053"/>
      <c r="C87" s="404"/>
      <c r="D87" s="404"/>
      <c r="E87" s="404"/>
      <c r="F87" s="404"/>
      <c r="G87" s="404"/>
      <c r="H87" s="404"/>
      <c r="I87" s="404"/>
      <c r="J87" s="404"/>
      <c r="K87" s="404"/>
      <c r="L87" s="404"/>
      <c r="M87" s="404"/>
      <c r="N87" s="1052"/>
      <c r="O87" s="1"/>
      <c r="P87" s="1086"/>
      <c r="Q87" s="1"/>
      <c r="R87" s="1"/>
      <c r="S87" s="1"/>
      <c r="T87" s="1"/>
      <c r="U87" s="1"/>
      <c r="V87" s="1"/>
      <c r="W87" s="1"/>
      <c r="X87" s="1"/>
      <c r="Y87" s="1"/>
      <c r="Z87" s="1"/>
      <c r="AA87" s="1"/>
      <c r="AB87" s="1"/>
      <c r="AC87" s="1"/>
      <c r="AD87" s="1"/>
      <c r="AE87" s="1"/>
      <c r="AF87" s="1"/>
      <c r="AG87" s="1"/>
      <c r="AH87" s="1"/>
    </row>
    <row r="88" spans="1:34" ht="15.75" customHeight="1">
      <c r="A88" s="1"/>
      <c r="B88" s="1053"/>
      <c r="C88" s="1063" t="s">
        <v>90</v>
      </c>
      <c r="D88" s="1063"/>
      <c r="E88" s="1063" t="s">
        <v>881</v>
      </c>
      <c r="F88" s="404"/>
      <c r="G88" s="1063" t="s">
        <v>882</v>
      </c>
      <c r="H88" s="404"/>
      <c r="I88" s="46" t="s">
        <v>118</v>
      </c>
      <c r="J88" s="404"/>
      <c r="K88" s="46" t="s">
        <v>118</v>
      </c>
      <c r="L88" s="404"/>
      <c r="M88" s="46" t="s">
        <v>118</v>
      </c>
      <c r="N88" s="1052"/>
      <c r="O88" s="254"/>
      <c r="P88" s="1"/>
      <c r="Q88" s="1"/>
      <c r="R88" s="1"/>
      <c r="S88" s="1"/>
      <c r="T88" s="1"/>
      <c r="U88" s="1"/>
      <c r="V88" s="1"/>
      <c r="W88" s="1"/>
      <c r="X88" s="1"/>
      <c r="Y88" s="1"/>
      <c r="Z88" s="1"/>
      <c r="AA88" s="1"/>
      <c r="AB88" s="1"/>
      <c r="AC88" s="1"/>
      <c r="AD88" s="1"/>
      <c r="AE88" s="1"/>
      <c r="AF88" s="1"/>
      <c r="AG88" s="1"/>
      <c r="AH88" s="1"/>
    </row>
    <row r="89" spans="1:34" ht="15.75" customHeight="1">
      <c r="A89" s="1"/>
      <c r="B89" s="1070" t="s">
        <v>348</v>
      </c>
      <c r="C89" s="1063" t="s">
        <v>699</v>
      </c>
      <c r="D89" s="404"/>
      <c r="E89" s="1063" t="s">
        <v>885</v>
      </c>
      <c r="F89" s="404"/>
      <c r="G89" s="1063" t="s">
        <v>886</v>
      </c>
      <c r="H89" s="404"/>
      <c r="I89" s="1063" t="s">
        <v>887</v>
      </c>
      <c r="J89" s="1063"/>
      <c r="K89" s="1063" t="s">
        <v>888</v>
      </c>
      <c r="L89" s="404"/>
      <c r="M89" s="46" t="s">
        <v>921</v>
      </c>
      <c r="N89" s="1052"/>
      <c r="O89" s="1086"/>
      <c r="P89" s="1"/>
      <c r="Q89" s="1"/>
      <c r="R89" s="1"/>
      <c r="S89" s="1"/>
      <c r="T89" s="1"/>
      <c r="U89" s="1"/>
      <c r="V89" s="1"/>
      <c r="W89" s="1"/>
      <c r="X89" s="1"/>
      <c r="Y89" s="1"/>
      <c r="Z89" s="1"/>
      <c r="AA89" s="1"/>
      <c r="AB89" s="1"/>
      <c r="AC89" s="1"/>
      <c r="AD89" s="1"/>
      <c r="AE89" s="1"/>
      <c r="AF89" s="1"/>
      <c r="AG89" s="1"/>
      <c r="AH89" s="1"/>
    </row>
    <row r="90" spans="1:34" ht="15.75" customHeight="1">
      <c r="A90" s="1"/>
      <c r="B90" s="1053" t="s">
        <v>907</v>
      </c>
      <c r="C90" s="1138">
        <v>0</v>
      </c>
      <c r="D90" s="1077" t="s">
        <v>77</v>
      </c>
      <c r="E90" s="793">
        <v>43.431818181818173</v>
      </c>
      <c r="F90" s="1077" t="s">
        <v>77</v>
      </c>
      <c r="G90" s="1079">
        <v>1</v>
      </c>
      <c r="H90" s="1077" t="s">
        <v>78</v>
      </c>
      <c r="I90" s="809">
        <f t="shared" ref="I90:I92" si="27">C90*1000*E90*G90/2000</f>
        <v>0</v>
      </c>
      <c r="J90" s="1077" t="s">
        <v>78</v>
      </c>
      <c r="K90" s="1139">
        <f t="shared" ref="K90:K92" si="28">I90*0.90718474/1000000</f>
        <v>0</v>
      </c>
      <c r="L90" s="1077" t="s">
        <v>78</v>
      </c>
      <c r="M90" s="1139">
        <f t="shared" ref="M90:M92" si="29">K90*44/12</f>
        <v>0</v>
      </c>
      <c r="N90" s="1052"/>
      <c r="O90" s="1"/>
      <c r="P90" s="1"/>
      <c r="Q90" s="1"/>
      <c r="R90" s="1"/>
      <c r="S90" s="1"/>
      <c r="T90" s="1"/>
      <c r="U90" s="1"/>
      <c r="V90" s="1"/>
      <c r="W90" s="1"/>
      <c r="X90" s="1"/>
      <c r="Y90" s="1"/>
      <c r="Z90" s="1"/>
      <c r="AA90" s="1"/>
      <c r="AB90" s="1"/>
      <c r="AC90" s="1"/>
      <c r="AD90" s="1"/>
      <c r="AE90" s="1"/>
      <c r="AF90" s="1"/>
      <c r="AG90" s="1"/>
      <c r="AH90" s="1"/>
    </row>
    <row r="91" spans="1:34" ht="15.75" customHeight="1">
      <c r="A91" s="1"/>
      <c r="B91" s="1053" t="s">
        <v>703</v>
      </c>
      <c r="C91" s="1138">
        <v>18</v>
      </c>
      <c r="D91" s="1077" t="s">
        <v>77</v>
      </c>
      <c r="E91" s="1078">
        <v>44.43</v>
      </c>
      <c r="F91" s="1077" t="s">
        <v>77</v>
      </c>
      <c r="G91" s="1079">
        <v>1</v>
      </c>
      <c r="H91" s="1077" t="s">
        <v>78</v>
      </c>
      <c r="I91" s="809">
        <f t="shared" si="27"/>
        <v>399.87</v>
      </c>
      <c r="J91" s="1077" t="s">
        <v>78</v>
      </c>
      <c r="K91" s="1139">
        <f t="shared" si="28"/>
        <v>3.6275596198380005E-4</v>
      </c>
      <c r="L91" s="1077" t="s">
        <v>78</v>
      </c>
      <c r="M91" s="1139">
        <f t="shared" si="29"/>
        <v>1.3301051939406002E-3</v>
      </c>
      <c r="N91" s="1052"/>
      <c r="O91" s="1"/>
      <c r="P91" s="1"/>
      <c r="Q91" s="1"/>
      <c r="R91" s="1"/>
      <c r="S91" s="1"/>
      <c r="T91" s="1"/>
      <c r="U91" s="1"/>
      <c r="V91" s="1"/>
      <c r="W91" s="1"/>
      <c r="X91" s="1"/>
      <c r="Y91" s="1"/>
      <c r="Z91" s="1"/>
      <c r="AA91" s="1"/>
      <c r="AB91" s="1"/>
      <c r="AC91" s="1"/>
      <c r="AD91" s="1"/>
      <c r="AE91" s="1"/>
      <c r="AF91" s="1"/>
      <c r="AG91" s="1"/>
      <c r="AH91" s="1"/>
    </row>
    <row r="92" spans="1:34" ht="15.75" customHeight="1">
      <c r="A92" s="1"/>
      <c r="B92" s="1053" t="s">
        <v>704</v>
      </c>
      <c r="C92" s="1138">
        <v>0</v>
      </c>
      <c r="D92" s="1077" t="s">
        <v>77</v>
      </c>
      <c r="E92" s="1078">
        <v>45.11</v>
      </c>
      <c r="F92" s="1077" t="s">
        <v>77</v>
      </c>
      <c r="G92" s="1079">
        <v>1</v>
      </c>
      <c r="H92" s="1077" t="s">
        <v>78</v>
      </c>
      <c r="I92" s="809">
        <f t="shared" si="27"/>
        <v>0</v>
      </c>
      <c r="J92" s="1077" t="s">
        <v>78</v>
      </c>
      <c r="K92" s="1139">
        <f t="shared" si="28"/>
        <v>0</v>
      </c>
      <c r="L92" s="1077" t="s">
        <v>78</v>
      </c>
      <c r="M92" s="1139">
        <f t="shared" si="29"/>
        <v>0</v>
      </c>
      <c r="N92" s="1052"/>
      <c r="O92" s="1"/>
      <c r="P92" s="1"/>
      <c r="Q92" s="1"/>
      <c r="R92" s="1"/>
      <c r="S92" s="1"/>
      <c r="T92" s="1"/>
      <c r="U92" s="1"/>
      <c r="V92" s="1"/>
      <c r="W92" s="1"/>
      <c r="X92" s="1"/>
      <c r="Y92" s="1"/>
      <c r="Z92" s="1"/>
      <c r="AA92" s="1"/>
      <c r="AB92" s="1"/>
      <c r="AC92" s="1"/>
      <c r="AD92" s="1"/>
      <c r="AE92" s="1"/>
      <c r="AF92" s="1"/>
      <c r="AG92" s="1"/>
      <c r="AH92" s="1"/>
    </row>
    <row r="93" spans="1:34" ht="15.75" customHeight="1">
      <c r="A93" s="1"/>
      <c r="B93" s="1070" t="s">
        <v>177</v>
      </c>
      <c r="C93" s="1140"/>
      <c r="D93" s="1077"/>
      <c r="E93" s="404"/>
      <c r="F93" s="1077"/>
      <c r="G93" s="1135"/>
      <c r="H93" s="1077"/>
      <c r="I93" s="1096"/>
      <c r="J93" s="1077"/>
      <c r="K93" s="1141">
        <f>SUM(K90:K92)</f>
        <v>3.6275596198380005E-4</v>
      </c>
      <c r="L93" s="404"/>
      <c r="M93" s="1142">
        <f>SUM(M90:M92)</f>
        <v>1.3301051939406002E-3</v>
      </c>
      <c r="N93" s="1052"/>
      <c r="O93" s="1"/>
      <c r="P93" s="1"/>
      <c r="Q93" s="1"/>
      <c r="R93" s="1"/>
      <c r="S93" s="1"/>
      <c r="T93" s="1"/>
      <c r="U93" s="1"/>
      <c r="V93" s="1"/>
      <c r="W93" s="1"/>
      <c r="X93" s="1"/>
      <c r="Y93" s="1"/>
      <c r="Z93" s="1"/>
      <c r="AA93" s="1"/>
      <c r="AB93" s="1"/>
      <c r="AC93" s="1"/>
      <c r="AD93" s="1"/>
      <c r="AE93" s="1"/>
      <c r="AF93" s="1"/>
      <c r="AG93" s="1"/>
      <c r="AH93" s="1"/>
    </row>
    <row r="94" spans="1:34" ht="15.75" customHeight="1">
      <c r="A94" s="1"/>
      <c r="B94" s="1143"/>
      <c r="C94" s="1144"/>
      <c r="D94" s="1128"/>
      <c r="E94" s="1145"/>
      <c r="F94" s="1128"/>
      <c r="G94" s="1131"/>
      <c r="H94" s="1128"/>
      <c r="I94" s="1127"/>
      <c r="J94" s="1128"/>
      <c r="K94" s="1146"/>
      <c r="L94" s="1145"/>
      <c r="M94" s="1146"/>
      <c r="N94" s="1118"/>
      <c r="O94" s="1"/>
      <c r="P94" s="1"/>
      <c r="Q94" s="1"/>
      <c r="R94" s="1"/>
      <c r="S94" s="1"/>
      <c r="T94" s="1"/>
      <c r="U94" s="1"/>
      <c r="V94" s="1"/>
      <c r="W94" s="1"/>
      <c r="X94" s="1"/>
      <c r="Y94" s="1"/>
      <c r="Z94" s="1"/>
      <c r="AA94" s="1"/>
      <c r="AB94" s="1"/>
      <c r="AC94" s="1"/>
      <c r="AD94" s="1"/>
      <c r="AE94" s="1"/>
      <c r="AF94" s="1"/>
      <c r="AG94" s="1"/>
      <c r="AH94" s="1"/>
    </row>
    <row r="95" spans="1:34" ht="15.75" customHeight="1">
      <c r="A95" s="1"/>
      <c r="B95" s="1147"/>
      <c r="C95" s="1140"/>
      <c r="D95" s="1077"/>
      <c r="E95" s="404"/>
      <c r="F95" s="1077"/>
      <c r="G95" s="1135"/>
      <c r="H95" s="1077"/>
      <c r="I95" s="1096"/>
      <c r="J95" s="1077"/>
      <c r="K95" s="1086"/>
      <c r="L95" s="404"/>
      <c r="M95" s="1086"/>
      <c r="N95" s="1"/>
      <c r="O95" s="1"/>
      <c r="P95" s="1"/>
      <c r="Q95" s="1"/>
      <c r="R95" s="1"/>
      <c r="S95" s="1"/>
      <c r="T95" s="1"/>
      <c r="U95" s="1"/>
      <c r="V95" s="1"/>
      <c r="W95" s="1"/>
      <c r="X95" s="1"/>
      <c r="Y95" s="1"/>
      <c r="Z95" s="1"/>
      <c r="AA95" s="1"/>
      <c r="AB95" s="1"/>
      <c r="AC95" s="1"/>
      <c r="AD95" s="1"/>
      <c r="AE95" s="1"/>
      <c r="AF95" s="1"/>
      <c r="AG95" s="1"/>
      <c r="AH95" s="1"/>
    </row>
    <row r="96" spans="1:34" ht="15.75" customHeight="1">
      <c r="A96" s="1"/>
      <c r="B96" s="1147"/>
      <c r="C96" s="1140"/>
      <c r="D96" s="1077"/>
      <c r="E96" s="404"/>
      <c r="F96" s="1077"/>
      <c r="G96" s="1135"/>
      <c r="H96" s="1077"/>
      <c r="I96" s="1096"/>
      <c r="J96" s="1077"/>
      <c r="K96" s="1086"/>
      <c r="L96" s="404"/>
      <c r="M96" s="1086"/>
      <c r="N96" s="1"/>
      <c r="O96" s="1"/>
      <c r="P96" s="1"/>
      <c r="Q96" s="1"/>
      <c r="R96" s="1"/>
      <c r="S96" s="1"/>
      <c r="T96" s="1"/>
      <c r="U96" s="1"/>
      <c r="V96" s="1"/>
      <c r="W96" s="1"/>
      <c r="X96" s="1"/>
      <c r="Y96" s="1"/>
      <c r="Z96" s="1"/>
      <c r="AA96" s="1"/>
      <c r="AB96" s="1"/>
      <c r="AC96" s="1"/>
      <c r="AD96" s="1"/>
      <c r="AE96" s="1"/>
      <c r="AF96" s="1"/>
      <c r="AG96" s="1"/>
      <c r="AH96" s="1"/>
    </row>
    <row r="97" spans="1:34" ht="15.75" customHeight="1">
      <c r="A97" s="1"/>
      <c r="B97" s="1147"/>
      <c r="C97" s="1140"/>
      <c r="D97" s="1077"/>
      <c r="E97" s="404"/>
      <c r="F97" s="1077"/>
      <c r="G97" s="1135"/>
      <c r="H97" s="1077"/>
      <c r="I97" s="1096"/>
      <c r="J97" s="1077"/>
      <c r="K97" s="1086"/>
      <c r="L97" s="404"/>
      <c r="M97" s="1086"/>
      <c r="N97" s="1"/>
      <c r="O97" s="1"/>
      <c r="P97" s="1"/>
      <c r="Q97" s="1"/>
      <c r="R97" s="1"/>
      <c r="S97" s="1"/>
      <c r="T97" s="1"/>
      <c r="U97" s="1"/>
      <c r="V97" s="1"/>
      <c r="W97" s="1"/>
      <c r="X97" s="1"/>
      <c r="Y97" s="1"/>
      <c r="Z97" s="1"/>
      <c r="AA97" s="1"/>
      <c r="AB97" s="1"/>
      <c r="AC97" s="1"/>
      <c r="AD97" s="1"/>
      <c r="AE97" s="1"/>
      <c r="AF97" s="1"/>
      <c r="AG97" s="1"/>
      <c r="AH97" s="1"/>
    </row>
    <row r="98" spans="1:34" ht="21" customHeight="1">
      <c r="A98" s="1"/>
      <c r="B98" s="1047" t="s">
        <v>922</v>
      </c>
      <c r="C98" s="1148"/>
      <c r="D98" s="1122"/>
      <c r="E98" s="1120"/>
      <c r="F98" s="1122"/>
      <c r="G98" s="1149"/>
      <c r="H98" s="1122"/>
      <c r="I98" s="1150"/>
      <c r="J98" s="1122"/>
      <c r="K98" s="1151"/>
      <c r="L98" s="1120"/>
      <c r="M98" s="1151"/>
      <c r="N98" s="1048"/>
      <c r="O98" s="1048"/>
      <c r="P98" s="1048"/>
      <c r="Q98" s="1048"/>
      <c r="R98" s="1048"/>
      <c r="S98" s="1048"/>
      <c r="T98" s="1048"/>
      <c r="U98" s="1048"/>
      <c r="V98" s="1048"/>
      <c r="W98" s="1048"/>
      <c r="X98" s="1048"/>
      <c r="Y98" s="1048"/>
      <c r="Z98" s="1048"/>
      <c r="AA98" s="1048"/>
      <c r="AB98" s="1048"/>
      <c r="AC98" s="1048"/>
      <c r="AD98" s="1048"/>
      <c r="AE98" s="1048"/>
      <c r="AF98" s="1048"/>
      <c r="AG98" s="1048"/>
      <c r="AH98" s="1049"/>
    </row>
    <row r="99" spans="1:34" ht="15.75" customHeight="1">
      <c r="A99" s="1"/>
      <c r="B99" s="1098"/>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052"/>
    </row>
    <row r="100" spans="1:34" ht="15.75" customHeight="1">
      <c r="A100" s="1"/>
      <c r="B100" s="1050" t="s">
        <v>923</v>
      </c>
      <c r="C100" s="1051"/>
      <c r="D100" s="1051"/>
      <c r="E100" s="1051"/>
      <c r="F100" s="1051"/>
      <c r="G100" s="1051"/>
      <c r="H100" s="1051"/>
      <c r="I100" s="1051"/>
      <c r="J100" s="1051"/>
      <c r="K100" s="1051"/>
      <c r="L100" s="1"/>
      <c r="M100" s="1"/>
      <c r="N100" s="1"/>
      <c r="O100" s="1"/>
      <c r="P100" s="1"/>
      <c r="Q100" s="1"/>
      <c r="R100" s="1"/>
      <c r="S100" s="1"/>
      <c r="T100" s="1"/>
      <c r="U100" s="1"/>
      <c r="V100" s="1"/>
      <c r="W100" s="1"/>
      <c r="X100" s="1"/>
      <c r="Y100" s="1"/>
      <c r="Z100" s="1"/>
      <c r="AA100" s="1"/>
      <c r="AB100" s="1"/>
      <c r="AC100" s="1"/>
      <c r="AD100" s="1"/>
      <c r="AE100" s="1"/>
      <c r="AF100" s="1"/>
      <c r="AG100" s="1"/>
      <c r="AH100" s="1052"/>
    </row>
    <row r="101" spans="1:34" ht="15.75" customHeight="1">
      <c r="A101" s="1"/>
      <c r="B101" s="1098"/>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052"/>
    </row>
    <row r="102" spans="1:34" ht="15.75" customHeight="1">
      <c r="A102" s="1"/>
      <c r="B102" s="1098"/>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052"/>
    </row>
    <row r="103" spans="1:34" ht="15.75" customHeight="1">
      <c r="A103" s="1"/>
      <c r="B103" s="1053"/>
      <c r="C103" s="1"/>
      <c r="D103" s="1"/>
      <c r="E103" s="404"/>
      <c r="F103" s="404"/>
      <c r="G103" s="404"/>
      <c r="H103" s="404"/>
      <c r="I103" s="404"/>
      <c r="J103" s="404"/>
      <c r="K103" s="1054"/>
      <c r="L103" s="1055"/>
      <c r="M103" s="1056" t="s">
        <v>924</v>
      </c>
      <c r="N103" s="1055"/>
      <c r="O103" s="1057"/>
      <c r="P103" s="404"/>
      <c r="Q103" s="1054"/>
      <c r="R103" s="1055"/>
      <c r="S103" s="1055"/>
      <c r="T103" s="1056" t="s">
        <v>925</v>
      </c>
      <c r="U103" s="1058"/>
      <c r="V103" s="1058"/>
      <c r="W103" s="1058"/>
      <c r="X103" s="1059"/>
      <c r="Y103" s="1"/>
      <c r="Z103" s="1060"/>
      <c r="AA103" s="1061" t="s">
        <v>926</v>
      </c>
      <c r="AB103" s="1056"/>
      <c r="AC103" s="1056"/>
      <c r="AD103" s="1056"/>
      <c r="AE103" s="1059"/>
      <c r="AF103" s="1"/>
      <c r="AG103" s="1062" t="s">
        <v>927</v>
      </c>
      <c r="AH103" s="1052"/>
    </row>
    <row r="104" spans="1:34" ht="15.75" customHeight="1">
      <c r="A104" s="1"/>
      <c r="B104" s="1053"/>
      <c r="C104" s="1063" t="s">
        <v>90</v>
      </c>
      <c r="D104" s="1"/>
      <c r="E104" s="1063" t="s">
        <v>90</v>
      </c>
      <c r="F104" s="1063"/>
      <c r="G104" s="1063" t="s">
        <v>881</v>
      </c>
      <c r="H104" s="404"/>
      <c r="I104" s="1063" t="s">
        <v>882</v>
      </c>
      <c r="J104" s="404"/>
      <c r="K104" s="1064" t="s">
        <v>118</v>
      </c>
      <c r="L104" s="404"/>
      <c r="M104" s="46" t="s">
        <v>118</v>
      </c>
      <c r="N104" s="404"/>
      <c r="O104" s="1065" t="s">
        <v>118</v>
      </c>
      <c r="P104" s="404"/>
      <c r="Q104" s="1066"/>
      <c r="R104" s="404"/>
      <c r="S104" s="404"/>
      <c r="T104" s="1"/>
      <c r="U104" s="1"/>
      <c r="V104" s="1"/>
      <c r="W104" s="1"/>
      <c r="X104" s="1067"/>
      <c r="Y104" s="1"/>
      <c r="Z104" s="1068"/>
      <c r="AA104" s="1"/>
      <c r="AB104" s="1"/>
      <c r="AC104" s="1"/>
      <c r="AD104" s="1"/>
      <c r="AE104" s="1067"/>
      <c r="AF104" s="1"/>
      <c r="AG104" s="1069" t="s">
        <v>928</v>
      </c>
      <c r="AH104" s="1052"/>
    </row>
    <row r="105" spans="1:34" ht="45" customHeight="1">
      <c r="A105" s="1"/>
      <c r="B105" s="1070" t="s">
        <v>348</v>
      </c>
      <c r="C105" s="1063" t="s">
        <v>884</v>
      </c>
      <c r="D105" s="1"/>
      <c r="E105" s="1063" t="s">
        <v>699</v>
      </c>
      <c r="F105" s="404"/>
      <c r="G105" s="1063" t="s">
        <v>885</v>
      </c>
      <c r="H105" s="404"/>
      <c r="I105" s="1063" t="s">
        <v>886</v>
      </c>
      <c r="J105" s="404"/>
      <c r="K105" s="1071" t="s">
        <v>887</v>
      </c>
      <c r="L105" s="1063"/>
      <c r="M105" s="1063" t="s">
        <v>888</v>
      </c>
      <c r="N105" s="404"/>
      <c r="O105" s="1065" t="s">
        <v>929</v>
      </c>
      <c r="P105" s="404"/>
      <c r="Q105" s="1072" t="s">
        <v>930</v>
      </c>
      <c r="R105" s="47" t="s">
        <v>931</v>
      </c>
      <c r="S105" s="47" t="s">
        <v>932</v>
      </c>
      <c r="T105" s="1073" t="s">
        <v>933</v>
      </c>
      <c r="U105" s="1"/>
      <c r="V105" s="1073" t="s">
        <v>934</v>
      </c>
      <c r="W105" s="1"/>
      <c r="X105" s="1074" t="s">
        <v>935</v>
      </c>
      <c r="Y105" s="47"/>
      <c r="Z105" s="1072" t="s">
        <v>936</v>
      </c>
      <c r="AA105" s="1073" t="s">
        <v>937</v>
      </c>
      <c r="AB105" s="1"/>
      <c r="AC105" s="1073" t="s">
        <v>938</v>
      </c>
      <c r="AD105" s="1"/>
      <c r="AE105" s="1074" t="s">
        <v>939</v>
      </c>
      <c r="AF105" s="1"/>
      <c r="AG105" s="1075" t="s">
        <v>940</v>
      </c>
      <c r="AH105" s="1052"/>
    </row>
    <row r="106" spans="1:34" ht="15.75" customHeight="1">
      <c r="A106" s="1"/>
      <c r="B106" s="1098" t="s">
        <v>941</v>
      </c>
      <c r="C106" s="685">
        <v>528516836.10000002</v>
      </c>
      <c r="D106" s="1"/>
      <c r="E106" s="1076">
        <f>C106*$C$48/1000000000</f>
        <v>73299.999998708998</v>
      </c>
      <c r="F106" s="1077" t="s">
        <v>77</v>
      </c>
      <c r="G106" s="1078">
        <v>46.923999999999999</v>
      </c>
      <c r="H106" s="1077" t="s">
        <v>77</v>
      </c>
      <c r="I106" s="1079">
        <v>1</v>
      </c>
      <c r="J106" s="1077" t="s">
        <v>78</v>
      </c>
      <c r="K106" s="1080">
        <f t="shared" ref="K106:K107" si="30">E106*1000*G106*I106/2000</f>
        <v>1719764.5999697105</v>
      </c>
      <c r="L106" s="1077" t="s">
        <v>78</v>
      </c>
      <c r="M106" s="1081">
        <f t="shared" ref="M106:M107" si="31">K106*0.90718474/1000000</f>
        <v>1.5601442014847258</v>
      </c>
      <c r="N106" s="1077" t="s">
        <v>78</v>
      </c>
      <c r="O106" s="1152">
        <f t="shared" ref="O106:O107" si="32">M106*44/12</f>
        <v>5.720528738777328</v>
      </c>
      <c r="P106" s="404"/>
      <c r="Q106" s="1068"/>
      <c r="R106" s="1094">
        <v>3.1920000000000002</v>
      </c>
      <c r="S106" s="1094">
        <v>4.0000000000000002E-4</v>
      </c>
      <c r="T106" s="1085">
        <f t="shared" ref="T106:T107" si="33">C106*R106*S106/1000000000</f>
        <v>6.7481029633248001E-4</v>
      </c>
      <c r="U106" s="1077" t="s">
        <v>78</v>
      </c>
      <c r="V106" s="1086">
        <f t="shared" ref="V106:V107" si="34">T106*$P$10*12/44*1000</f>
        <v>48.7703805076656</v>
      </c>
      <c r="W106" s="1077" t="s">
        <v>78</v>
      </c>
      <c r="X106" s="1153">
        <f t="shared" ref="X106:X107" si="35">V106*44/12</f>
        <v>178.82472852810722</v>
      </c>
      <c r="Y106" s="1"/>
      <c r="Z106" s="1089">
        <v>2.3E-3</v>
      </c>
      <c r="AA106" s="1154">
        <f t="shared" ref="AA106:AA107" si="36">C106*R106*Z106/1000000000</f>
        <v>3.8801592039117605E-3</v>
      </c>
      <c r="AB106" s="1155" t="s">
        <v>78</v>
      </c>
      <c r="AC106" s="221">
        <f t="shared" ref="AC106:AC107" si="37">AA106*$P$9*12/44*1000</f>
        <v>29.630306648053441</v>
      </c>
      <c r="AD106" s="1155" t="s">
        <v>78</v>
      </c>
      <c r="AE106" s="1153">
        <f t="shared" ref="AE106:AE107" si="38">AC106*44/12</f>
        <v>108.64445770952928</v>
      </c>
      <c r="AF106" s="1"/>
      <c r="AG106" s="1092">
        <f t="shared" ref="AG106:AG107" si="39">X106+AE106</f>
        <v>287.46918623763651</v>
      </c>
      <c r="AH106" s="1052"/>
    </row>
    <row r="107" spans="1:34" ht="15.75" customHeight="1">
      <c r="A107" s="1"/>
      <c r="B107" s="1053" t="s">
        <v>942</v>
      </c>
      <c r="C107" s="1156">
        <v>2405061253</v>
      </c>
      <c r="D107" s="1"/>
      <c r="E107" s="1076">
        <f>C107*$C$47/1000000000</f>
        <v>298799.999950214</v>
      </c>
      <c r="F107" s="1077" t="s">
        <v>77</v>
      </c>
      <c r="G107" s="793">
        <v>45.314</v>
      </c>
      <c r="H107" s="1077" t="s">
        <v>77</v>
      </c>
      <c r="I107" s="1079">
        <v>1</v>
      </c>
      <c r="J107" s="1077" t="s">
        <v>78</v>
      </c>
      <c r="K107" s="1080">
        <f t="shared" si="30"/>
        <v>6769911.5988719976</v>
      </c>
      <c r="L107" s="1077" t="s">
        <v>78</v>
      </c>
      <c r="M107" s="1081">
        <f t="shared" si="31"/>
        <v>6.1415604936456774</v>
      </c>
      <c r="N107" s="1077" t="s">
        <v>78</v>
      </c>
      <c r="O107" s="1157">
        <f t="shared" si="32"/>
        <v>22.519055143367485</v>
      </c>
      <c r="P107" s="404"/>
      <c r="Q107" s="1066"/>
      <c r="R107" s="1095">
        <v>2.8008999999999999</v>
      </c>
      <c r="S107" s="1094">
        <v>4.0000000000000002E-4</v>
      </c>
      <c r="T107" s="1085">
        <f t="shared" si="33"/>
        <v>2.6945344254110802E-3</v>
      </c>
      <c r="U107" s="1077" t="s">
        <v>78</v>
      </c>
      <c r="V107" s="1086">
        <f t="shared" si="34"/>
        <v>194.74135165470989</v>
      </c>
      <c r="W107" s="1077" t="s">
        <v>78</v>
      </c>
      <c r="X107" s="1153">
        <f t="shared" si="35"/>
        <v>714.05162273393626</v>
      </c>
      <c r="Y107" s="1"/>
      <c r="Z107" s="1089">
        <v>4.4999999999999998E-2</v>
      </c>
      <c r="AA107" s="1154">
        <f t="shared" si="36"/>
        <v>0.30313512285874644</v>
      </c>
      <c r="AB107" s="1155" t="s">
        <v>78</v>
      </c>
      <c r="AC107" s="221">
        <f t="shared" si="37"/>
        <v>2314.8500291031551</v>
      </c>
      <c r="AD107" s="1155" t="s">
        <v>78</v>
      </c>
      <c r="AE107" s="1153">
        <f t="shared" si="38"/>
        <v>8487.783440044901</v>
      </c>
      <c r="AF107" s="1"/>
      <c r="AG107" s="1092">
        <f t="shared" si="39"/>
        <v>9201.8350627788368</v>
      </c>
      <c r="AH107" s="1052"/>
    </row>
    <row r="108" spans="1:34" ht="15.75" customHeight="1">
      <c r="A108" s="1"/>
      <c r="B108" s="1053"/>
      <c r="C108" s="1093"/>
      <c r="D108" s="1"/>
      <c r="E108" s="1104"/>
      <c r="F108" s="1077"/>
      <c r="G108" s="1158"/>
      <c r="H108" s="1077"/>
      <c r="I108" s="1135"/>
      <c r="J108" s="1077"/>
      <c r="K108" s="1106"/>
      <c r="L108" s="1077"/>
      <c r="M108" s="1086"/>
      <c r="N108" s="1077"/>
      <c r="O108" s="1159">
        <f>SUM(O106:O107)</f>
        <v>28.239583882144814</v>
      </c>
      <c r="P108" s="404"/>
      <c r="Q108" s="1066"/>
      <c r="R108" s="1160"/>
      <c r="S108" s="1160"/>
      <c r="T108" s="1085"/>
      <c r="U108" s="1077"/>
      <c r="V108" s="1086"/>
      <c r="W108" s="1077"/>
      <c r="X108" s="1087"/>
      <c r="Y108" s="1"/>
      <c r="Z108" s="1161"/>
      <c r="AA108" s="1085"/>
      <c r="AB108" s="1077"/>
      <c r="AC108" s="1088"/>
      <c r="AD108" s="1077"/>
      <c r="AE108" s="1091">
        <f>SUM(AE106:AE107)/1000000</f>
        <v>8.5964278977544301E-3</v>
      </c>
      <c r="AF108" s="1"/>
      <c r="AG108" s="1092"/>
      <c r="AH108" s="1052"/>
    </row>
    <row r="109" spans="1:34" ht="15.75" customHeight="1">
      <c r="A109" s="1"/>
      <c r="B109" s="1053"/>
      <c r="C109" s="1093"/>
      <c r="D109" s="1"/>
      <c r="E109" s="404"/>
      <c r="F109" s="404"/>
      <c r="G109" s="404"/>
      <c r="H109" s="404"/>
      <c r="I109" s="404"/>
      <c r="J109" s="404"/>
      <c r="K109" s="1108"/>
      <c r="L109" s="1109"/>
      <c r="M109" s="1110"/>
      <c r="N109" s="1111"/>
      <c r="O109" s="1112"/>
      <c r="P109" s="404"/>
      <c r="Q109" s="1108"/>
      <c r="R109" s="1110"/>
      <c r="S109" s="1110"/>
      <c r="T109" s="1113"/>
      <c r="U109" s="1113"/>
      <c r="V109" s="1113"/>
      <c r="W109" s="1113"/>
      <c r="X109" s="1114"/>
      <c r="Y109" s="1"/>
      <c r="Z109" s="1115"/>
      <c r="AA109" s="1113"/>
      <c r="AB109" s="1113"/>
      <c r="AC109" s="1113"/>
      <c r="AD109" s="1113"/>
      <c r="AE109" s="1114"/>
      <c r="AF109" s="1"/>
      <c r="AG109" s="1116"/>
      <c r="AH109" s="1052"/>
    </row>
    <row r="110" spans="1:34" ht="15.75" customHeight="1">
      <c r="A110" s="1"/>
      <c r="B110" s="1117"/>
      <c r="C110" s="663"/>
      <c r="D110" s="663"/>
      <c r="E110" s="663"/>
      <c r="F110" s="663"/>
      <c r="G110" s="663"/>
      <c r="H110" s="663"/>
      <c r="I110" s="663"/>
      <c r="J110" s="663"/>
      <c r="K110" s="663"/>
      <c r="L110" s="663"/>
      <c r="M110" s="663"/>
      <c r="N110" s="663"/>
      <c r="O110" s="663"/>
      <c r="P110" s="663"/>
      <c r="Q110" s="663"/>
      <c r="R110" s="663"/>
      <c r="S110" s="663"/>
      <c r="T110" s="663"/>
      <c r="U110" s="663"/>
      <c r="V110" s="663"/>
      <c r="W110" s="663"/>
      <c r="X110" s="663"/>
      <c r="Y110" s="663"/>
      <c r="Z110" s="663"/>
      <c r="AA110" s="663"/>
      <c r="AB110" s="663"/>
      <c r="AC110" s="663"/>
      <c r="AD110" s="663"/>
      <c r="AE110" s="663"/>
      <c r="AF110" s="663"/>
      <c r="AG110" s="663"/>
      <c r="AH110" s="1118"/>
    </row>
    <row r="111" spans="1:34"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ht="15.75" customHeight="1">
      <c r="A112" s="1"/>
      <c r="B112" s="1"/>
      <c r="C112" s="1"/>
      <c r="D112" s="1"/>
      <c r="E112" s="1"/>
      <c r="F112" s="1"/>
      <c r="G112" s="1"/>
      <c r="H112" s="1"/>
      <c r="I112" s="22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ht="15.75" customHeight="1">
      <c r="A113" s="1"/>
      <c r="B113" s="1"/>
      <c r="C113" s="1"/>
      <c r="D113" s="1"/>
      <c r="E113" s="1"/>
      <c r="F113" s="1"/>
      <c r="G113" s="1"/>
      <c r="H113" s="1"/>
      <c r="I113" s="22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ht="15.75" customHeight="1">
      <c r="A114" s="1"/>
      <c r="B114" s="1"/>
      <c r="C114" s="1"/>
      <c r="D114" s="1"/>
      <c r="E114" s="1"/>
      <c r="F114" s="1"/>
      <c r="G114" s="1"/>
      <c r="H114" s="1"/>
      <c r="I114" s="22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ht="15.75" customHeight="1">
      <c r="A115" s="1"/>
      <c r="B115" s="1"/>
      <c r="C115" s="1"/>
      <c r="D115" s="1"/>
      <c r="E115" s="1"/>
      <c r="F115" s="1"/>
      <c r="G115" s="1"/>
      <c r="H115" s="1"/>
      <c r="I115" s="22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row>
    <row r="116" spans="1:34" ht="15.75" customHeight="1">
      <c r="A116" s="1"/>
      <c r="B116" s="1"/>
      <c r="C116" s="1"/>
      <c r="D116" s="1"/>
      <c r="E116" s="1"/>
      <c r="F116" s="1"/>
      <c r="G116" s="1"/>
      <c r="H116" s="1"/>
      <c r="I116" s="22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row>
    <row r="117" spans="1:34" ht="15.75" customHeight="1">
      <c r="A117" s="1"/>
      <c r="B117" s="1"/>
      <c r="C117" s="1"/>
      <c r="D117" s="1"/>
      <c r="E117" s="1"/>
      <c r="F117" s="1"/>
      <c r="G117" s="1"/>
      <c r="H117" s="1"/>
      <c r="I117" s="22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row>
    <row r="118" spans="1:34" ht="15.75" customHeight="1">
      <c r="A118" s="1"/>
      <c r="B118" s="1"/>
      <c r="C118" s="1"/>
      <c r="D118" s="1"/>
      <c r="E118" s="1"/>
      <c r="F118" s="1"/>
      <c r="G118" s="1"/>
      <c r="H118" s="1"/>
      <c r="I118" s="22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row>
    <row r="124" spans="1:3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row>
    <row r="127" spans="1:34"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row>
    <row r="130" spans="1:34"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row>
    <row r="193" spans="1:34"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row>
    <row r="194" spans="1:3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row>
    <row r="195" spans="1:34"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row>
    <row r="196" spans="1:34"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row>
    <row r="197" spans="1:34"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row>
    <row r="198" spans="1:34"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row>
    <row r="199" spans="1:34"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row>
    <row r="200" spans="1:34"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row>
    <row r="201" spans="1:34"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row>
    <row r="202" spans="1:34"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row>
    <row r="203" spans="1:34"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row>
    <row r="204" spans="1:3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row>
    <row r="205" spans="1:34"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row>
    <row r="210" spans="1:34"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row>
    <row r="211" spans="1:34"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row>
    <row r="212" spans="1:34"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row>
    <row r="213" spans="1:34"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row>
    <row r="214" spans="1:3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row>
    <row r="225" spans="1:34"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row>
    <row r="226" spans="1:34"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row>
    <row r="240" spans="1:34"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row>
    <row r="241" spans="1:34"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row>
    <row r="242" spans="1:34"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row>
    <row r="243" spans="1:34"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row>
    <row r="244" spans="1:3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row>
    <row r="245" spans="1:34"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row>
    <row r="246" spans="1:34"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row>
    <row r="247" spans="1:34"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row>
    <row r="248" spans="1:34"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row>
    <row r="249" spans="1:34"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row>
    <row r="250" spans="1:34"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row>
    <row r="251" spans="1:34"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row>
    <row r="252" spans="1:34"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row>
    <row r="253" spans="1:34"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row>
    <row r="254" spans="1:3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row>
    <row r="258" spans="1:34"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row>
    <row r="262" spans="1:34"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row>
    <row r="263" spans="1:34"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row>
    <row r="264" spans="1:3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row>
    <row r="265" spans="1:34"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row>
    <row r="266" spans="1:34"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row>
    <row r="267" spans="1:34"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row>
    <row r="268" spans="1:34"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row>
    <row r="269" spans="1:34"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row>
    <row r="270" spans="1:34"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row>
    <row r="271" spans="1:34"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row>
    <row r="272" spans="1:34"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row>
    <row r="273" spans="1:34"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row>
    <row r="274" spans="1:3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row>
    <row r="275" spans="1:34"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row>
    <row r="276" spans="1:34"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row>
    <row r="277" spans="1:34"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row>
    <row r="278" spans="1:34"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row>
    <row r="279" spans="1:34"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row>
    <row r="280" spans="1:34"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row>
    <row r="281" spans="1:34"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row>
    <row r="282" spans="1:34"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row>
    <row r="283" spans="1:34"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row>
    <row r="284" spans="1:3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row>
    <row r="285" spans="1:34"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row>
    <row r="286" spans="1:34"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row>
    <row r="287" spans="1:34"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row>
    <row r="288" spans="1:34"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row>
    <row r="289" spans="1:34"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row>
    <row r="290" spans="1:34"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row>
    <row r="291" spans="1:34"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row>
    <row r="292" spans="1:34"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row>
    <row r="293" spans="1:34"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row>
    <row r="294" spans="1:3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row>
    <row r="295" spans="1:34"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row>
    <row r="296" spans="1:34"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row>
    <row r="297" spans="1:34"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row>
    <row r="298" spans="1:34"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row>
    <row r="299" spans="1:34"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row>
    <row r="300" spans="1:34"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row>
    <row r="301" spans="1:34"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row>
    <row r="302" spans="1:34"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row>
    <row r="303" spans="1:34"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row>
    <row r="304" spans="1:3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row>
    <row r="305" spans="1:34"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row>
    <row r="306" spans="1:34"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row>
    <row r="307" spans="1:34"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row>
    <row r="308" spans="1:34"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row>
    <row r="309" spans="1:34" ht="15.75" customHeight="1"/>
    <row r="310" spans="1:34" ht="15.75" customHeight="1"/>
    <row r="311" spans="1:34" ht="15.75" customHeight="1"/>
    <row r="312" spans="1:34" ht="15.75" customHeight="1"/>
    <row r="313" spans="1:34" ht="15.75" customHeight="1"/>
    <row r="314" spans="1:34" ht="15.75" customHeight="1"/>
    <row r="315" spans="1:34" ht="15.75" customHeight="1"/>
    <row r="316" spans="1:34" ht="15.75" customHeight="1"/>
    <row r="317" spans="1:34" ht="15.75" customHeight="1"/>
    <row r="318" spans="1:34" ht="15.75" customHeight="1"/>
    <row r="319" spans="1:34" ht="15.75" customHeight="1"/>
    <row r="320" spans="1:34"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7">
    <mergeCell ref="A2:K2"/>
    <mergeCell ref="O6:P6"/>
    <mergeCell ref="D18:E18"/>
    <mergeCell ref="F18:G18"/>
    <mergeCell ref="D19:E19"/>
    <mergeCell ref="F19:G19"/>
    <mergeCell ref="F20:G20"/>
    <mergeCell ref="D20:E20"/>
    <mergeCell ref="D21:E21"/>
    <mergeCell ref="F21:G21"/>
    <mergeCell ref="D22:E22"/>
    <mergeCell ref="F22:G22"/>
    <mergeCell ref="D23:E23"/>
    <mergeCell ref="F23:G23"/>
    <mergeCell ref="D24:E24"/>
    <mergeCell ref="F24:G24"/>
    <mergeCell ref="D25:E25"/>
    <mergeCell ref="F25:G25"/>
    <mergeCell ref="D26:E26"/>
    <mergeCell ref="F26:G26"/>
    <mergeCell ref="B29:F29"/>
    <mergeCell ref="F35:G35"/>
    <mergeCell ref="F36:G36"/>
    <mergeCell ref="F45:H45"/>
    <mergeCell ref="D31:E31"/>
    <mergeCell ref="F31:G31"/>
    <mergeCell ref="D32:E32"/>
    <mergeCell ref="F32:G32"/>
    <mergeCell ref="D33:E33"/>
    <mergeCell ref="F33:G33"/>
    <mergeCell ref="F34:G34"/>
    <mergeCell ref="D43:E43"/>
    <mergeCell ref="D44:E44"/>
    <mergeCell ref="D45:E45"/>
    <mergeCell ref="F37:G37"/>
    <mergeCell ref="F38:G38"/>
    <mergeCell ref="F39:G39"/>
    <mergeCell ref="F42:H42"/>
    <mergeCell ref="F43:H43"/>
    <mergeCell ref="D49:E49"/>
    <mergeCell ref="D34:E34"/>
    <mergeCell ref="D35:E35"/>
    <mergeCell ref="D36:E36"/>
    <mergeCell ref="D37:E37"/>
    <mergeCell ref="D38:E38"/>
    <mergeCell ref="D39:E39"/>
    <mergeCell ref="D42:E42"/>
  </mergeCell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defaultColWidth="16.85546875" defaultRowHeight="15" customHeight="1"/>
  <cols>
    <col min="1" max="1" width="3.7109375" customWidth="1"/>
    <col min="2" max="2" width="30.28515625" customWidth="1"/>
    <col min="3" max="3" width="17.140625" customWidth="1"/>
    <col min="4" max="4" width="21.7109375" customWidth="1"/>
    <col min="5" max="5" width="18.140625" customWidth="1"/>
    <col min="6" max="6" width="17.85546875" customWidth="1"/>
    <col min="7" max="7" width="18.85546875" customWidth="1"/>
    <col min="8" max="9" width="18" customWidth="1"/>
    <col min="11" max="11" width="20.140625" customWidth="1"/>
    <col min="12" max="12" width="9.28515625" customWidth="1"/>
    <col min="13" max="26" width="8" customWidth="1"/>
  </cols>
  <sheetData>
    <row r="1" spans="1:26" ht="14.4">
      <c r="A1" s="1" t="s">
        <v>1291</v>
      </c>
      <c r="B1" s="403"/>
      <c r="C1" s="1"/>
      <c r="D1" s="1"/>
      <c r="E1" s="42"/>
      <c r="F1" s="1"/>
      <c r="G1" s="1"/>
      <c r="H1" s="1"/>
      <c r="I1" s="1"/>
      <c r="J1" s="1"/>
      <c r="K1" s="1"/>
      <c r="L1" s="1"/>
      <c r="M1" s="1"/>
      <c r="N1" s="1"/>
      <c r="O1" s="1"/>
      <c r="P1" s="1"/>
      <c r="Q1" s="1"/>
      <c r="R1" s="1"/>
      <c r="S1" s="1"/>
      <c r="T1" s="1"/>
      <c r="U1" s="1"/>
      <c r="V1" s="1"/>
      <c r="W1" s="1"/>
      <c r="X1" s="1"/>
      <c r="Y1" s="1"/>
      <c r="Z1" s="1"/>
    </row>
    <row r="2" spans="1:26" ht="171.75" customHeight="1">
      <c r="A2" s="1"/>
      <c r="B2" s="1"/>
      <c r="C2" s="1"/>
      <c r="D2" s="1"/>
      <c r="E2" s="1"/>
      <c r="F2" s="1"/>
      <c r="G2" s="1"/>
      <c r="H2" s="1"/>
      <c r="I2" s="1"/>
      <c r="J2" s="1"/>
      <c r="K2" s="1"/>
      <c r="L2" s="1"/>
      <c r="M2" s="1"/>
      <c r="N2" s="1"/>
      <c r="O2" s="1"/>
      <c r="P2" s="1"/>
      <c r="Q2" s="1"/>
      <c r="R2" s="1"/>
      <c r="S2" s="1"/>
      <c r="T2" s="1"/>
      <c r="U2" s="1"/>
      <c r="V2" s="1"/>
      <c r="W2" s="1"/>
      <c r="X2" s="1"/>
      <c r="Y2" s="1"/>
      <c r="Z2" s="1"/>
    </row>
    <row r="3" spans="1:26" ht="14.4">
      <c r="A3" s="1"/>
      <c r="B3" s="41"/>
      <c r="C3" s="1"/>
      <c r="D3" s="1"/>
      <c r="E3" s="50"/>
      <c r="F3" s="1"/>
      <c r="G3" s="50"/>
      <c r="H3" s="683"/>
      <c r="I3" s="1175"/>
      <c r="J3" s="1616"/>
      <c r="K3" s="1"/>
      <c r="L3" s="1"/>
      <c r="M3" s="1"/>
      <c r="N3" s="1"/>
      <c r="O3" s="1"/>
      <c r="P3" s="1"/>
      <c r="Q3" s="1"/>
      <c r="R3" s="1"/>
      <c r="S3" s="1"/>
      <c r="T3" s="1"/>
      <c r="U3" s="1"/>
      <c r="V3" s="1"/>
      <c r="W3" s="1"/>
      <c r="X3" s="1"/>
      <c r="Y3" s="1"/>
      <c r="Z3" s="1"/>
    </row>
    <row r="4" spans="1:26" ht="14.4">
      <c r="A4" s="1"/>
      <c r="B4" s="1617" t="s">
        <v>1292</v>
      </c>
      <c r="C4" s="1618"/>
      <c r="D4" s="1617">
        <v>2011</v>
      </c>
      <c r="E4" s="1619"/>
      <c r="F4" s="1618"/>
      <c r="G4" s="50"/>
      <c r="H4" s="1"/>
      <c r="I4" s="1"/>
      <c r="J4" s="1"/>
      <c r="K4" s="1"/>
      <c r="L4" s="1"/>
      <c r="M4" s="1"/>
      <c r="N4" s="1"/>
      <c r="O4" s="1"/>
      <c r="P4" s="1"/>
      <c r="Q4" s="1"/>
      <c r="R4" s="1"/>
      <c r="S4" s="1"/>
      <c r="T4" s="1"/>
      <c r="U4" s="1"/>
      <c r="V4" s="1"/>
      <c r="W4" s="1"/>
      <c r="X4" s="1"/>
      <c r="Y4" s="1"/>
      <c r="Z4" s="1"/>
    </row>
    <row r="5" spans="1:26" ht="14.4">
      <c r="A5" s="1"/>
      <c r="B5" s="1"/>
      <c r="C5" s="1"/>
      <c r="D5" s="1"/>
      <c r="E5" s="50"/>
      <c r="F5" s="1"/>
      <c r="G5" s="50"/>
      <c r="H5" s="1"/>
      <c r="I5" s="1"/>
      <c r="J5" s="1"/>
      <c r="K5" s="1"/>
      <c r="L5" s="1"/>
      <c r="M5" s="1"/>
      <c r="N5" s="1"/>
      <c r="O5" s="1"/>
      <c r="P5" s="1"/>
      <c r="Q5" s="1"/>
      <c r="R5" s="1"/>
      <c r="S5" s="1"/>
      <c r="T5" s="1"/>
      <c r="U5" s="1"/>
      <c r="V5" s="1"/>
      <c r="W5" s="1"/>
      <c r="X5" s="1"/>
      <c r="Y5" s="1"/>
      <c r="Z5" s="1"/>
    </row>
    <row r="6" spans="1:26" ht="15.75" customHeight="1">
      <c r="A6" s="1"/>
      <c r="B6" s="817"/>
      <c r="C6" s="819" t="s">
        <v>1293</v>
      </c>
      <c r="D6" s="819" t="s">
        <v>881</v>
      </c>
      <c r="E6" s="819" t="s">
        <v>1294</v>
      </c>
      <c r="F6" s="820" t="s">
        <v>1295</v>
      </c>
      <c r="G6" s="50"/>
      <c r="H6" s="1"/>
      <c r="I6" s="50"/>
      <c r="J6" s="1"/>
      <c r="K6" s="1"/>
      <c r="L6" s="1"/>
      <c r="M6" s="1"/>
      <c r="N6" s="1"/>
      <c r="O6" s="1"/>
      <c r="P6" s="1"/>
      <c r="Q6" s="1"/>
      <c r="R6" s="1"/>
      <c r="S6" s="1"/>
      <c r="T6" s="1"/>
      <c r="U6" s="1"/>
      <c r="V6" s="1"/>
      <c r="W6" s="1"/>
      <c r="X6" s="1"/>
      <c r="Y6" s="1"/>
      <c r="Z6" s="1"/>
    </row>
    <row r="7" spans="1:26" ht="27.75" customHeight="1">
      <c r="A7" s="1"/>
      <c r="B7" s="292"/>
      <c r="C7" s="1"/>
      <c r="D7" s="1620" t="s">
        <v>1296</v>
      </c>
      <c r="E7" s="1"/>
      <c r="F7" s="728"/>
      <c r="G7" s="50"/>
      <c r="H7" s="1"/>
      <c r="I7" s="50"/>
      <c r="J7" s="1"/>
      <c r="K7" s="1"/>
      <c r="L7" s="1"/>
      <c r="M7" s="1"/>
      <c r="N7" s="1"/>
      <c r="O7" s="1"/>
      <c r="P7" s="1"/>
      <c r="Q7" s="1"/>
      <c r="R7" s="1"/>
      <c r="S7" s="1"/>
      <c r="T7" s="1"/>
      <c r="U7" s="1"/>
      <c r="V7" s="1"/>
      <c r="W7" s="1"/>
      <c r="X7" s="1"/>
      <c r="Y7" s="1"/>
      <c r="Z7" s="1"/>
    </row>
    <row r="8" spans="1:26" ht="14.4">
      <c r="A8" s="1"/>
      <c r="B8" s="1302" t="s">
        <v>1297</v>
      </c>
      <c r="C8" s="49">
        <v>8</v>
      </c>
      <c r="D8" s="793">
        <v>4.1021717966689701</v>
      </c>
      <c r="E8" s="49">
        <f>C8*D8</f>
        <v>32.817374373351761</v>
      </c>
      <c r="F8" s="1621">
        <f t="shared" ref="F8:F9" si="0">E8*$I$26/1000000</f>
        <v>9.1888648245384938E-4</v>
      </c>
      <c r="G8" s="50"/>
      <c r="H8" s="1"/>
      <c r="I8" s="1175"/>
      <c r="J8" s="1"/>
      <c r="K8" s="1"/>
      <c r="L8" s="1"/>
      <c r="M8" s="1"/>
      <c r="N8" s="1"/>
      <c r="O8" s="1"/>
      <c r="P8" s="1"/>
      <c r="Q8" s="1"/>
      <c r="R8" s="1"/>
      <c r="S8" s="1"/>
      <c r="T8" s="1"/>
      <c r="U8" s="1"/>
      <c r="V8" s="1"/>
      <c r="W8" s="1"/>
      <c r="X8" s="1"/>
      <c r="Y8" s="1"/>
      <c r="Z8" s="1"/>
    </row>
    <row r="9" spans="1:26" ht="45" customHeight="1">
      <c r="A9" s="1"/>
      <c r="B9" s="1302" t="s">
        <v>1298</v>
      </c>
      <c r="C9" s="49">
        <v>0</v>
      </c>
      <c r="D9" s="793">
        <v>13.055796863999998</v>
      </c>
      <c r="E9" s="49">
        <v>0</v>
      </c>
      <c r="F9" s="1621">
        <f t="shared" si="0"/>
        <v>0</v>
      </c>
      <c r="G9" s="50"/>
      <c r="H9" s="1"/>
      <c r="I9" s="1175"/>
      <c r="J9" s="1"/>
      <c r="K9" s="1"/>
      <c r="L9" s="1"/>
      <c r="M9" s="1"/>
      <c r="N9" s="1"/>
      <c r="O9" s="1"/>
      <c r="P9" s="1"/>
      <c r="Q9" s="1"/>
      <c r="R9" s="1"/>
      <c r="S9" s="1"/>
      <c r="T9" s="1"/>
      <c r="U9" s="1"/>
      <c r="V9" s="1"/>
      <c r="W9" s="1"/>
      <c r="X9" s="1"/>
      <c r="Y9" s="1"/>
      <c r="Z9" s="1"/>
    </row>
    <row r="10" spans="1:26" ht="14.4">
      <c r="A10" s="1"/>
      <c r="B10" s="1164" t="s">
        <v>1299</v>
      </c>
      <c r="C10" s="920"/>
      <c r="D10" s="1622"/>
      <c r="E10" s="1568">
        <v>21.095017507998922</v>
      </c>
      <c r="F10" s="1623">
        <f>F8+F9</f>
        <v>9.1888648245384938E-4</v>
      </c>
      <c r="G10" s="50"/>
      <c r="H10" s="1"/>
      <c r="I10" s="1175"/>
      <c r="J10" s="1"/>
      <c r="K10" s="1"/>
      <c r="L10" s="1"/>
      <c r="M10" s="1"/>
      <c r="N10" s="1"/>
      <c r="O10" s="1"/>
      <c r="P10" s="1"/>
      <c r="Q10" s="1"/>
      <c r="R10" s="1"/>
      <c r="S10" s="1"/>
      <c r="T10" s="1"/>
      <c r="U10" s="1"/>
      <c r="V10" s="1"/>
      <c r="W10" s="1"/>
      <c r="X10" s="1"/>
      <c r="Y10" s="1"/>
      <c r="Z10" s="1"/>
    </row>
    <row r="11" spans="1:26" ht="14.4">
      <c r="A11" s="1"/>
      <c r="B11" s="301"/>
      <c r="C11" s="388"/>
      <c r="D11" s="388"/>
      <c r="E11" s="388"/>
      <c r="F11" s="733"/>
      <c r="G11" s="1"/>
      <c r="H11" s="1"/>
      <c r="I11" s="1"/>
      <c r="J11" s="1"/>
      <c r="K11" s="1"/>
      <c r="L11" s="1"/>
      <c r="M11" s="1"/>
      <c r="N11" s="1"/>
      <c r="O11" s="1"/>
      <c r="P11" s="1"/>
      <c r="Q11" s="1"/>
      <c r="R11" s="1"/>
      <c r="S11" s="1"/>
      <c r="T11" s="1"/>
      <c r="U11" s="1"/>
      <c r="V11" s="1"/>
      <c r="W11" s="1"/>
      <c r="X11" s="1"/>
      <c r="Y11" s="1"/>
      <c r="Z11" s="1"/>
    </row>
    <row r="12" spans="1:26" ht="14.4">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30" customHeight="1">
      <c r="A13" s="1"/>
      <c r="B13" s="2245" t="s">
        <v>1300</v>
      </c>
      <c r="C13" s="2243"/>
      <c r="D13" s="2243"/>
      <c r="E13" s="2243"/>
      <c r="F13" s="2243"/>
      <c r="G13" s="2243"/>
      <c r="H13" s="2243"/>
      <c r="I13" s="2243"/>
      <c r="J13" s="1"/>
      <c r="K13" s="1"/>
      <c r="L13" s="1"/>
      <c r="M13" s="1"/>
      <c r="N13" s="1"/>
      <c r="O13" s="1"/>
      <c r="P13" s="1"/>
      <c r="Q13" s="1"/>
      <c r="R13" s="1"/>
      <c r="S13" s="1"/>
      <c r="T13" s="1"/>
      <c r="U13" s="1"/>
      <c r="V13" s="1"/>
      <c r="W13" s="1"/>
      <c r="X13" s="1"/>
      <c r="Y13" s="1"/>
      <c r="Z13" s="1"/>
    </row>
    <row r="14" spans="1:26" ht="14.4">
      <c r="A14" s="1"/>
      <c r="B14" s="1"/>
      <c r="C14" s="1624" t="s">
        <v>1301</v>
      </c>
      <c r="D14" s="1"/>
      <c r="E14" s="1"/>
      <c r="F14" s="1"/>
      <c r="G14" s="1"/>
      <c r="H14" s="1"/>
      <c r="I14" s="1"/>
      <c r="J14" s="1"/>
      <c r="K14" s="1"/>
      <c r="L14" s="1"/>
      <c r="M14" s="1"/>
      <c r="N14" s="1"/>
      <c r="O14" s="1"/>
      <c r="P14" s="1"/>
      <c r="Q14" s="1"/>
      <c r="R14" s="1"/>
      <c r="S14" s="1"/>
      <c r="T14" s="1"/>
      <c r="U14" s="1"/>
      <c r="V14" s="1"/>
      <c r="W14" s="1"/>
      <c r="X14" s="1"/>
      <c r="Y14" s="1"/>
      <c r="Z14" s="1"/>
    </row>
    <row r="15" spans="1:26" ht="12.75" customHeight="1">
      <c r="A15" s="1"/>
      <c r="B15" s="2245" t="s">
        <v>1302</v>
      </c>
      <c r="C15" s="2243"/>
      <c r="D15" s="2243"/>
      <c r="E15" s="2243"/>
      <c r="F15" s="2243"/>
      <c r="G15" s="2243"/>
      <c r="H15" s="2243"/>
      <c r="I15" s="2243"/>
      <c r="J15" s="1"/>
      <c r="K15" s="1"/>
      <c r="L15" s="1"/>
      <c r="M15" s="1"/>
      <c r="N15" s="1"/>
      <c r="O15" s="1"/>
      <c r="P15" s="1"/>
      <c r="Q15" s="1"/>
      <c r="R15" s="1"/>
      <c r="S15" s="1"/>
      <c r="T15" s="1"/>
      <c r="U15" s="1"/>
      <c r="V15" s="1"/>
      <c r="W15" s="1"/>
      <c r="X15" s="1"/>
      <c r="Y15" s="1"/>
      <c r="Z15" s="1"/>
    </row>
    <row r="16" spans="1:26" ht="14.4">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4">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4">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4">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4">
      <c r="A20" s="1"/>
      <c r="B20" s="1625" t="s">
        <v>1303</v>
      </c>
      <c r="C20" s="1625"/>
      <c r="D20" s="1626"/>
      <c r="E20" s="1626"/>
      <c r="F20" s="1626"/>
      <c r="G20" s="1"/>
      <c r="H20" s="1"/>
      <c r="I20" s="1"/>
      <c r="J20" s="1"/>
      <c r="K20" s="1"/>
      <c r="L20" s="1"/>
      <c r="M20" s="1"/>
      <c r="N20" s="1"/>
      <c r="O20" s="1"/>
      <c r="P20" s="1"/>
      <c r="Q20" s="1"/>
      <c r="R20" s="1"/>
      <c r="S20" s="1"/>
      <c r="T20" s="1"/>
      <c r="U20" s="1"/>
      <c r="V20" s="1"/>
      <c r="W20" s="1"/>
      <c r="X20" s="1"/>
      <c r="Y20" s="1"/>
      <c r="Z20" s="1"/>
    </row>
    <row r="21" spans="1:26" ht="15.75" customHeight="1">
      <c r="A21" s="1"/>
      <c r="B21" s="1"/>
      <c r="C21" s="2245"/>
      <c r="D21" s="2243"/>
      <c r="E21" s="2243"/>
      <c r="F21" s="2243"/>
      <c r="G21" s="1"/>
      <c r="H21" s="1"/>
      <c r="I21" s="1"/>
      <c r="J21" s="1"/>
      <c r="K21" s="1"/>
      <c r="L21" s="1"/>
      <c r="M21" s="1"/>
      <c r="N21" s="1"/>
      <c r="O21" s="1"/>
      <c r="P21" s="1"/>
      <c r="Q21" s="1"/>
      <c r="R21" s="1"/>
      <c r="S21" s="1"/>
      <c r="T21" s="1"/>
      <c r="U21" s="1"/>
      <c r="V21" s="1"/>
      <c r="W21" s="1"/>
      <c r="X21" s="1"/>
      <c r="Y21" s="1"/>
      <c r="Z21" s="1"/>
    </row>
    <row r="22" spans="1:26" ht="15.75" customHeight="1">
      <c r="A22" s="1"/>
      <c r="B22" s="817"/>
      <c r="C22" s="819" t="s">
        <v>1293</v>
      </c>
      <c r="D22" s="819" t="s">
        <v>881</v>
      </c>
      <c r="E22" s="819" t="s">
        <v>1304</v>
      </c>
      <c r="F22" s="820" t="s">
        <v>1305</v>
      </c>
      <c r="G22" s="46"/>
      <c r="H22" s="1"/>
      <c r="I22" s="1"/>
      <c r="J22" s="1"/>
      <c r="K22" s="1"/>
      <c r="L22" s="1"/>
      <c r="M22" s="1"/>
      <c r="N22" s="1"/>
      <c r="O22" s="1"/>
      <c r="P22" s="1"/>
      <c r="Q22" s="1"/>
      <c r="R22" s="1"/>
      <c r="S22" s="1"/>
      <c r="T22" s="1"/>
      <c r="U22" s="1"/>
      <c r="V22" s="1"/>
      <c r="W22" s="1"/>
      <c r="X22" s="1"/>
      <c r="Y22" s="1"/>
      <c r="Z22" s="1"/>
    </row>
    <row r="23" spans="1:26" ht="25.5" customHeight="1">
      <c r="A23" s="1"/>
      <c r="B23" s="1627" t="s">
        <v>1306</v>
      </c>
      <c r="C23" s="1"/>
      <c r="D23" s="1620" t="s">
        <v>1307</v>
      </c>
      <c r="E23" s="950"/>
      <c r="F23" s="1628"/>
      <c r="G23" s="950"/>
      <c r="H23" s="2237" t="s">
        <v>1</v>
      </c>
      <c r="I23" s="2238"/>
      <c r="J23" s="1"/>
      <c r="K23" s="1"/>
      <c r="L23" s="1"/>
      <c r="M23" s="1"/>
      <c r="N23" s="1"/>
      <c r="O23" s="1"/>
      <c r="P23" s="1"/>
      <c r="Q23" s="1"/>
      <c r="R23" s="1"/>
      <c r="S23" s="1"/>
      <c r="T23" s="1"/>
      <c r="U23" s="1"/>
      <c r="V23" s="1"/>
      <c r="W23" s="1"/>
      <c r="X23" s="1"/>
      <c r="Y23" s="1"/>
      <c r="Z23" s="1"/>
    </row>
    <row r="24" spans="1:26" ht="15.75" customHeight="1">
      <c r="A24" s="1"/>
      <c r="B24" s="1627"/>
      <c r="C24" s="1"/>
      <c r="D24" s="1"/>
      <c r="E24" s="408"/>
      <c r="F24" s="1629"/>
      <c r="G24" s="408"/>
      <c r="H24" s="52"/>
      <c r="I24" s="52"/>
      <c r="J24" s="1"/>
      <c r="K24" s="1"/>
      <c r="L24" s="1"/>
      <c r="M24" s="1"/>
      <c r="N24" s="1"/>
      <c r="O24" s="1"/>
      <c r="P24" s="1"/>
      <c r="Q24" s="1"/>
      <c r="R24" s="1"/>
      <c r="S24" s="1"/>
      <c r="T24" s="1"/>
      <c r="U24" s="1"/>
      <c r="V24" s="1"/>
      <c r="W24" s="1"/>
      <c r="X24" s="1"/>
      <c r="Y24" s="1"/>
      <c r="Z24" s="1"/>
    </row>
    <row r="25" spans="1:26" ht="30" customHeight="1">
      <c r="A25" s="1"/>
      <c r="B25" s="1630" t="s">
        <v>1308</v>
      </c>
      <c r="C25" s="809">
        <v>1422.17</v>
      </c>
      <c r="D25" s="793">
        <v>5.8037235656204409</v>
      </c>
      <c r="E25" s="810">
        <f t="shared" ref="E25:E28" si="1">C25*D25</f>
        <v>8253.8815433184227</v>
      </c>
      <c r="F25" s="1631">
        <f t="shared" ref="F25:F28" si="2">E25*$I$26/1000000</f>
        <v>0.23110868321291583</v>
      </c>
      <c r="G25" s="1632"/>
      <c r="H25" s="53" t="s">
        <v>80</v>
      </c>
      <c r="I25" s="54">
        <f>Summary!E4</f>
        <v>1</v>
      </c>
      <c r="J25" s="1"/>
      <c r="K25" s="1"/>
      <c r="L25" s="1"/>
      <c r="M25" s="1"/>
      <c r="N25" s="1"/>
      <c r="O25" s="1"/>
      <c r="P25" s="1"/>
      <c r="Q25" s="1"/>
      <c r="R25" s="1"/>
      <c r="S25" s="1"/>
      <c r="T25" s="1"/>
      <c r="U25" s="1"/>
      <c r="V25" s="1"/>
      <c r="W25" s="1"/>
      <c r="X25" s="1"/>
      <c r="Y25" s="1"/>
      <c r="Z25" s="1"/>
    </row>
    <row r="26" spans="1:26" ht="45" customHeight="1">
      <c r="A26" s="1"/>
      <c r="B26" s="1630" t="s">
        <v>1309</v>
      </c>
      <c r="C26" s="809">
        <v>491.27</v>
      </c>
      <c r="D26" s="793">
        <v>2.1221753994811778</v>
      </c>
      <c r="E26" s="809">
        <f t="shared" si="1"/>
        <v>1042.5611085031182</v>
      </c>
      <c r="F26" s="1631">
        <f t="shared" si="2"/>
        <v>2.9191711038087313E-2</v>
      </c>
      <c r="G26" s="1632"/>
      <c r="H26" s="53" t="s">
        <v>82</v>
      </c>
      <c r="I26" s="54">
        <f>Summary!E5</f>
        <v>28</v>
      </c>
      <c r="J26" s="1"/>
      <c r="K26" s="1"/>
      <c r="L26" s="1"/>
      <c r="M26" s="1"/>
      <c r="N26" s="1"/>
      <c r="O26" s="1"/>
      <c r="P26" s="1"/>
      <c r="Q26" s="1"/>
      <c r="R26" s="1"/>
      <c r="S26" s="1"/>
      <c r="T26" s="1"/>
      <c r="U26" s="1"/>
      <c r="V26" s="1"/>
      <c r="W26" s="1"/>
      <c r="X26" s="1"/>
      <c r="Y26" s="1"/>
      <c r="Z26" s="1"/>
    </row>
    <row r="27" spans="1:26" ht="30" customHeight="1">
      <c r="A27" s="1"/>
      <c r="B27" s="1630" t="s">
        <v>1310</v>
      </c>
      <c r="C27" s="809">
        <v>5263.38</v>
      </c>
      <c r="D27" s="793">
        <v>6.0046884276387047E-2</v>
      </c>
      <c r="E27" s="809">
        <f t="shared" si="1"/>
        <v>316.04956976265004</v>
      </c>
      <c r="F27" s="1631">
        <f t="shared" si="2"/>
        <v>8.8493879533541996E-3</v>
      </c>
      <c r="G27" s="1632"/>
      <c r="H27" s="53" t="s">
        <v>83</v>
      </c>
      <c r="I27" s="54">
        <f>Summary!E6</f>
        <v>265</v>
      </c>
      <c r="J27" s="1"/>
      <c r="K27" s="1"/>
      <c r="L27" s="1"/>
      <c r="M27" s="1"/>
      <c r="N27" s="1"/>
      <c r="O27" s="1"/>
      <c r="P27" s="1"/>
      <c r="Q27" s="1"/>
      <c r="R27" s="1"/>
      <c r="S27" s="1"/>
      <c r="T27" s="1"/>
      <c r="U27" s="1"/>
      <c r="V27" s="1"/>
      <c r="W27" s="1"/>
      <c r="X27" s="1"/>
      <c r="Y27" s="1"/>
      <c r="Z27" s="1"/>
    </row>
    <row r="28" spans="1:26" ht="30" customHeight="1">
      <c r="A28" s="1"/>
      <c r="B28" s="1630" t="s">
        <v>1311</v>
      </c>
      <c r="C28" s="809">
        <v>7165.39</v>
      </c>
      <c r="D28" s="793">
        <v>0.37164760100393374</v>
      </c>
      <c r="E28" s="809">
        <f t="shared" si="1"/>
        <v>2663.0000037575769</v>
      </c>
      <c r="F28" s="1631">
        <f t="shared" si="2"/>
        <v>7.456400010521215E-2</v>
      </c>
      <c r="G28" s="1632"/>
      <c r="H28" s="53" t="s">
        <v>85</v>
      </c>
      <c r="I28" s="54">
        <f>Summary!E7</f>
        <v>23500</v>
      </c>
      <c r="J28" s="1"/>
      <c r="K28" s="1"/>
      <c r="L28" s="1"/>
      <c r="M28" s="1"/>
      <c r="N28" s="1"/>
      <c r="O28" s="1"/>
      <c r="P28" s="1"/>
      <c r="Q28" s="1"/>
      <c r="R28" s="1"/>
      <c r="S28" s="1"/>
      <c r="T28" s="1"/>
      <c r="U28" s="1"/>
      <c r="V28" s="1"/>
      <c r="W28" s="1"/>
      <c r="X28" s="1"/>
      <c r="Y28" s="1"/>
      <c r="Z28" s="1"/>
    </row>
    <row r="29" spans="1:26" ht="15.75" customHeight="1">
      <c r="A29" s="1"/>
      <c r="B29" s="292"/>
      <c r="C29" s="1096"/>
      <c r="D29" s="1158"/>
      <c r="E29" s="1096"/>
      <c r="F29" s="1633"/>
      <c r="G29" s="1632"/>
      <c r="H29" s="53"/>
      <c r="I29" s="54"/>
      <c r="J29" s="1"/>
      <c r="K29" s="1"/>
      <c r="L29" s="1"/>
      <c r="M29" s="1"/>
      <c r="N29" s="1"/>
      <c r="O29" s="1"/>
      <c r="P29" s="1"/>
      <c r="Q29" s="1"/>
      <c r="R29" s="1"/>
      <c r="S29" s="1"/>
      <c r="T29" s="1"/>
      <c r="U29" s="1"/>
      <c r="V29" s="1"/>
      <c r="W29" s="1"/>
      <c r="X29" s="1"/>
      <c r="Y29" s="1"/>
      <c r="Z29" s="1"/>
    </row>
    <row r="30" spans="1:26" ht="15.75" customHeight="1">
      <c r="A30" s="1"/>
      <c r="B30" s="1627" t="s">
        <v>1312</v>
      </c>
      <c r="C30" s="1096"/>
      <c r="D30" s="1158"/>
      <c r="E30" s="1096"/>
      <c r="F30" s="1633"/>
      <c r="G30" s="1632"/>
      <c r="H30" s="1"/>
      <c r="I30" s="1"/>
      <c r="J30" s="1"/>
      <c r="K30" s="1"/>
      <c r="L30" s="1"/>
      <c r="M30" s="1"/>
      <c r="N30" s="1"/>
      <c r="O30" s="1"/>
      <c r="P30" s="1"/>
      <c r="Q30" s="1"/>
      <c r="R30" s="1"/>
      <c r="S30" s="1"/>
      <c r="T30" s="1"/>
      <c r="U30" s="1"/>
      <c r="V30" s="1"/>
      <c r="W30" s="1"/>
      <c r="X30" s="1"/>
      <c r="Y30" s="1"/>
      <c r="Z30" s="1"/>
    </row>
    <row r="31" spans="1:26" ht="15.75" customHeight="1">
      <c r="A31" s="1"/>
      <c r="B31" s="1630" t="s">
        <v>1313</v>
      </c>
      <c r="C31" s="809">
        <v>999889</v>
      </c>
      <c r="D31" s="793">
        <v>1.5267140136098032E-2</v>
      </c>
      <c r="E31" s="809">
        <f t="shared" ref="E31:E33" si="3">C31*D31</f>
        <v>15265.445483542926</v>
      </c>
      <c r="F31" s="1631">
        <f t="shared" ref="F31:F33" si="4">E31*$I$26/1000000</f>
        <v>0.42743247353920194</v>
      </c>
      <c r="G31" s="1632"/>
      <c r="H31" s="1"/>
      <c r="I31" s="1"/>
      <c r="J31" s="1"/>
      <c r="K31" s="1"/>
      <c r="L31" s="1"/>
      <c r="M31" s="1"/>
      <c r="N31" s="1"/>
      <c r="O31" s="1"/>
      <c r="P31" s="1"/>
      <c r="Q31" s="1"/>
      <c r="R31" s="1"/>
      <c r="S31" s="1"/>
      <c r="T31" s="1"/>
      <c r="U31" s="1"/>
      <c r="V31" s="1"/>
      <c r="W31" s="1"/>
      <c r="X31" s="1"/>
      <c r="Y31" s="1"/>
      <c r="Z31" s="1"/>
    </row>
    <row r="32" spans="1:26" ht="30" customHeight="1">
      <c r="A32" s="1"/>
      <c r="B32" s="1630" t="s">
        <v>1314</v>
      </c>
      <c r="C32" s="809">
        <v>109801</v>
      </c>
      <c r="D32" s="793">
        <v>3.2750300015441415E-2</v>
      </c>
      <c r="E32" s="809">
        <f t="shared" si="3"/>
        <v>3596.0156919954829</v>
      </c>
      <c r="F32" s="1631">
        <f t="shared" si="4"/>
        <v>0.10068843937587352</v>
      </c>
      <c r="G32" s="1632"/>
      <c r="H32" s="1"/>
      <c r="I32" s="1"/>
      <c r="J32" s="1"/>
      <c r="K32" s="1"/>
      <c r="L32" s="1"/>
      <c r="M32" s="1"/>
      <c r="N32" s="1"/>
      <c r="O32" s="1"/>
      <c r="P32" s="1"/>
      <c r="Q32" s="1"/>
      <c r="R32" s="1"/>
      <c r="S32" s="1"/>
      <c r="T32" s="1"/>
      <c r="U32" s="1"/>
      <c r="V32" s="1"/>
      <c r="W32" s="1"/>
      <c r="X32" s="1"/>
      <c r="Y32" s="1"/>
      <c r="Z32" s="1"/>
    </row>
    <row r="33" spans="1:26" ht="30" customHeight="1">
      <c r="A33" s="1"/>
      <c r="B33" s="1630" t="s">
        <v>1315</v>
      </c>
      <c r="C33" s="809">
        <v>146644</v>
      </c>
      <c r="D33" s="793">
        <v>3.4007868318860182E-3</v>
      </c>
      <c r="E33" s="809">
        <f t="shared" si="3"/>
        <v>498.70498417509327</v>
      </c>
      <c r="F33" s="1631">
        <f t="shared" si="4"/>
        <v>1.3963739556902612E-2</v>
      </c>
      <c r="G33" s="1632"/>
      <c r="H33" s="1"/>
      <c r="I33" s="1"/>
      <c r="J33" s="1"/>
      <c r="K33" s="1"/>
      <c r="L33" s="1"/>
      <c r="M33" s="1"/>
      <c r="N33" s="1"/>
      <c r="O33" s="1"/>
      <c r="P33" s="1"/>
      <c r="Q33" s="1"/>
      <c r="R33" s="1"/>
      <c r="S33" s="1"/>
      <c r="T33" s="1"/>
      <c r="U33" s="1"/>
      <c r="V33" s="1"/>
      <c r="W33" s="1"/>
      <c r="X33" s="1"/>
      <c r="Y33" s="1"/>
      <c r="Z33" s="1"/>
    </row>
    <row r="34" spans="1:26" ht="15.75" customHeight="1">
      <c r="A34" s="1"/>
      <c r="B34" s="1634" t="s">
        <v>1299</v>
      </c>
      <c r="C34" s="388"/>
      <c r="D34" s="388"/>
      <c r="E34" s="1635">
        <f t="shared" ref="E34:F34" si="5">SUM(E25:E33)</f>
        <v>31635.658385055271</v>
      </c>
      <c r="F34" s="1636">
        <f t="shared" si="5"/>
        <v>0.88579843478154763</v>
      </c>
      <c r="G34" s="1637"/>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c r="A36" s="1"/>
      <c r="B36" s="2245" t="s">
        <v>1316</v>
      </c>
      <c r="C36" s="2243"/>
      <c r="D36" s="2243"/>
      <c r="E36" s="2243"/>
      <c r="F36" s="2243"/>
      <c r="G36" s="2243"/>
      <c r="H36" s="2243"/>
      <c r="I36" s="2243"/>
      <c r="J36" s="1"/>
      <c r="K36" s="1"/>
      <c r="L36" s="1"/>
      <c r="M36" s="1"/>
      <c r="N36" s="1"/>
      <c r="O36" s="1"/>
      <c r="P36" s="1"/>
      <c r="Q36" s="1"/>
      <c r="R36" s="1"/>
      <c r="S36" s="1"/>
      <c r="T36" s="1"/>
      <c r="U36" s="1"/>
      <c r="V36" s="1"/>
      <c r="W36" s="1"/>
      <c r="X36" s="1"/>
      <c r="Y36" s="1"/>
      <c r="Z36" s="1"/>
    </row>
    <row r="37" spans="1:26" ht="15.75" customHeight="1">
      <c r="A37" s="1"/>
      <c r="B37" s="1238"/>
      <c r="C37" s="1238"/>
      <c r="D37" s="1238"/>
      <c r="E37" s="1238"/>
      <c r="F37" s="1238"/>
      <c r="G37" s="1238"/>
      <c r="H37" s="1238"/>
      <c r="I37" s="1238"/>
      <c r="J37" s="1"/>
      <c r="K37" s="1"/>
      <c r="L37" s="1"/>
      <c r="M37" s="1"/>
      <c r="N37" s="1"/>
      <c r="O37" s="1"/>
      <c r="P37" s="1"/>
      <c r="Q37" s="1"/>
      <c r="R37" s="1"/>
      <c r="S37" s="1"/>
      <c r="T37" s="1"/>
      <c r="U37" s="1"/>
      <c r="V37" s="1"/>
      <c r="W37" s="1"/>
      <c r="X37" s="1"/>
      <c r="Y37" s="1"/>
      <c r="Z37" s="1"/>
    </row>
    <row r="38" spans="1:26" ht="12.75" customHeight="1">
      <c r="A38" s="1"/>
      <c r="B38" s="2245" t="s">
        <v>1317</v>
      </c>
      <c r="C38" s="2243"/>
      <c r="D38" s="2243"/>
      <c r="E38" s="2243"/>
      <c r="F38" s="2243"/>
      <c r="G38" s="2243"/>
      <c r="H38" s="2243"/>
      <c r="I38" s="2243"/>
      <c r="J38" s="1"/>
      <c r="K38" s="1"/>
      <c r="L38" s="1"/>
      <c r="M38" s="1"/>
      <c r="N38" s="1"/>
      <c r="O38" s="1"/>
      <c r="P38" s="1"/>
      <c r="Q38" s="1"/>
      <c r="R38" s="1"/>
      <c r="S38" s="1"/>
      <c r="T38" s="1"/>
      <c r="U38" s="1"/>
      <c r="V38" s="1"/>
      <c r="W38" s="1"/>
      <c r="X38" s="1"/>
      <c r="Y38" s="1"/>
      <c r="Z38" s="1"/>
    </row>
    <row r="39" spans="1:26" ht="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638" t="s">
        <v>1318</v>
      </c>
      <c r="C43" s="1638"/>
      <c r="D43" s="1638"/>
      <c r="E43" s="1639"/>
      <c r="F43" s="1640"/>
      <c r="G43" s="50"/>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50"/>
      <c r="F44" s="1"/>
      <c r="G44" s="50"/>
      <c r="H44" s="1"/>
      <c r="I44" s="1"/>
      <c r="J44" s="1"/>
      <c r="K44" s="1"/>
      <c r="L44" s="1"/>
      <c r="M44" s="1"/>
      <c r="N44" s="1"/>
      <c r="O44" s="1"/>
      <c r="P44" s="1"/>
      <c r="Q44" s="1"/>
      <c r="R44" s="1"/>
      <c r="S44" s="1"/>
      <c r="T44" s="1"/>
      <c r="U44" s="1"/>
      <c r="V44" s="1"/>
      <c r="W44" s="1"/>
      <c r="X44" s="1"/>
      <c r="Y44" s="1"/>
      <c r="Z44" s="1"/>
    </row>
    <row r="45" spans="1:26" ht="15.75" customHeight="1">
      <c r="A45" s="1"/>
      <c r="B45" s="817"/>
      <c r="C45" s="819" t="s">
        <v>1293</v>
      </c>
      <c r="D45" s="833" t="s">
        <v>881</v>
      </c>
      <c r="E45" s="819" t="s">
        <v>1319</v>
      </c>
      <c r="F45" s="820" t="s">
        <v>1320</v>
      </c>
      <c r="G45" s="50"/>
      <c r="H45" s="1"/>
      <c r="I45" s="50"/>
      <c r="J45" s="1"/>
      <c r="K45" s="1"/>
      <c r="L45" s="1"/>
      <c r="M45" s="1"/>
      <c r="N45" s="1"/>
      <c r="O45" s="1"/>
      <c r="P45" s="1"/>
      <c r="Q45" s="1"/>
      <c r="R45" s="1"/>
      <c r="S45" s="1"/>
      <c r="T45" s="1"/>
      <c r="U45" s="1"/>
      <c r="V45" s="1"/>
      <c r="W45" s="1"/>
      <c r="X45" s="1"/>
      <c r="Y45" s="1"/>
      <c r="Z45" s="1"/>
    </row>
    <row r="46" spans="1:26" ht="12.75" customHeight="1">
      <c r="A46" s="1"/>
      <c r="B46" s="292"/>
      <c r="C46" s="1"/>
      <c r="D46" s="2281" t="s">
        <v>1321</v>
      </c>
      <c r="E46" s="1"/>
      <c r="F46" s="728"/>
      <c r="G46" s="50"/>
      <c r="H46" s="1"/>
      <c r="I46" s="50"/>
      <c r="J46" s="1"/>
      <c r="K46" s="1"/>
      <c r="L46" s="1"/>
      <c r="M46" s="1"/>
      <c r="N46" s="1"/>
      <c r="O46" s="1"/>
      <c r="P46" s="1"/>
      <c r="Q46" s="1"/>
      <c r="R46" s="1"/>
      <c r="S46" s="1"/>
      <c r="T46" s="1"/>
      <c r="U46" s="1"/>
      <c r="V46" s="1"/>
      <c r="W46" s="1"/>
      <c r="X46" s="1"/>
      <c r="Y46" s="1"/>
      <c r="Z46" s="1"/>
    </row>
    <row r="47" spans="1:26" ht="15.75" customHeight="1">
      <c r="A47" s="1"/>
      <c r="B47" s="292"/>
      <c r="C47" s="254"/>
      <c r="D47" s="2282"/>
      <c r="E47" s="254"/>
      <c r="F47" s="1641"/>
      <c r="G47" s="50"/>
      <c r="H47" s="1"/>
      <c r="I47" s="1175"/>
      <c r="J47" s="1"/>
      <c r="K47" s="1"/>
      <c r="L47" s="1"/>
      <c r="M47" s="1"/>
      <c r="N47" s="1"/>
      <c r="O47" s="1"/>
      <c r="P47" s="1"/>
      <c r="Q47" s="1"/>
      <c r="R47" s="1"/>
      <c r="S47" s="1"/>
      <c r="T47" s="1"/>
      <c r="U47" s="1"/>
      <c r="V47" s="1"/>
      <c r="W47" s="1"/>
      <c r="X47" s="1"/>
      <c r="Y47" s="1"/>
      <c r="Z47" s="1"/>
    </row>
    <row r="48" spans="1:26" ht="30" customHeight="1">
      <c r="A48" s="1"/>
      <c r="B48" s="1302" t="s">
        <v>1322</v>
      </c>
      <c r="C48" s="49">
        <v>171.09899999999999</v>
      </c>
      <c r="D48" s="1642">
        <v>0.61847932799999994</v>
      </c>
      <c r="E48" s="49">
        <f t="shared" ref="E48:E50" si="6">C48*D48</f>
        <v>105.82119454147198</v>
      </c>
      <c r="F48" s="1621">
        <f t="shared" ref="F48:F50" si="7">E48*$I$26/1000000</f>
        <v>2.9629934471612153E-3</v>
      </c>
      <c r="G48" s="50"/>
      <c r="H48" s="1"/>
      <c r="I48" s="1175"/>
      <c r="J48" s="1"/>
      <c r="K48" s="1"/>
      <c r="L48" s="1"/>
      <c r="M48" s="1"/>
      <c r="N48" s="1"/>
      <c r="O48" s="1"/>
      <c r="P48" s="1"/>
      <c r="Q48" s="1"/>
      <c r="R48" s="1"/>
      <c r="S48" s="1"/>
      <c r="T48" s="1"/>
      <c r="U48" s="1"/>
      <c r="V48" s="1"/>
      <c r="W48" s="1"/>
      <c r="X48" s="1"/>
      <c r="Y48" s="1"/>
      <c r="Z48" s="1"/>
    </row>
    <row r="49" spans="1:26" ht="45" customHeight="1">
      <c r="A49" s="1"/>
      <c r="B49" s="1302" t="s">
        <v>1323</v>
      </c>
      <c r="C49" s="49">
        <f>C48*0.006</f>
        <v>1.026594</v>
      </c>
      <c r="D49" s="66">
        <v>983.65967615375553</v>
      </c>
      <c r="E49" s="49">
        <f t="shared" si="6"/>
        <v>1009.8191215813885</v>
      </c>
      <c r="F49" s="1621">
        <f t="shared" si="7"/>
        <v>2.8274935404278875E-2</v>
      </c>
      <c r="G49" s="50"/>
      <c r="H49" s="1"/>
      <c r="I49" s="1175"/>
      <c r="J49" s="1"/>
      <c r="K49" s="1"/>
      <c r="L49" s="1"/>
      <c r="M49" s="1"/>
      <c r="N49" s="1"/>
      <c r="O49" s="1"/>
      <c r="P49" s="1"/>
      <c r="Q49" s="1"/>
      <c r="R49" s="1"/>
      <c r="S49" s="1"/>
      <c r="T49" s="1"/>
      <c r="U49" s="1"/>
      <c r="V49" s="1"/>
      <c r="W49" s="1"/>
      <c r="X49" s="1"/>
      <c r="Y49" s="1"/>
      <c r="Z49" s="1"/>
    </row>
    <row r="50" spans="1:26" ht="30" customHeight="1">
      <c r="A50" s="1"/>
      <c r="B50" s="1302" t="s">
        <v>1324</v>
      </c>
      <c r="C50" s="49">
        <f>C48*0.0015</f>
        <v>0.2566485</v>
      </c>
      <c r="D50" s="66">
        <v>964.14925058889139</v>
      </c>
      <c r="E50" s="49">
        <f t="shared" si="6"/>
        <v>247.4474589397631</v>
      </c>
      <c r="F50" s="1621">
        <f t="shared" si="7"/>
        <v>6.9285288503133672E-3</v>
      </c>
      <c r="G50" s="50"/>
      <c r="H50" s="1"/>
      <c r="I50" s="1175"/>
      <c r="J50" s="1"/>
      <c r="K50" s="1"/>
      <c r="L50" s="1"/>
      <c r="M50" s="1"/>
      <c r="N50" s="1"/>
      <c r="O50" s="1"/>
      <c r="P50" s="1"/>
      <c r="Q50" s="1"/>
      <c r="R50" s="1"/>
      <c r="S50" s="1"/>
      <c r="T50" s="1"/>
      <c r="U50" s="1"/>
      <c r="V50" s="1"/>
      <c r="W50" s="1"/>
      <c r="X50" s="1"/>
      <c r="Y50" s="1"/>
      <c r="Z50" s="1"/>
    </row>
    <row r="51" spans="1:26" ht="15.75" customHeight="1">
      <c r="A51" s="1"/>
      <c r="B51" s="269" t="s">
        <v>1299</v>
      </c>
      <c r="C51" s="1"/>
      <c r="D51" s="1"/>
      <c r="E51" s="1568">
        <f>SUM(E47:E50)</f>
        <v>1363.0877750626235</v>
      </c>
      <c r="F51" s="1623">
        <f>SUM(F48:F50)</f>
        <v>3.8166457701753455E-2</v>
      </c>
      <c r="G51" s="50"/>
      <c r="H51" s="1"/>
      <c r="I51" s="1643"/>
      <c r="J51" s="1"/>
      <c r="K51" s="1"/>
      <c r="L51" s="1"/>
      <c r="M51" s="1"/>
      <c r="N51" s="1"/>
      <c r="O51" s="1"/>
      <c r="P51" s="1"/>
      <c r="Q51" s="1"/>
      <c r="R51" s="1"/>
      <c r="S51" s="1"/>
      <c r="T51" s="1"/>
      <c r="U51" s="1"/>
      <c r="V51" s="1"/>
      <c r="W51" s="1"/>
      <c r="X51" s="1"/>
      <c r="Y51" s="1"/>
      <c r="Z51" s="1"/>
    </row>
    <row r="52" spans="1:26" ht="15.75" customHeight="1">
      <c r="A52" s="1"/>
      <c r="B52" s="301"/>
      <c r="C52" s="388"/>
      <c r="D52" s="388"/>
      <c r="E52" s="388"/>
      <c r="F52" s="733"/>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2245" t="s">
        <v>1325</v>
      </c>
      <c r="C54" s="2243"/>
      <c r="D54" s="2243"/>
      <c r="E54" s="2243"/>
      <c r="F54" s="2243"/>
      <c r="G54" s="2243"/>
      <c r="H54" s="2243"/>
      <c r="I54" s="2243"/>
      <c r="J54" s="1"/>
      <c r="K54" s="1"/>
      <c r="L54" s="1"/>
      <c r="M54" s="1"/>
      <c r="N54" s="1"/>
      <c r="O54" s="1"/>
      <c r="P54" s="1"/>
      <c r="Q54" s="1"/>
      <c r="R54" s="1"/>
      <c r="S54" s="1"/>
      <c r="T54" s="1"/>
      <c r="U54" s="1"/>
      <c r="V54" s="1"/>
      <c r="W54" s="1"/>
      <c r="X54" s="1"/>
      <c r="Y54" s="1"/>
      <c r="Z54" s="1"/>
    </row>
    <row r="55" spans="1:26" ht="12.75" customHeight="1">
      <c r="A55" s="1"/>
      <c r="B55" s="2245" t="s">
        <v>1326</v>
      </c>
      <c r="C55" s="2243"/>
      <c r="D55" s="2243"/>
      <c r="E55" s="2243"/>
      <c r="F55" s="2243"/>
      <c r="G55" s="2243"/>
      <c r="H55" s="2243"/>
      <c r="I55" s="2243"/>
      <c r="J55" s="1"/>
      <c r="K55" s="1"/>
      <c r="L55" s="1"/>
      <c r="M55" s="1"/>
      <c r="N55" s="1"/>
      <c r="O55" s="1"/>
      <c r="P55" s="1"/>
      <c r="Q55" s="1"/>
      <c r="R55" s="1"/>
      <c r="S55" s="1"/>
      <c r="T55" s="1"/>
      <c r="U55" s="1"/>
      <c r="V55" s="1"/>
      <c r="W55" s="1"/>
      <c r="X55" s="1"/>
      <c r="Y55" s="1"/>
      <c r="Z55" s="1"/>
    </row>
    <row r="56" spans="1:26" ht="12.75" customHeight="1">
      <c r="A56" s="1"/>
      <c r="B56" s="2245" t="s">
        <v>1327</v>
      </c>
      <c r="C56" s="2243"/>
      <c r="D56" s="2243"/>
      <c r="E56" s="2243"/>
      <c r="F56" s="2243"/>
      <c r="G56" s="2243"/>
      <c r="H56" s="2243"/>
      <c r="I56" s="2243"/>
      <c r="J56" s="1"/>
      <c r="K56" s="1"/>
      <c r="L56" s="1"/>
      <c r="M56" s="1"/>
      <c r="N56" s="1"/>
      <c r="O56" s="1"/>
      <c r="P56" s="1"/>
      <c r="Q56" s="1"/>
      <c r="R56" s="1"/>
      <c r="S56" s="1"/>
      <c r="T56" s="1"/>
      <c r="U56" s="1"/>
      <c r="V56" s="1"/>
      <c r="W56" s="1"/>
      <c r="X56" s="1"/>
      <c r="Y56" s="1"/>
      <c r="Z56" s="1"/>
    </row>
    <row r="57" spans="1:26" ht="12.75" customHeight="1">
      <c r="A57" s="1"/>
      <c r="B57" s="2245" t="s">
        <v>1328</v>
      </c>
      <c r="C57" s="2243"/>
      <c r="D57" s="2243"/>
      <c r="E57" s="2243"/>
      <c r="F57" s="2243"/>
      <c r="G57" s="2243"/>
      <c r="H57" s="2243"/>
      <c r="I57" s="2243"/>
      <c r="J57" s="1"/>
      <c r="K57" s="1"/>
      <c r="L57" s="1"/>
      <c r="M57" s="1"/>
      <c r="N57" s="1"/>
      <c r="O57" s="1"/>
      <c r="P57" s="1"/>
      <c r="Q57" s="1"/>
      <c r="R57" s="1"/>
      <c r="S57" s="1"/>
      <c r="T57" s="1"/>
      <c r="U57" s="1"/>
      <c r="V57" s="1"/>
      <c r="W57" s="1"/>
      <c r="X57" s="1"/>
      <c r="Y57" s="1"/>
      <c r="Z57" s="1"/>
    </row>
    <row r="58" spans="1:26" ht="12.75" customHeight="1">
      <c r="A58" s="1"/>
      <c r="B58" s="2245" t="s">
        <v>1329</v>
      </c>
      <c r="C58" s="2243"/>
      <c r="D58" s="2243"/>
      <c r="E58" s="2243"/>
      <c r="F58" s="2243"/>
      <c r="G58" s="2243"/>
      <c r="H58" s="2243"/>
      <c r="I58" s="2243"/>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625" t="s">
        <v>1330</v>
      </c>
      <c r="C65" s="1625"/>
      <c r="D65" s="1626"/>
      <c r="E65" s="1626"/>
      <c r="F65" s="1626"/>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34"/>
      <c r="C67" s="1216">
        <v>2011</v>
      </c>
      <c r="D67" s="2279" t="s">
        <v>1331</v>
      </c>
      <c r="E67" s="2280"/>
      <c r="F67" s="2256"/>
      <c r="G67" s="1645" t="s">
        <v>1332</v>
      </c>
      <c r="H67" s="274" t="s">
        <v>1333</v>
      </c>
      <c r="I67" s="375" t="s">
        <v>1334</v>
      </c>
      <c r="J67" s="375" t="s">
        <v>1335</v>
      </c>
      <c r="K67" s="1646" t="s">
        <v>1336</v>
      </c>
      <c r="L67" s="1"/>
      <c r="M67" s="1"/>
      <c r="N67" s="1"/>
      <c r="O67" s="1"/>
      <c r="P67" s="1"/>
      <c r="Q67" s="1"/>
      <c r="R67" s="1"/>
      <c r="S67" s="1"/>
      <c r="T67" s="1"/>
      <c r="U67" s="1"/>
      <c r="V67" s="1"/>
      <c r="W67" s="1"/>
      <c r="X67" s="1"/>
      <c r="Y67" s="1"/>
      <c r="Z67" s="1"/>
    </row>
    <row r="68" spans="1:26" ht="15.75" customHeight="1">
      <c r="A68" s="1"/>
      <c r="B68" s="1647" t="s">
        <v>1337</v>
      </c>
      <c r="C68" s="242" t="s">
        <v>1338</v>
      </c>
      <c r="D68" s="274" t="s">
        <v>1339</v>
      </c>
      <c r="E68" s="274" t="s">
        <v>1340</v>
      </c>
      <c r="F68" s="274" t="s">
        <v>1341</v>
      </c>
      <c r="G68" s="46" t="s">
        <v>886</v>
      </c>
      <c r="H68" s="243" t="s">
        <v>1342</v>
      </c>
      <c r="I68" s="41" t="s">
        <v>1343</v>
      </c>
      <c r="J68" s="41" t="s">
        <v>1344</v>
      </c>
      <c r="K68" s="48"/>
      <c r="L68" s="1"/>
      <c r="M68" s="1"/>
      <c r="N68" s="1"/>
      <c r="O68" s="1"/>
      <c r="P68" s="1"/>
      <c r="Q68" s="1"/>
      <c r="R68" s="1"/>
      <c r="S68" s="1"/>
      <c r="T68" s="1"/>
      <c r="U68" s="1"/>
      <c r="V68" s="1"/>
      <c r="W68" s="1"/>
      <c r="X68" s="1"/>
      <c r="Y68" s="1"/>
      <c r="Z68" s="1"/>
    </row>
    <row r="69" spans="1:26" ht="15.75" customHeight="1">
      <c r="A69" s="1"/>
      <c r="B69" s="38"/>
      <c r="C69" s="501"/>
      <c r="D69" s="501" t="s">
        <v>1345</v>
      </c>
      <c r="E69" s="501" t="s">
        <v>1346</v>
      </c>
      <c r="F69" s="501" t="s">
        <v>1346</v>
      </c>
      <c r="G69" s="1648"/>
      <c r="H69" s="501"/>
      <c r="I69" s="39"/>
      <c r="J69" s="39"/>
      <c r="K69" s="56"/>
      <c r="L69" s="1"/>
      <c r="M69" s="1"/>
      <c r="N69" s="1"/>
      <c r="O69" s="1"/>
      <c r="P69" s="1"/>
      <c r="Q69" s="1"/>
      <c r="R69" s="1"/>
      <c r="S69" s="1"/>
      <c r="T69" s="1"/>
      <c r="U69" s="1"/>
      <c r="V69" s="1"/>
      <c r="W69" s="1"/>
      <c r="X69" s="1"/>
      <c r="Y69" s="1"/>
      <c r="Z69" s="1"/>
    </row>
    <row r="70" spans="1:26" ht="15.75" customHeight="1">
      <c r="A70" s="1"/>
      <c r="B70" s="371" t="s">
        <v>1347</v>
      </c>
      <c r="C70" s="646">
        <v>6172</v>
      </c>
      <c r="D70" s="641">
        <v>31.87</v>
      </c>
      <c r="E70" s="1649">
        <v>9.4955026735800017E-5</v>
      </c>
      <c r="F70" s="1649">
        <v>9.4955026735800007E-4</v>
      </c>
      <c r="G70" s="1650">
        <v>1</v>
      </c>
      <c r="H70" s="1651">
        <f>C70*1000*D70*(44/12)*0.00045359237*0.90718/1000000</f>
        <v>0.2967827255443754</v>
      </c>
      <c r="I70" s="1652">
        <f>C70*E70*$I$27*0.000001</f>
        <v>1.5530654262853981E-4</v>
      </c>
      <c r="J70" s="1653">
        <f>C70*F70*$I$26*0.000001</f>
        <v>1.6409747900374014E-4</v>
      </c>
      <c r="K70" s="1654">
        <f>H70+I70+J70</f>
        <v>0.29710212956600768</v>
      </c>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t="s">
        <v>1348</v>
      </c>
      <c r="C72" s="254">
        <f>C70*1000</f>
        <v>6172000</v>
      </c>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t="s">
        <v>1349</v>
      </c>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2245" t="s">
        <v>1350</v>
      </c>
      <c r="C77" s="2243"/>
      <c r="D77" s="2243"/>
      <c r="E77" s="2243"/>
      <c r="F77" s="2243"/>
      <c r="G77" s="2243"/>
      <c r="H77" s="2243"/>
      <c r="I77" s="2243"/>
      <c r="J77" s="1"/>
      <c r="K77" s="1"/>
      <c r="L77" s="1"/>
      <c r="M77" s="1"/>
      <c r="N77" s="1"/>
      <c r="O77" s="1"/>
      <c r="P77" s="1"/>
      <c r="Q77" s="1"/>
      <c r="R77" s="1"/>
      <c r="S77" s="1"/>
      <c r="T77" s="1"/>
      <c r="U77" s="1"/>
      <c r="V77" s="1"/>
      <c r="W77" s="1"/>
      <c r="X77" s="1"/>
      <c r="Y77" s="1"/>
      <c r="Z77" s="1"/>
    </row>
    <row r="78" spans="1:26" ht="15.75" customHeight="1">
      <c r="A78" s="1"/>
      <c r="B78" s="1238"/>
      <c r="C78" s="1238"/>
      <c r="D78" s="1238"/>
      <c r="E78" s="1238"/>
      <c r="F78" s="1238"/>
      <c r="G78" s="1238"/>
      <c r="H78" s="1238"/>
      <c r="I78" s="1238"/>
      <c r="J78" s="1"/>
      <c r="K78" s="1"/>
      <c r="L78" s="1"/>
      <c r="M78" s="1"/>
      <c r="N78" s="1"/>
      <c r="O78" s="1"/>
      <c r="P78" s="1"/>
      <c r="Q78" s="1"/>
      <c r="R78" s="1"/>
      <c r="S78" s="1"/>
      <c r="T78" s="1"/>
      <c r="U78" s="1"/>
      <c r="V78" s="1"/>
      <c r="W78" s="1"/>
      <c r="X78" s="1"/>
      <c r="Y78" s="1"/>
      <c r="Z78" s="1"/>
    </row>
    <row r="79" spans="1:26" ht="15.75" customHeight="1">
      <c r="A79" s="1"/>
      <c r="B79" s="1238"/>
      <c r="C79" s="1238"/>
      <c r="D79" s="1238"/>
      <c r="E79" s="1238"/>
      <c r="F79" s="1238"/>
      <c r="G79" s="1238"/>
      <c r="H79" s="1238"/>
      <c r="I79" s="1238"/>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655" t="s">
        <v>1351</v>
      </c>
      <c r="C81" s="1656"/>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657"/>
      <c r="C82" s="1658">
        <v>2011</v>
      </c>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292" t="s">
        <v>295</v>
      </c>
      <c r="C83" s="1659">
        <f>C84+C85+C86+C87</f>
        <v>1.2219859085317626</v>
      </c>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660" t="s">
        <v>1352</v>
      </c>
      <c r="C84" s="1661">
        <f>F10</f>
        <v>9.1888648245384938E-4</v>
      </c>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660" t="s">
        <v>1353</v>
      </c>
      <c r="C85" s="1661">
        <f>F51</f>
        <v>3.8166457701753455E-2</v>
      </c>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660" t="s">
        <v>1354</v>
      </c>
      <c r="C86" s="1661">
        <f>F34</f>
        <v>0.88579843478154763</v>
      </c>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292" t="s">
        <v>1355</v>
      </c>
      <c r="C87" s="1661">
        <f>K70</f>
        <v>0.29710212956600768</v>
      </c>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301"/>
      <c r="C88" s="733"/>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D67:F67"/>
    <mergeCell ref="B77:I77"/>
    <mergeCell ref="B13:I13"/>
    <mergeCell ref="B15:I15"/>
    <mergeCell ref="C21:F21"/>
    <mergeCell ref="H23:I23"/>
    <mergeCell ref="B36:I36"/>
    <mergeCell ref="B38:I38"/>
    <mergeCell ref="D46:D47"/>
    <mergeCell ref="B54:I54"/>
    <mergeCell ref="B55:I55"/>
    <mergeCell ref="B56:I56"/>
    <mergeCell ref="B57:I57"/>
    <mergeCell ref="B58:I58"/>
  </mergeCells>
  <hyperlinks>
    <hyperlink ref="C14" r:id="rId1" xr:uid="{00000000-0004-0000-1200-000000000000}"/>
  </hyperlinks>
  <pageMargins left="0.7" right="0.7" top="0.75" bottom="0.75" header="0" footer="0"/>
  <pageSetup orientation="landscape"/>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6.85546875" defaultRowHeight="15" customHeight="1"/>
  <cols>
    <col min="1" max="1" width="4.7109375" customWidth="1"/>
    <col min="2" max="2" width="26.7109375" customWidth="1"/>
    <col min="3" max="3" width="23.42578125" customWidth="1"/>
    <col min="4" max="4" width="19" customWidth="1"/>
    <col min="5" max="5" width="3.85546875" customWidth="1"/>
    <col min="6" max="6" width="13.85546875" customWidth="1"/>
    <col min="7" max="7" width="3.85546875" customWidth="1"/>
    <col min="8" max="8" width="18.85546875" customWidth="1"/>
    <col min="9" max="9" width="3.85546875" customWidth="1"/>
    <col min="10" max="10" width="10.7109375" customWidth="1"/>
    <col min="11" max="11" width="3.85546875" customWidth="1"/>
    <col min="12" max="12" width="12.85546875" customWidth="1"/>
    <col min="13" max="13" width="3.85546875" customWidth="1"/>
    <col min="14" max="14" width="10.28515625" customWidth="1"/>
    <col min="15" max="16" width="9.28515625" customWidth="1"/>
    <col min="17" max="17" width="12.140625" customWidth="1"/>
    <col min="18" max="19" width="9.28515625" customWidth="1"/>
    <col min="20" max="26" width="8" customWidth="1"/>
  </cols>
  <sheetData>
    <row r="1" spans="1:26" ht="14.4">
      <c r="A1" s="1" t="s">
        <v>1356</v>
      </c>
      <c r="B1" s="403"/>
      <c r="C1" s="1"/>
      <c r="D1" s="42"/>
      <c r="E1" s="1"/>
      <c r="F1" s="1"/>
      <c r="G1" s="1"/>
      <c r="H1" s="1"/>
      <c r="I1" s="1"/>
      <c r="J1" s="1"/>
      <c r="K1" s="1"/>
      <c r="L1" s="1"/>
      <c r="M1" s="1"/>
      <c r="N1" s="1"/>
      <c r="O1" s="1"/>
      <c r="P1" s="1"/>
      <c r="Q1" s="1"/>
      <c r="R1" s="1"/>
      <c r="S1" s="1"/>
      <c r="T1" s="1"/>
      <c r="U1" s="1"/>
      <c r="V1" s="1"/>
      <c r="W1" s="1"/>
      <c r="X1" s="1"/>
      <c r="Y1" s="1"/>
      <c r="Z1" s="1"/>
    </row>
    <row r="2" spans="1:26" ht="206.25" customHeight="1">
      <c r="A2" s="41"/>
      <c r="B2" s="1662"/>
      <c r="C2" s="1"/>
      <c r="D2" s="1"/>
      <c r="E2" s="1"/>
      <c r="F2" s="1"/>
      <c r="G2" s="1"/>
      <c r="H2" s="1"/>
      <c r="I2" s="1"/>
      <c r="J2" s="1"/>
      <c r="K2" s="1"/>
      <c r="L2" s="1"/>
      <c r="M2" s="1"/>
      <c r="N2" s="1"/>
      <c r="O2" s="1"/>
      <c r="P2" s="1"/>
      <c r="Q2" s="1"/>
      <c r="R2" s="1"/>
      <c r="S2" s="1"/>
      <c r="T2" s="1"/>
      <c r="U2" s="1"/>
      <c r="V2" s="1"/>
      <c r="W2" s="1"/>
      <c r="X2" s="1"/>
      <c r="Y2" s="1"/>
      <c r="Z2" s="1"/>
    </row>
    <row r="3" spans="1:26" ht="20.25" customHeight="1">
      <c r="A3" s="1"/>
      <c r="B3" s="1" t="s">
        <v>1357</v>
      </c>
      <c r="C3" s="1"/>
      <c r="D3" s="1"/>
      <c r="E3" s="1"/>
      <c r="F3" s="1"/>
      <c r="G3" s="1"/>
      <c r="H3" s="1"/>
      <c r="I3" s="1"/>
      <c r="J3" s="1"/>
      <c r="K3" s="1"/>
      <c r="L3" s="1"/>
      <c r="M3" s="1"/>
      <c r="N3" s="1"/>
      <c r="O3" s="1"/>
      <c r="P3" s="1"/>
      <c r="Q3" s="1"/>
      <c r="R3" s="1"/>
      <c r="S3" s="1"/>
      <c r="T3" s="1"/>
      <c r="U3" s="1"/>
      <c r="V3" s="1"/>
      <c r="W3" s="1"/>
      <c r="X3" s="1"/>
      <c r="Y3" s="1"/>
      <c r="Z3" s="1"/>
    </row>
    <row r="4" spans="1:26" ht="90" customHeight="1">
      <c r="A4" s="1663"/>
      <c r="B4" s="1664" t="s">
        <v>1358</v>
      </c>
      <c r="C4" s="1665" t="s">
        <v>1359</v>
      </c>
      <c r="D4" s="1665" t="s">
        <v>1360</v>
      </c>
      <c r="E4" s="1665"/>
      <c r="F4" s="1665" t="s">
        <v>1361</v>
      </c>
      <c r="G4" s="1665"/>
      <c r="H4" s="1665" t="s">
        <v>1362</v>
      </c>
      <c r="I4" s="916"/>
      <c r="J4" s="1665" t="s">
        <v>1363</v>
      </c>
      <c r="K4" s="916"/>
      <c r="L4" s="1665" t="s">
        <v>1364</v>
      </c>
      <c r="M4" s="256"/>
      <c r="N4" s="1666" t="s">
        <v>1365</v>
      </c>
      <c r="O4" s="1"/>
      <c r="P4" s="1"/>
      <c r="Q4" s="950" t="s">
        <v>1366</v>
      </c>
      <c r="R4" s="1"/>
      <c r="S4" s="1"/>
      <c r="T4" s="1"/>
      <c r="U4" s="1"/>
      <c r="V4" s="1"/>
      <c r="W4" s="1"/>
      <c r="X4" s="1"/>
      <c r="Y4" s="1"/>
      <c r="Z4" s="1"/>
    </row>
    <row r="5" spans="1:26" ht="18.75" customHeight="1">
      <c r="A5" s="1663"/>
      <c r="B5" s="1667" t="s">
        <v>1367</v>
      </c>
      <c r="C5" s="260"/>
      <c r="D5" s="261"/>
      <c r="E5" s="261"/>
      <c r="F5" s="75"/>
      <c r="G5" s="75"/>
      <c r="H5" s="75"/>
      <c r="I5" s="75"/>
      <c r="J5" s="75"/>
      <c r="K5" s="75"/>
      <c r="L5" s="75"/>
      <c r="M5" s="75"/>
      <c r="N5" s="85"/>
      <c r="O5" s="1"/>
      <c r="P5" s="1"/>
      <c r="Q5" s="408">
        <v>19.2</v>
      </c>
      <c r="R5" s="408" t="s">
        <v>1368</v>
      </c>
      <c r="S5" s="408"/>
      <c r="T5" s="1"/>
      <c r="U5" s="1"/>
      <c r="V5" s="1"/>
      <c r="W5" s="1"/>
      <c r="X5" s="1"/>
      <c r="Y5" s="1"/>
      <c r="Z5" s="1"/>
    </row>
    <row r="6" spans="1:26" ht="14.4">
      <c r="A6" s="1663"/>
      <c r="B6" s="1668" t="s">
        <v>1369</v>
      </c>
      <c r="C6" s="1669"/>
      <c r="D6" s="1535">
        <v>0</v>
      </c>
      <c r="E6" s="261" t="s">
        <v>1370</v>
      </c>
      <c r="F6" s="1535">
        <v>0</v>
      </c>
      <c r="G6" s="1670" t="s">
        <v>1371</v>
      </c>
      <c r="H6" s="1535">
        <v>0</v>
      </c>
      <c r="I6" s="261" t="s">
        <v>78</v>
      </c>
      <c r="J6" s="1671">
        <f>D6+F6-H6</f>
        <v>0</v>
      </c>
      <c r="K6" s="261" t="s">
        <v>78</v>
      </c>
      <c r="L6" s="49">
        <f>J6*1000000*0.0000192</f>
        <v>0</v>
      </c>
      <c r="M6" s="261" t="s">
        <v>78</v>
      </c>
      <c r="N6" s="67">
        <f>(L6*$R$15)</f>
        <v>0</v>
      </c>
      <c r="O6" s="1"/>
      <c r="P6" s="1"/>
      <c r="Q6" s="408">
        <v>9.9999999999999995E-7</v>
      </c>
      <c r="R6" s="408" t="s">
        <v>1372</v>
      </c>
      <c r="S6" s="408"/>
      <c r="T6" s="1"/>
      <c r="U6" s="1"/>
      <c r="V6" s="1"/>
      <c r="W6" s="1"/>
      <c r="X6" s="1"/>
      <c r="Y6" s="1"/>
      <c r="Z6" s="1"/>
    </row>
    <row r="7" spans="1:26" ht="14.4">
      <c r="A7" s="1663"/>
      <c r="B7" s="1667"/>
      <c r="C7" s="1669"/>
      <c r="D7" s="1512"/>
      <c r="E7" s="261"/>
      <c r="F7" s="261"/>
      <c r="G7" s="261"/>
      <c r="H7" s="49"/>
      <c r="I7" s="261"/>
      <c r="J7" s="51"/>
      <c r="K7" s="261"/>
      <c r="L7" s="1081"/>
      <c r="M7" s="261"/>
      <c r="N7" s="314"/>
      <c r="O7" s="1"/>
      <c r="P7" s="1"/>
      <c r="Q7" s="408">
        <v>21</v>
      </c>
      <c r="R7" s="408" t="s">
        <v>698</v>
      </c>
      <c r="S7" s="408"/>
      <c r="T7" s="1"/>
      <c r="U7" s="1"/>
      <c r="V7" s="1"/>
      <c r="W7" s="1"/>
      <c r="X7" s="1"/>
      <c r="Y7" s="1"/>
      <c r="Z7" s="1"/>
    </row>
    <row r="8" spans="1:26" ht="55.5" customHeight="1">
      <c r="A8" s="1663"/>
      <c r="B8" s="922"/>
      <c r="C8" s="1462"/>
      <c r="D8" s="1672" t="s">
        <v>1373</v>
      </c>
      <c r="E8" s="261"/>
      <c r="F8" s="1673" t="s">
        <v>1374</v>
      </c>
      <c r="G8" s="261"/>
      <c r="H8" s="1673" t="s">
        <v>1375</v>
      </c>
      <c r="I8" s="261"/>
      <c r="J8" s="1673" t="s">
        <v>1376</v>
      </c>
      <c r="K8" s="75"/>
      <c r="L8" s="1673" t="s">
        <v>1377</v>
      </c>
      <c r="M8" s="261"/>
      <c r="N8" s="314"/>
      <c r="O8" s="1"/>
      <c r="P8" s="1"/>
      <c r="Q8" s="1"/>
      <c r="R8" s="1"/>
      <c r="S8" s="408"/>
      <c r="T8" s="1"/>
      <c r="U8" s="1"/>
      <c r="V8" s="1"/>
      <c r="W8" s="1"/>
      <c r="X8" s="1"/>
      <c r="Y8" s="1"/>
      <c r="Z8" s="1"/>
    </row>
    <row r="9" spans="1:26" ht="14.4">
      <c r="A9" s="1663"/>
      <c r="B9" s="1668" t="s">
        <v>1378</v>
      </c>
      <c r="C9" s="1462" t="s">
        <v>1379</v>
      </c>
      <c r="D9" s="1535">
        <v>2179</v>
      </c>
      <c r="E9" s="261" t="s">
        <v>77</v>
      </c>
      <c r="F9" s="1674">
        <v>119</v>
      </c>
      <c r="G9" s="261" t="s">
        <v>78</v>
      </c>
      <c r="H9" s="49">
        <f>D9*F9</f>
        <v>259301</v>
      </c>
      <c r="I9" s="261" t="s">
        <v>78</v>
      </c>
      <c r="J9" s="49">
        <f>H9*Q5*Q6*1000</f>
        <v>4978.5791999999992</v>
      </c>
      <c r="K9" s="261" t="s">
        <v>78</v>
      </c>
      <c r="L9" s="49">
        <f>(J9*$R$15)</f>
        <v>139400.21759999997</v>
      </c>
      <c r="M9" s="261"/>
      <c r="N9" s="314"/>
      <c r="O9" s="1"/>
      <c r="P9" s="1"/>
      <c r="Q9" s="1"/>
      <c r="R9" s="1"/>
      <c r="S9" s="1"/>
      <c r="T9" s="1"/>
      <c r="U9" s="1"/>
      <c r="V9" s="1"/>
      <c r="W9" s="1"/>
      <c r="X9" s="1"/>
      <c r="Y9" s="1"/>
      <c r="Z9" s="1"/>
    </row>
    <row r="10" spans="1:26" ht="14.4">
      <c r="A10" s="1663"/>
      <c r="B10" s="1667"/>
      <c r="C10" s="1462" t="s">
        <v>1380</v>
      </c>
      <c r="D10" s="1675">
        <v>0</v>
      </c>
      <c r="E10" s="261" t="s">
        <v>77</v>
      </c>
      <c r="F10" s="1674">
        <v>0</v>
      </c>
      <c r="G10" s="261" t="s">
        <v>78</v>
      </c>
      <c r="H10" s="55" t="s">
        <v>1371</v>
      </c>
      <c r="I10" s="261" t="s">
        <v>78</v>
      </c>
      <c r="J10" s="55" t="s">
        <v>1371</v>
      </c>
      <c r="K10" s="1676" t="s">
        <v>78</v>
      </c>
      <c r="L10" s="55" t="s">
        <v>1371</v>
      </c>
      <c r="M10" s="261"/>
      <c r="N10" s="314"/>
      <c r="O10" s="1"/>
      <c r="P10" s="1"/>
      <c r="Q10" s="1"/>
      <c r="R10" s="1"/>
      <c r="S10" s="1"/>
      <c r="T10" s="1"/>
      <c r="U10" s="1"/>
      <c r="V10" s="1"/>
      <c r="W10" s="1"/>
      <c r="X10" s="1"/>
      <c r="Y10" s="1"/>
      <c r="Z10" s="1"/>
    </row>
    <row r="11" spans="1:26" ht="14.4">
      <c r="A11" s="1663"/>
      <c r="B11" s="84"/>
      <c r="C11" s="75"/>
      <c r="D11" s="261"/>
      <c r="E11" s="75"/>
      <c r="F11" s="66"/>
      <c r="G11" s="75"/>
      <c r="H11" s="75"/>
      <c r="I11" s="75"/>
      <c r="J11" s="75"/>
      <c r="K11" s="75"/>
      <c r="L11" s="75"/>
      <c r="M11" s="75"/>
      <c r="N11" s="85"/>
      <c r="O11" s="1"/>
      <c r="P11" s="1"/>
      <c r="Q11" s="1"/>
      <c r="R11" s="1"/>
      <c r="S11" s="1"/>
      <c r="T11" s="1"/>
      <c r="U11" s="1"/>
      <c r="V11" s="1"/>
      <c r="W11" s="1"/>
      <c r="X11" s="1"/>
      <c r="Y11" s="1"/>
      <c r="Z11" s="1"/>
    </row>
    <row r="12" spans="1:26" ht="70.5" customHeight="1">
      <c r="A12" s="1663"/>
      <c r="B12" s="1667" t="s">
        <v>1381</v>
      </c>
      <c r="C12" s="260"/>
      <c r="D12" s="1672" t="s">
        <v>1382</v>
      </c>
      <c r="E12" s="261"/>
      <c r="F12" s="1677" t="s">
        <v>1383</v>
      </c>
      <c r="G12" s="261"/>
      <c r="H12" s="1673" t="s">
        <v>1384</v>
      </c>
      <c r="I12" s="75"/>
      <c r="J12" s="1673" t="s">
        <v>1385</v>
      </c>
      <c r="K12" s="75"/>
      <c r="L12" s="1673" t="s">
        <v>1386</v>
      </c>
      <c r="M12" s="75"/>
      <c r="N12" s="1678"/>
      <c r="O12" s="1"/>
      <c r="P12" s="1"/>
      <c r="Q12" s="2237" t="s">
        <v>1</v>
      </c>
      <c r="R12" s="2238"/>
      <c r="S12" s="1"/>
      <c r="T12" s="1"/>
      <c r="U12" s="1"/>
      <c r="V12" s="1"/>
      <c r="W12" s="1"/>
      <c r="X12" s="1"/>
      <c r="Y12" s="1"/>
      <c r="Z12" s="1"/>
    </row>
    <row r="13" spans="1:26" ht="14.4">
      <c r="A13" s="1663"/>
      <c r="B13" s="1668" t="s">
        <v>1369</v>
      </c>
      <c r="C13" s="1462" t="s">
        <v>1379</v>
      </c>
      <c r="D13" s="1535">
        <v>782</v>
      </c>
      <c r="E13" s="261" t="s">
        <v>77</v>
      </c>
      <c r="F13" s="1674">
        <v>44.98</v>
      </c>
      <c r="G13" s="261" t="s">
        <v>78</v>
      </c>
      <c r="H13" s="49">
        <f>D13*F13</f>
        <v>35174.36</v>
      </c>
      <c r="I13" s="261" t="s">
        <v>78</v>
      </c>
      <c r="J13" s="49">
        <f>H13*Q5*Q6*1000</f>
        <v>675.34771199999989</v>
      </c>
      <c r="K13" s="1676" t="s">
        <v>78</v>
      </c>
      <c r="L13" s="49">
        <f>(J13*$R$15)</f>
        <v>18909.735935999997</v>
      </c>
      <c r="M13" s="261"/>
      <c r="N13" s="314"/>
      <c r="O13" s="1"/>
      <c r="P13" s="1"/>
      <c r="Q13" s="52"/>
      <c r="R13" s="52"/>
      <c r="S13" s="1"/>
      <c r="T13" s="1"/>
      <c r="U13" s="1"/>
      <c r="V13" s="1"/>
      <c r="W13" s="1"/>
      <c r="X13" s="1"/>
      <c r="Y13" s="1"/>
      <c r="Z13" s="1"/>
    </row>
    <row r="14" spans="1:26" ht="14.4">
      <c r="A14" s="1663"/>
      <c r="B14" s="1667"/>
      <c r="C14" s="1462" t="s">
        <v>1380</v>
      </c>
      <c r="D14" s="1535">
        <v>0</v>
      </c>
      <c r="E14" s="261" t="s">
        <v>77</v>
      </c>
      <c r="F14" s="1674">
        <v>0</v>
      </c>
      <c r="G14" s="261" t="s">
        <v>78</v>
      </c>
      <c r="H14" s="55" t="s">
        <v>1371</v>
      </c>
      <c r="I14" s="261" t="s">
        <v>78</v>
      </c>
      <c r="J14" s="55" t="s">
        <v>1371</v>
      </c>
      <c r="K14" s="1676" t="s">
        <v>78</v>
      </c>
      <c r="L14" s="55" t="s">
        <v>1371</v>
      </c>
      <c r="M14" s="261"/>
      <c r="N14" s="314"/>
      <c r="O14" s="1"/>
      <c r="P14" s="1"/>
      <c r="Q14" s="53" t="s">
        <v>80</v>
      </c>
      <c r="R14" s="54">
        <f>Summary!E4</f>
        <v>1</v>
      </c>
      <c r="S14" s="1"/>
      <c r="T14" s="1"/>
      <c r="U14" s="1"/>
      <c r="V14" s="1"/>
      <c r="W14" s="1"/>
      <c r="X14" s="1"/>
      <c r="Y14" s="1"/>
      <c r="Z14" s="1"/>
    </row>
    <row r="15" spans="1:26" ht="14.4">
      <c r="A15" s="1663"/>
      <c r="B15" s="1668" t="s">
        <v>1378</v>
      </c>
      <c r="C15" s="1462" t="s">
        <v>1379</v>
      </c>
      <c r="D15" s="1535">
        <v>2179</v>
      </c>
      <c r="E15" s="261" t="s">
        <v>77</v>
      </c>
      <c r="F15" s="1674">
        <v>19.337499999999999</v>
      </c>
      <c r="G15" s="261" t="s">
        <v>78</v>
      </c>
      <c r="H15" s="49">
        <f>D15*F15</f>
        <v>42136.412499999999</v>
      </c>
      <c r="I15" s="261" t="s">
        <v>78</v>
      </c>
      <c r="J15" s="49">
        <f>H15*Q5*Q6*1000</f>
        <v>809.01911999999993</v>
      </c>
      <c r="K15" s="1676" t="s">
        <v>78</v>
      </c>
      <c r="L15" s="49">
        <f>(J15*$R$15)</f>
        <v>22652.535359999998</v>
      </c>
      <c r="M15" s="261"/>
      <c r="N15" s="314"/>
      <c r="O15" s="1"/>
      <c r="P15" s="1"/>
      <c r="Q15" s="53" t="s">
        <v>82</v>
      </c>
      <c r="R15" s="54">
        <f>Summary!E5</f>
        <v>28</v>
      </c>
      <c r="S15" s="1"/>
      <c r="T15" s="1"/>
      <c r="U15" s="1"/>
      <c r="V15" s="1"/>
      <c r="W15" s="1"/>
      <c r="X15" s="1"/>
      <c r="Y15" s="1"/>
      <c r="Z15" s="1"/>
    </row>
    <row r="16" spans="1:26" ht="14.4">
      <c r="A16" s="1663"/>
      <c r="B16" s="1667"/>
      <c r="C16" s="1462" t="s">
        <v>1380</v>
      </c>
      <c r="D16" s="1535">
        <v>0</v>
      </c>
      <c r="E16" s="261" t="s">
        <v>77</v>
      </c>
      <c r="F16" s="1674">
        <v>0</v>
      </c>
      <c r="G16" s="261" t="s">
        <v>78</v>
      </c>
      <c r="H16" s="55" t="s">
        <v>1380</v>
      </c>
      <c r="I16" s="261" t="s">
        <v>78</v>
      </c>
      <c r="J16" s="55" t="s">
        <v>1380</v>
      </c>
      <c r="K16" s="1676" t="s">
        <v>78</v>
      </c>
      <c r="L16" s="55" t="s">
        <v>1380</v>
      </c>
      <c r="M16" s="261"/>
      <c r="N16" s="314"/>
      <c r="O16" s="1"/>
      <c r="P16" s="1"/>
      <c r="Q16" s="53" t="s">
        <v>83</v>
      </c>
      <c r="R16" s="54">
        <f>Summary!E6</f>
        <v>265</v>
      </c>
      <c r="S16" s="1"/>
      <c r="T16" s="1"/>
      <c r="U16" s="1"/>
      <c r="V16" s="1"/>
      <c r="W16" s="1"/>
      <c r="X16" s="1"/>
      <c r="Y16" s="1"/>
      <c r="Z16" s="1"/>
    </row>
    <row r="17" spans="1:26" ht="14.4">
      <c r="A17" s="1663"/>
      <c r="B17" s="1668" t="s">
        <v>1387</v>
      </c>
      <c r="C17" s="1462"/>
      <c r="D17" s="1669"/>
      <c r="E17" s="261"/>
      <c r="F17" s="261"/>
      <c r="G17" s="261"/>
      <c r="H17" s="49">
        <f>SUM(H13:H16)</f>
        <v>77310.772499999992</v>
      </c>
      <c r="I17" s="261" t="s">
        <v>78</v>
      </c>
      <c r="J17" s="49">
        <f>SUM(J13:J16)</f>
        <v>1484.3668319999997</v>
      </c>
      <c r="K17" s="1676" t="s">
        <v>78</v>
      </c>
      <c r="L17" s="49">
        <f>SUM(L13:L16)</f>
        <v>41562.271295999992</v>
      </c>
      <c r="M17" s="75"/>
      <c r="N17" s="85"/>
      <c r="O17" s="1"/>
      <c r="P17" s="1"/>
      <c r="Q17" s="53" t="s">
        <v>85</v>
      </c>
      <c r="R17" s="54">
        <f>Summary!E7</f>
        <v>23500</v>
      </c>
      <c r="S17" s="1"/>
      <c r="T17" s="1"/>
      <c r="U17" s="1"/>
      <c r="V17" s="1"/>
      <c r="W17" s="1"/>
      <c r="X17" s="1"/>
      <c r="Y17" s="1"/>
      <c r="Z17" s="1"/>
    </row>
    <row r="18" spans="1:26" ht="14.4">
      <c r="A18" s="1663"/>
      <c r="B18" s="84"/>
      <c r="C18" s="75"/>
      <c r="D18" s="261"/>
      <c r="E18" s="75"/>
      <c r="F18" s="75"/>
      <c r="G18" s="75"/>
      <c r="H18" s="75"/>
      <c r="I18" s="75"/>
      <c r="J18" s="75"/>
      <c r="K18" s="75"/>
      <c r="L18" s="75"/>
      <c r="M18" s="75"/>
      <c r="N18" s="85"/>
      <c r="O18" s="1"/>
      <c r="P18" s="1"/>
      <c r="Q18" s="53"/>
      <c r="R18" s="54"/>
      <c r="S18" s="1"/>
      <c r="T18" s="1"/>
      <c r="U18" s="1"/>
      <c r="V18" s="1"/>
      <c r="W18" s="1"/>
      <c r="X18" s="1"/>
      <c r="Y18" s="1"/>
      <c r="Z18" s="1"/>
    </row>
    <row r="19" spans="1:26" ht="14.4">
      <c r="A19" s="1663"/>
      <c r="B19" s="313" t="s">
        <v>1388</v>
      </c>
      <c r="C19" s="1679" t="s">
        <v>1389</v>
      </c>
      <c r="D19" s="1680">
        <f>SUM(D20:D22)</f>
        <v>180962.48889599997</v>
      </c>
      <c r="E19" s="75"/>
      <c r="F19" s="71"/>
      <c r="G19" s="75"/>
      <c r="H19" s="75"/>
      <c r="I19" s="75"/>
      <c r="J19" s="75"/>
      <c r="K19" s="75"/>
      <c r="L19" s="75"/>
      <c r="M19" s="75"/>
      <c r="N19" s="85"/>
      <c r="O19" s="1"/>
      <c r="P19" s="1"/>
      <c r="Q19" s="1"/>
      <c r="R19" s="1"/>
      <c r="S19" s="1"/>
      <c r="T19" s="1"/>
      <c r="U19" s="1"/>
      <c r="V19" s="1"/>
      <c r="W19" s="1"/>
      <c r="X19" s="1"/>
      <c r="Y19" s="1"/>
      <c r="Z19" s="1"/>
    </row>
    <row r="20" spans="1:26" ht="14.4">
      <c r="A20" s="1663"/>
      <c r="B20" s="84"/>
      <c r="C20" s="1681" t="s">
        <v>1369</v>
      </c>
      <c r="D20" s="1676">
        <f>N6</f>
        <v>0</v>
      </c>
      <c r="E20" s="75"/>
      <c r="F20" s="75"/>
      <c r="G20" s="75"/>
      <c r="H20" s="75"/>
      <c r="I20" s="75"/>
      <c r="J20" s="75"/>
      <c r="K20" s="75"/>
      <c r="L20" s="75"/>
      <c r="M20" s="75"/>
      <c r="N20" s="85"/>
      <c r="O20" s="1"/>
      <c r="P20" s="1"/>
      <c r="Q20" s="1"/>
      <c r="R20" s="1"/>
      <c r="S20" s="1"/>
      <c r="T20" s="1"/>
      <c r="U20" s="1"/>
      <c r="V20" s="1"/>
      <c r="W20" s="1"/>
      <c r="X20" s="1"/>
      <c r="Y20" s="1"/>
      <c r="Z20" s="1"/>
    </row>
    <row r="21" spans="1:26" ht="15.75" customHeight="1">
      <c r="A21" s="1663"/>
      <c r="B21" s="84"/>
      <c r="C21" s="1681" t="s">
        <v>1378</v>
      </c>
      <c r="D21" s="1676">
        <f>SUM(L9:L10)</f>
        <v>139400.21759999997</v>
      </c>
      <c r="E21" s="75"/>
      <c r="F21" s="924"/>
      <c r="G21" s="75"/>
      <c r="H21" s="75"/>
      <c r="I21" s="75"/>
      <c r="J21" s="75"/>
      <c r="K21" s="75"/>
      <c r="L21" s="75"/>
      <c r="M21" s="75"/>
      <c r="N21" s="85"/>
      <c r="O21" s="1"/>
      <c r="P21" s="1"/>
      <c r="Q21" s="1"/>
      <c r="R21" s="1"/>
      <c r="S21" s="1"/>
      <c r="T21" s="1"/>
      <c r="U21" s="1"/>
      <c r="V21" s="1"/>
      <c r="W21" s="1"/>
      <c r="X21" s="1"/>
      <c r="Y21" s="1"/>
      <c r="Z21" s="1"/>
    </row>
    <row r="22" spans="1:26" ht="15.75" customHeight="1">
      <c r="A22" s="1663"/>
      <c r="B22" s="84"/>
      <c r="C22" s="1681" t="s">
        <v>1381</v>
      </c>
      <c r="D22" s="1676">
        <f>L17</f>
        <v>41562.271295999992</v>
      </c>
      <c r="E22" s="75"/>
      <c r="F22" s="924"/>
      <c r="G22" s="75"/>
      <c r="H22" s="924"/>
      <c r="I22" s="75"/>
      <c r="J22" s="75"/>
      <c r="K22" s="75"/>
      <c r="L22" s="75"/>
      <c r="M22" s="75"/>
      <c r="N22" s="85"/>
      <c r="O22" s="1"/>
      <c r="P22" s="1"/>
      <c r="Q22" s="1"/>
      <c r="R22" s="1"/>
      <c r="S22" s="1"/>
      <c r="T22" s="1"/>
      <c r="U22" s="1"/>
      <c r="V22" s="1"/>
      <c r="W22" s="1"/>
      <c r="X22" s="1"/>
      <c r="Y22" s="1"/>
      <c r="Z22" s="1"/>
    </row>
    <row r="23" spans="1:26" ht="15.75" customHeight="1">
      <c r="A23" s="1663"/>
      <c r="B23" s="84"/>
      <c r="C23" s="75"/>
      <c r="D23" s="261"/>
      <c r="E23" s="75"/>
      <c r="F23" s="75"/>
      <c r="G23" s="75"/>
      <c r="H23" s="75"/>
      <c r="I23" s="75"/>
      <c r="J23" s="75"/>
      <c r="K23" s="75"/>
      <c r="L23" s="75"/>
      <c r="M23" s="75"/>
      <c r="N23" s="85"/>
      <c r="O23" s="1"/>
      <c r="P23" s="1"/>
      <c r="Q23" s="1"/>
      <c r="R23" s="1"/>
      <c r="S23" s="1"/>
      <c r="T23" s="1"/>
      <c r="U23" s="1"/>
      <c r="V23" s="1"/>
      <c r="W23" s="1"/>
      <c r="X23" s="1"/>
      <c r="Y23" s="1"/>
      <c r="Z23" s="1"/>
    </row>
    <row r="24" spans="1:26" ht="15.75" customHeight="1">
      <c r="A24" s="41"/>
      <c r="B24" s="262"/>
      <c r="C24" s="263"/>
      <c r="D24" s="263"/>
      <c r="E24" s="263"/>
      <c r="F24" s="263"/>
      <c r="G24" s="263"/>
      <c r="H24" s="263"/>
      <c r="I24" s="263"/>
      <c r="J24" s="263"/>
      <c r="K24" s="263"/>
      <c r="L24" s="263"/>
      <c r="M24" s="263"/>
      <c r="N24" s="265"/>
      <c r="O24" s="1"/>
      <c r="P24" s="1"/>
      <c r="Q24" s="1"/>
      <c r="R24" s="1"/>
      <c r="S24" s="1"/>
      <c r="T24" s="1"/>
      <c r="U24" s="1"/>
      <c r="V24" s="1"/>
      <c r="W24" s="1"/>
      <c r="X24" s="1"/>
      <c r="Y24" s="1"/>
      <c r="Z24" s="1"/>
    </row>
    <row r="25" spans="1:26" ht="15.75" customHeight="1">
      <c r="A25" s="41"/>
      <c r="B25" s="1682" t="s">
        <v>1390</v>
      </c>
      <c r="C25" s="1"/>
      <c r="D25" s="1"/>
      <c r="E25" s="1"/>
      <c r="F25" s="1"/>
      <c r="G25" s="1"/>
      <c r="H25" s="1"/>
      <c r="I25" s="1"/>
      <c r="J25" s="1"/>
      <c r="K25" s="1"/>
      <c r="L25" s="1"/>
      <c r="M25" s="1"/>
      <c r="N25" s="1"/>
      <c r="O25" s="1"/>
      <c r="P25" s="1"/>
      <c r="Q25" s="1"/>
      <c r="R25" s="1"/>
      <c r="S25" s="1"/>
      <c r="T25" s="1"/>
      <c r="U25" s="1"/>
      <c r="V25" s="1"/>
      <c r="W25" s="1"/>
      <c r="X25" s="1"/>
      <c r="Y25" s="1"/>
      <c r="Z25" s="1"/>
    </row>
    <row r="26" spans="1:26" ht="60" customHeight="1">
      <c r="A26" s="41"/>
      <c r="B26" s="1683"/>
      <c r="C26" s="1453"/>
      <c r="D26" s="1684" t="s">
        <v>1391</v>
      </c>
      <c r="E26" s="1685"/>
      <c r="F26" s="1686" t="s">
        <v>1392</v>
      </c>
      <c r="G26" s="1453"/>
      <c r="H26" s="1684" t="s">
        <v>74</v>
      </c>
      <c r="I26" s="1687"/>
      <c r="J26" s="1684" t="s">
        <v>1393</v>
      </c>
      <c r="K26" s="1453"/>
      <c r="L26" s="1684" t="s">
        <v>1394</v>
      </c>
      <c r="M26" s="1453"/>
      <c r="N26" s="1688"/>
      <c r="O26" s="1"/>
      <c r="P26" s="1"/>
      <c r="Q26" s="1"/>
      <c r="R26" s="1"/>
      <c r="S26" s="1"/>
      <c r="T26" s="1"/>
      <c r="U26" s="1"/>
      <c r="V26" s="1"/>
      <c r="W26" s="1"/>
      <c r="X26" s="1"/>
      <c r="Y26" s="1"/>
      <c r="Z26" s="1"/>
    </row>
    <row r="27" spans="1:26" ht="15.75" customHeight="1">
      <c r="A27" s="41"/>
      <c r="B27" s="1689"/>
      <c r="C27" s="1690" t="s">
        <v>1395</v>
      </c>
      <c r="D27" s="75">
        <v>0.2893143272</v>
      </c>
      <c r="E27" s="261" t="s">
        <v>77</v>
      </c>
      <c r="F27" s="1691">
        <v>0.125</v>
      </c>
      <c r="G27" s="261" t="s">
        <v>78</v>
      </c>
      <c r="H27" s="1671">
        <f t="shared" ref="H27:H29" si="0">D27*F27*1000*12/44*21</f>
        <v>207.12275697272727</v>
      </c>
      <c r="I27" s="261" t="s">
        <v>78</v>
      </c>
      <c r="J27" s="1671">
        <f t="shared" ref="J27:J29" si="1">D27*F27*1000</f>
        <v>36.164290899999997</v>
      </c>
      <c r="K27" s="261" t="s">
        <v>78</v>
      </c>
      <c r="L27" s="1671">
        <f t="shared" ref="L27:L29" si="2">D27*F27*1000*$R$15</f>
        <v>1012.6001451999999</v>
      </c>
      <c r="M27" s="75"/>
      <c r="N27" s="1458"/>
      <c r="O27" s="1"/>
      <c r="P27" s="1"/>
      <c r="Q27" s="1"/>
      <c r="R27" s="1"/>
      <c r="S27" s="1"/>
      <c r="T27" s="1"/>
      <c r="U27" s="1"/>
      <c r="V27" s="1"/>
      <c r="W27" s="1"/>
      <c r="X27" s="1"/>
      <c r="Y27" s="1"/>
      <c r="Z27" s="1"/>
    </row>
    <row r="28" spans="1:26" ht="15.75" customHeight="1">
      <c r="A28" s="41"/>
      <c r="B28" s="1689"/>
      <c r="C28" s="1690" t="s">
        <v>1396</v>
      </c>
      <c r="D28" s="75">
        <v>0.2893143272</v>
      </c>
      <c r="E28" s="261" t="s">
        <v>77</v>
      </c>
      <c r="F28" s="1691">
        <v>0.25</v>
      </c>
      <c r="G28" s="261" t="s">
        <v>78</v>
      </c>
      <c r="H28" s="1671">
        <f t="shared" si="0"/>
        <v>414.24551394545455</v>
      </c>
      <c r="I28" s="261" t="s">
        <v>78</v>
      </c>
      <c r="J28" s="1671">
        <f t="shared" si="1"/>
        <v>72.328581799999995</v>
      </c>
      <c r="K28" s="261" t="s">
        <v>78</v>
      </c>
      <c r="L28" s="1671">
        <f t="shared" si="2"/>
        <v>2025.2002903999999</v>
      </c>
      <c r="M28" s="75"/>
      <c r="N28" s="1458"/>
      <c r="O28" s="1"/>
      <c r="P28" s="1"/>
      <c r="Q28" s="1"/>
      <c r="R28" s="1"/>
      <c r="S28" s="1"/>
      <c r="T28" s="1"/>
      <c r="U28" s="1"/>
      <c r="V28" s="1"/>
      <c r="W28" s="1"/>
      <c r="X28" s="1"/>
      <c r="Y28" s="1"/>
      <c r="Z28" s="1"/>
    </row>
    <row r="29" spans="1:26" ht="15.75" customHeight="1">
      <c r="A29" s="41"/>
      <c r="B29" s="1692"/>
      <c r="C29" s="1693" t="s">
        <v>1397</v>
      </c>
      <c r="D29" s="1443">
        <v>0.2893143272</v>
      </c>
      <c r="E29" s="1468" t="s">
        <v>77</v>
      </c>
      <c r="F29" s="1694">
        <v>0.625</v>
      </c>
      <c r="G29" s="1468" t="s">
        <v>78</v>
      </c>
      <c r="H29" s="1695">
        <f t="shared" si="0"/>
        <v>1035.6137848636363</v>
      </c>
      <c r="I29" s="1468" t="s">
        <v>78</v>
      </c>
      <c r="J29" s="1695">
        <f t="shared" si="1"/>
        <v>180.82145450000002</v>
      </c>
      <c r="K29" s="1468" t="s">
        <v>78</v>
      </c>
      <c r="L29" s="1695">
        <f t="shared" si="2"/>
        <v>5063.0007260000002</v>
      </c>
      <c r="M29" s="1443"/>
      <c r="N29" s="1470"/>
      <c r="O29" s="1"/>
      <c r="P29" s="1"/>
      <c r="Q29" s="1"/>
      <c r="R29" s="1"/>
      <c r="S29" s="1"/>
      <c r="T29" s="1"/>
      <c r="U29" s="1"/>
      <c r="V29" s="1"/>
      <c r="W29" s="1"/>
      <c r="X29" s="1"/>
      <c r="Y29" s="1"/>
      <c r="Z29" s="1"/>
    </row>
    <row r="30" spans="1:26" ht="15.75" customHeight="1">
      <c r="A30" s="41"/>
      <c r="B30" s="1662"/>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41"/>
      <c r="B31" s="1662"/>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41"/>
      <c r="B32" s="1682" t="s">
        <v>1398</v>
      </c>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41"/>
      <c r="B33" s="1696" t="s">
        <v>1399</v>
      </c>
      <c r="C33" s="44"/>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41"/>
      <c r="B34" s="1696"/>
      <c r="C34" s="1697">
        <v>2011</v>
      </c>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41"/>
      <c r="B35" s="36" t="s">
        <v>1400</v>
      </c>
      <c r="C35" s="1698">
        <f>D19/1000000</f>
        <v>0.18096248889599997</v>
      </c>
      <c r="D35" s="1699"/>
      <c r="E35" s="1"/>
      <c r="F35" s="1"/>
      <c r="G35" s="1"/>
      <c r="H35" s="1"/>
      <c r="I35" s="1"/>
      <c r="J35" s="1"/>
      <c r="K35" s="1"/>
      <c r="L35" s="1"/>
      <c r="M35" s="1"/>
      <c r="N35" s="1"/>
      <c r="O35" s="1"/>
      <c r="P35" s="1"/>
      <c r="Q35" s="1"/>
      <c r="R35" s="1"/>
      <c r="S35" s="1"/>
      <c r="T35" s="1"/>
      <c r="U35" s="1"/>
      <c r="V35" s="1"/>
      <c r="W35" s="1"/>
      <c r="X35" s="1"/>
      <c r="Y35" s="1"/>
      <c r="Z35" s="1"/>
    </row>
    <row r="36" spans="1:26" ht="15.75" customHeight="1">
      <c r="A36" s="41"/>
      <c r="B36" s="36" t="s">
        <v>1401</v>
      </c>
      <c r="C36" s="1698">
        <f>SUM(C37:C39)</f>
        <v>8.1008011616000002E-3</v>
      </c>
      <c r="D36" s="1700"/>
      <c r="E36" s="1"/>
      <c r="F36" s="1"/>
      <c r="G36" s="1"/>
      <c r="H36" s="1"/>
      <c r="I36" s="1"/>
      <c r="J36" s="1"/>
      <c r="K36" s="1"/>
      <c r="L36" s="1"/>
      <c r="M36" s="1"/>
      <c r="N36" s="1"/>
      <c r="O36" s="1"/>
      <c r="P36" s="1"/>
      <c r="Q36" s="1"/>
      <c r="R36" s="1"/>
      <c r="S36" s="1"/>
      <c r="T36" s="1"/>
      <c r="U36" s="1"/>
      <c r="V36" s="1"/>
      <c r="W36" s="1"/>
      <c r="X36" s="1"/>
      <c r="Y36" s="1"/>
      <c r="Z36" s="1"/>
    </row>
    <row r="37" spans="1:26" ht="15.75" customHeight="1">
      <c r="A37" s="41"/>
      <c r="B37" s="1701" t="s">
        <v>1395</v>
      </c>
      <c r="C37" s="1698">
        <f t="shared" ref="C37:C39" si="3">L27/1000000</f>
        <v>1.0126001452E-3</v>
      </c>
      <c r="D37" s="1700"/>
      <c r="E37" s="1"/>
      <c r="F37" s="1"/>
      <c r="G37" s="1"/>
      <c r="H37" s="1"/>
      <c r="I37" s="1"/>
      <c r="J37" s="1"/>
      <c r="K37" s="1"/>
      <c r="L37" s="1"/>
      <c r="M37" s="1"/>
      <c r="N37" s="1"/>
      <c r="O37" s="1"/>
      <c r="P37" s="1"/>
      <c r="Q37" s="1"/>
      <c r="R37" s="1"/>
      <c r="S37" s="1"/>
      <c r="T37" s="1"/>
      <c r="U37" s="1"/>
      <c r="V37" s="1"/>
      <c r="W37" s="1"/>
      <c r="X37" s="1"/>
      <c r="Y37" s="1"/>
      <c r="Z37" s="1"/>
    </row>
    <row r="38" spans="1:26" ht="15.75" customHeight="1">
      <c r="A38" s="41"/>
      <c r="B38" s="1701" t="s">
        <v>1396</v>
      </c>
      <c r="C38" s="1698">
        <f t="shared" si="3"/>
        <v>2.0252002904000001E-3</v>
      </c>
      <c r="D38" s="1700"/>
      <c r="E38" s="1"/>
      <c r="F38" s="1"/>
      <c r="G38" s="1"/>
      <c r="H38" s="1"/>
      <c r="I38" s="1"/>
      <c r="J38" s="1"/>
      <c r="K38" s="1"/>
      <c r="L38" s="1"/>
      <c r="M38" s="1"/>
      <c r="N38" s="1"/>
      <c r="O38" s="1"/>
      <c r="P38" s="1"/>
      <c r="Q38" s="1"/>
      <c r="R38" s="1"/>
      <c r="S38" s="1"/>
      <c r="T38" s="1"/>
      <c r="U38" s="1"/>
      <c r="V38" s="1"/>
      <c r="W38" s="1"/>
      <c r="X38" s="1"/>
      <c r="Y38" s="1"/>
      <c r="Z38" s="1"/>
    </row>
    <row r="39" spans="1:26" ht="15.75" customHeight="1">
      <c r="A39" s="41"/>
      <c r="B39" s="1701" t="s">
        <v>1397</v>
      </c>
      <c r="C39" s="1698">
        <f t="shared" si="3"/>
        <v>5.0630007260000004E-3</v>
      </c>
      <c r="D39" s="1700"/>
      <c r="E39" s="1"/>
      <c r="F39" s="1"/>
      <c r="G39" s="1"/>
      <c r="H39" s="1"/>
      <c r="I39" s="1"/>
      <c r="J39" s="1"/>
      <c r="K39" s="1"/>
      <c r="L39" s="1"/>
      <c r="M39" s="1"/>
      <c r="N39" s="1"/>
      <c r="O39" s="1"/>
      <c r="P39" s="1"/>
      <c r="Q39" s="1"/>
      <c r="R39" s="1"/>
      <c r="S39" s="1"/>
      <c r="T39" s="1"/>
      <c r="U39" s="1"/>
      <c r="V39" s="1"/>
      <c r="W39" s="1"/>
      <c r="X39" s="1"/>
      <c r="Y39" s="1"/>
      <c r="Z39" s="1"/>
    </row>
    <row r="40" spans="1:26" ht="15.75" customHeight="1">
      <c r="A40" s="41"/>
      <c r="B40" s="1702"/>
      <c r="C40" s="56"/>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41"/>
      <c r="B41" s="1662"/>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41"/>
      <c r="B42" s="1662"/>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696" t="s">
        <v>1402</v>
      </c>
      <c r="C43" s="44"/>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696"/>
      <c r="C44" s="1697">
        <v>2011</v>
      </c>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36" t="s">
        <v>1400</v>
      </c>
      <c r="C45" s="353">
        <f>D19</f>
        <v>180962.48889599997</v>
      </c>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36" t="s">
        <v>1401</v>
      </c>
      <c r="C46" s="353">
        <f>SUM(C47:C49)</f>
        <v>8100.8011616000003</v>
      </c>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701" t="s">
        <v>1395</v>
      </c>
      <c r="C47" s="353">
        <f t="shared" ref="C47:C49" si="4">L27</f>
        <v>1012.6001451999999</v>
      </c>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701" t="s">
        <v>1396</v>
      </c>
      <c r="C48" s="353">
        <f t="shared" si="4"/>
        <v>2025.2002903999999</v>
      </c>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701" t="s">
        <v>1397</v>
      </c>
      <c r="C49" s="353">
        <f t="shared" si="4"/>
        <v>5063.0007260000002</v>
      </c>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365"/>
      <c r="C50" s="1703"/>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696" t="s">
        <v>1403</v>
      </c>
      <c r="C51" s="1704">
        <v>2011</v>
      </c>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36" t="s">
        <v>1400</v>
      </c>
      <c r="C52" s="353">
        <f>C45*12/44</f>
        <v>49353.406062545444</v>
      </c>
      <c r="D52" s="22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36" t="s">
        <v>1401</v>
      </c>
      <c r="C53" s="353">
        <f>SUM(C54:C56)</f>
        <v>1656.982055781818</v>
      </c>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701" t="s">
        <v>1395</v>
      </c>
      <c r="C54" s="353">
        <f t="shared" ref="C54:C56" si="5">H27</f>
        <v>207.12275697272727</v>
      </c>
      <c r="D54" s="22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701" t="s">
        <v>1396</v>
      </c>
      <c r="C55" s="353">
        <f t="shared" si="5"/>
        <v>414.24551394545455</v>
      </c>
      <c r="D55" s="22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701" t="s">
        <v>1397</v>
      </c>
      <c r="C56" s="353">
        <f t="shared" si="5"/>
        <v>1035.6137848636363</v>
      </c>
      <c r="D56" s="22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365"/>
      <c r="C57" s="1703"/>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696" t="s">
        <v>1404</v>
      </c>
      <c r="C58" s="1704">
        <v>2011</v>
      </c>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36" t="s">
        <v>1400</v>
      </c>
      <c r="C59" s="353">
        <f>C45/21</f>
        <v>8617.2613759999986</v>
      </c>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36" t="s">
        <v>1401</v>
      </c>
      <c r="C60" s="353">
        <f>SUM(C61:C63)</f>
        <v>289.31432719999998</v>
      </c>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701" t="s">
        <v>1395</v>
      </c>
      <c r="C61" s="353">
        <f t="shared" ref="C61:C63" si="6">J27</f>
        <v>36.164290899999997</v>
      </c>
      <c r="D61" s="22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701" t="s">
        <v>1396</v>
      </c>
      <c r="C62" s="353">
        <f t="shared" si="6"/>
        <v>72.328581799999995</v>
      </c>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705" t="s">
        <v>1397</v>
      </c>
      <c r="C63" s="1703">
        <f t="shared" si="6"/>
        <v>180.82145450000002</v>
      </c>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t="s">
        <v>1405</v>
      </c>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t="s">
        <v>1406</v>
      </c>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624" t="s">
        <v>1407</v>
      </c>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t="s">
        <v>1408</v>
      </c>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t="s">
        <v>1409</v>
      </c>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624" t="s">
        <v>1410</v>
      </c>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Q12:R12"/>
  </mergeCells>
  <hyperlinks>
    <hyperlink ref="D67" r:id="rId1" xr:uid="{00000000-0004-0000-1300-000000000000}"/>
    <hyperlink ref="D70" r:id="rId2" xr:uid="{00000000-0004-0000-1300-000001000000}"/>
  </hyperlinks>
  <pageMargins left="0.7" right="0.7" top="0.75" bottom="0.75" header="0" footer="0"/>
  <pageSetup orientation="landscape"/>
  <drawing r:id="rId3"/>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defaultColWidth="16.85546875" defaultRowHeight="15" customHeight="1"/>
  <cols>
    <col min="1" max="1" width="8.140625" customWidth="1"/>
    <col min="2" max="2" width="9.7109375" customWidth="1"/>
    <col min="3" max="3" width="59.140625" customWidth="1"/>
    <col min="4" max="4" width="18.7109375" customWidth="1"/>
    <col min="5" max="5" width="12.28515625" customWidth="1"/>
    <col min="6" max="6" width="17.85546875" customWidth="1"/>
    <col min="7" max="7" width="18.42578125" customWidth="1"/>
    <col min="8" max="8" width="16.42578125" customWidth="1"/>
    <col min="9" max="9" width="19" customWidth="1"/>
    <col min="10" max="26" width="8" customWidth="1"/>
  </cols>
  <sheetData>
    <row r="1" spans="1:26" ht="14.4">
      <c r="A1" s="1" t="s">
        <v>1018</v>
      </c>
      <c r="B1" s="403"/>
      <c r="C1" s="1"/>
      <c r="D1" s="42"/>
      <c r="E1" s="1"/>
      <c r="F1" s="1"/>
      <c r="G1" s="1"/>
      <c r="H1" s="1"/>
      <c r="I1" s="1"/>
      <c r="J1" s="1"/>
      <c r="K1" s="1"/>
      <c r="L1" s="1"/>
      <c r="M1" s="1"/>
      <c r="N1" s="1"/>
      <c r="O1" s="1"/>
      <c r="P1" s="1"/>
      <c r="Q1" s="1"/>
      <c r="R1" s="1"/>
      <c r="S1" s="1"/>
      <c r="T1" s="1"/>
      <c r="U1" s="1"/>
      <c r="V1" s="1"/>
      <c r="W1" s="1"/>
      <c r="X1" s="1"/>
      <c r="Y1" s="1"/>
      <c r="Z1" s="1"/>
    </row>
    <row r="2" spans="1:26" ht="80.25" customHeight="1">
      <c r="A2" s="1"/>
      <c r="B2" s="1"/>
      <c r="C2" s="1"/>
      <c r="D2" s="1"/>
      <c r="E2" s="1"/>
      <c r="F2" s="1"/>
      <c r="G2" s="1"/>
      <c r="H2" s="1"/>
      <c r="I2" s="1"/>
      <c r="J2" s="1"/>
      <c r="K2" s="1"/>
      <c r="L2" s="1"/>
      <c r="M2" s="1"/>
      <c r="N2" s="1"/>
      <c r="O2" s="1"/>
      <c r="P2" s="1"/>
      <c r="Q2" s="1"/>
      <c r="R2" s="1"/>
      <c r="S2" s="1"/>
      <c r="T2" s="1"/>
      <c r="U2" s="1"/>
      <c r="V2" s="1"/>
      <c r="W2" s="1"/>
      <c r="X2" s="1"/>
      <c r="Y2" s="1"/>
      <c r="Z2" s="1"/>
    </row>
    <row r="3" spans="1:26" ht="14.4">
      <c r="A3" s="1"/>
      <c r="B3" s="1"/>
      <c r="C3" s="1"/>
      <c r="D3" s="1" t="s">
        <v>1019</v>
      </c>
      <c r="E3" s="1"/>
      <c r="F3" s="1"/>
      <c r="G3" s="1"/>
      <c r="H3" s="1"/>
      <c r="I3" s="1"/>
      <c r="J3" s="1"/>
      <c r="K3" s="1"/>
      <c r="L3" s="1"/>
      <c r="M3" s="1"/>
      <c r="N3" s="1"/>
      <c r="O3" s="1"/>
      <c r="P3" s="1"/>
      <c r="Q3" s="1"/>
      <c r="R3" s="1"/>
      <c r="S3" s="1"/>
      <c r="T3" s="1"/>
      <c r="U3" s="1"/>
      <c r="V3" s="1"/>
      <c r="W3" s="1"/>
      <c r="X3" s="1"/>
      <c r="Y3" s="1"/>
      <c r="Z3" s="1"/>
    </row>
    <row r="4" spans="1:26" ht="7.5" customHeight="1">
      <c r="A4" s="1"/>
      <c r="B4" s="1"/>
      <c r="C4" s="1"/>
      <c r="D4" s="1"/>
      <c r="E4" s="1"/>
      <c r="F4" s="1"/>
      <c r="G4" s="1"/>
      <c r="H4" s="1"/>
      <c r="I4" s="1"/>
      <c r="J4" s="1"/>
      <c r="K4" s="1"/>
      <c r="L4" s="1"/>
      <c r="M4" s="1"/>
      <c r="N4" s="1"/>
      <c r="O4" s="1"/>
      <c r="P4" s="1"/>
      <c r="Q4" s="1"/>
      <c r="R4" s="1"/>
      <c r="S4" s="1"/>
      <c r="T4" s="1"/>
      <c r="U4" s="1"/>
      <c r="V4" s="1"/>
      <c r="W4" s="1"/>
      <c r="X4" s="1"/>
      <c r="Y4" s="1"/>
      <c r="Z4" s="1"/>
    </row>
    <row r="5" spans="1:26" ht="7.5" customHeight="1">
      <c r="A5" s="1"/>
      <c r="B5" s="1"/>
      <c r="C5" s="1"/>
      <c r="D5" s="1"/>
      <c r="E5" s="1"/>
      <c r="F5" s="1"/>
      <c r="G5" s="1"/>
      <c r="H5" s="1"/>
      <c r="I5" s="1"/>
      <c r="J5" s="1"/>
      <c r="K5" s="1"/>
      <c r="L5" s="1"/>
      <c r="M5" s="1"/>
      <c r="N5" s="1"/>
      <c r="O5" s="1"/>
      <c r="P5" s="1"/>
      <c r="Q5" s="1"/>
      <c r="R5" s="1"/>
      <c r="S5" s="1"/>
      <c r="T5" s="1"/>
      <c r="U5" s="1"/>
      <c r="V5" s="1"/>
      <c r="W5" s="1"/>
      <c r="X5" s="1"/>
      <c r="Y5" s="1"/>
      <c r="Z5" s="1"/>
    </row>
    <row r="6" spans="1:26" ht="14.4">
      <c r="A6" s="1"/>
      <c r="B6" s="1"/>
      <c r="C6" s="817"/>
      <c r="D6" s="1300"/>
      <c r="E6" s="1300"/>
      <c r="F6" s="1300" t="s">
        <v>1020</v>
      </c>
      <c r="G6" s="1300"/>
      <c r="H6" s="1300"/>
      <c r="I6" s="1301"/>
      <c r="J6" s="1"/>
      <c r="K6" s="1"/>
      <c r="L6" s="1"/>
      <c r="M6" s="1"/>
      <c r="N6" s="1"/>
      <c r="O6" s="1"/>
      <c r="P6" s="1"/>
      <c r="Q6" s="1"/>
      <c r="R6" s="1"/>
      <c r="S6" s="1"/>
      <c r="T6" s="1"/>
      <c r="U6" s="1"/>
      <c r="V6" s="1"/>
      <c r="W6" s="1"/>
      <c r="X6" s="1"/>
      <c r="Y6" s="1"/>
      <c r="Z6" s="1"/>
    </row>
    <row r="7" spans="1:26" ht="37.5" customHeight="1">
      <c r="A7" s="1"/>
      <c r="B7" s="1"/>
      <c r="C7" s="1302"/>
      <c r="D7" s="1303" t="s">
        <v>90</v>
      </c>
      <c r="E7" s="1303" t="s">
        <v>726</v>
      </c>
      <c r="F7" s="1303"/>
      <c r="G7" s="1303" t="s">
        <v>1021</v>
      </c>
      <c r="H7" s="1303" t="s">
        <v>1022</v>
      </c>
      <c r="I7" s="1304" t="s">
        <v>1023</v>
      </c>
      <c r="J7" s="1"/>
      <c r="K7" s="1"/>
      <c r="L7" s="1"/>
      <c r="M7" s="1"/>
      <c r="N7" s="1"/>
      <c r="O7" s="1"/>
      <c r="P7" s="1"/>
      <c r="Q7" s="1"/>
      <c r="R7" s="1"/>
      <c r="S7" s="1"/>
      <c r="T7" s="1"/>
      <c r="U7" s="1"/>
      <c r="V7" s="1"/>
      <c r="W7" s="1"/>
      <c r="X7" s="1"/>
      <c r="Y7" s="1"/>
      <c r="Z7" s="1"/>
    </row>
    <row r="8" spans="1:26" ht="14.4">
      <c r="A8" s="1"/>
      <c r="B8" s="41" t="s">
        <v>1024</v>
      </c>
      <c r="C8" s="1305" t="s">
        <v>1025</v>
      </c>
      <c r="D8" s="1306"/>
      <c r="E8" s="1306"/>
      <c r="F8" s="1306"/>
      <c r="G8" s="1306"/>
      <c r="H8" s="1306"/>
      <c r="I8" s="1307"/>
      <c r="J8" s="1"/>
      <c r="K8" s="1"/>
      <c r="L8" s="1"/>
      <c r="M8" s="1"/>
      <c r="N8" s="1"/>
      <c r="O8" s="1"/>
      <c r="P8" s="1"/>
      <c r="Q8" s="1"/>
      <c r="R8" s="1"/>
      <c r="S8" s="1"/>
      <c r="T8" s="1"/>
      <c r="U8" s="1"/>
      <c r="V8" s="1"/>
      <c r="W8" s="1"/>
      <c r="X8" s="1"/>
      <c r="Y8" s="1"/>
      <c r="Z8" s="1"/>
    </row>
    <row r="9" spans="1:26" ht="30" customHeight="1">
      <c r="A9" s="1"/>
      <c r="B9" s="1"/>
      <c r="C9" s="1308" t="s">
        <v>1026</v>
      </c>
      <c r="D9" s="1309">
        <v>247834</v>
      </c>
      <c r="E9" s="1310" t="s">
        <v>1027</v>
      </c>
      <c r="F9" s="1311"/>
      <c r="G9" s="1309">
        <v>417125.79074384988</v>
      </c>
      <c r="H9" s="1312">
        <v>47.554269301299257</v>
      </c>
      <c r="I9" s="1313">
        <v>6.9169846256435292</v>
      </c>
      <c r="J9" s="1"/>
      <c r="K9" s="1"/>
      <c r="L9" s="1"/>
      <c r="M9" s="1"/>
      <c r="N9" s="1"/>
      <c r="O9" s="1"/>
      <c r="P9" s="1"/>
      <c r="Q9" s="1"/>
      <c r="R9" s="1"/>
      <c r="S9" s="1"/>
      <c r="T9" s="1"/>
      <c r="U9" s="1"/>
      <c r="V9" s="1"/>
      <c r="W9" s="1"/>
      <c r="X9" s="1"/>
      <c r="Y9" s="1"/>
      <c r="Z9" s="1"/>
    </row>
    <row r="10" spans="1:26" ht="14.4">
      <c r="A10" s="1"/>
      <c r="B10" s="1"/>
      <c r="C10" s="1308"/>
      <c r="D10" s="1309"/>
      <c r="E10" s="1309"/>
      <c r="F10" s="1312"/>
      <c r="G10" s="1309"/>
      <c r="H10" s="1311"/>
      <c r="I10" s="1314"/>
      <c r="J10" s="1"/>
      <c r="K10" s="1"/>
      <c r="L10" s="1"/>
      <c r="M10" s="1"/>
      <c r="N10" s="1"/>
      <c r="O10" s="1"/>
      <c r="P10" s="1"/>
      <c r="Q10" s="1"/>
      <c r="R10" s="1"/>
      <c r="S10" s="1"/>
      <c r="T10" s="1"/>
      <c r="U10" s="1"/>
      <c r="V10" s="1"/>
      <c r="W10" s="1"/>
      <c r="X10" s="1"/>
      <c r="Y10" s="1"/>
      <c r="Z10" s="1"/>
    </row>
    <row r="11" spans="1:26" ht="30" customHeight="1">
      <c r="A11" s="1"/>
      <c r="B11" s="1"/>
      <c r="C11" s="100" t="s">
        <v>1028</v>
      </c>
      <c r="D11" s="1309">
        <v>17516</v>
      </c>
      <c r="E11" s="1310" t="s">
        <v>1027</v>
      </c>
      <c r="F11" s="1315">
        <v>6.5000000000000002E-2</v>
      </c>
      <c r="G11" s="1316">
        <f>G19*F11</f>
        <v>76644.36</v>
      </c>
      <c r="H11" s="1317">
        <v>0.68406440806094526</v>
      </c>
      <c r="I11" s="1318">
        <v>0.8978345355799906</v>
      </c>
      <c r="J11" s="1"/>
      <c r="K11" s="1"/>
      <c r="L11" s="1"/>
      <c r="M11" s="1"/>
      <c r="N11" s="1"/>
      <c r="O11" s="1"/>
      <c r="P11" s="1"/>
      <c r="Q11" s="1"/>
      <c r="R11" s="1"/>
      <c r="S11" s="1"/>
      <c r="T11" s="1"/>
      <c r="U11" s="1"/>
      <c r="V11" s="1"/>
      <c r="W11" s="1"/>
      <c r="X11" s="1"/>
      <c r="Y11" s="1"/>
      <c r="Z11" s="1"/>
    </row>
    <row r="12" spans="1:26" ht="14.4">
      <c r="A12" s="1"/>
      <c r="B12" s="1"/>
      <c r="C12" s="1308"/>
      <c r="D12" s="1309"/>
      <c r="E12" s="1309"/>
      <c r="F12" s="1312"/>
      <c r="G12" s="1309"/>
      <c r="H12" s="1311"/>
      <c r="I12" s="1314"/>
      <c r="J12" s="1"/>
      <c r="K12" s="1"/>
      <c r="L12" s="1"/>
      <c r="M12" s="1"/>
      <c r="N12" s="1"/>
      <c r="O12" s="1"/>
      <c r="P12" s="1"/>
      <c r="Q12" s="1"/>
      <c r="R12" s="1"/>
      <c r="S12" s="1"/>
      <c r="T12" s="1"/>
      <c r="U12" s="1"/>
      <c r="V12" s="1"/>
      <c r="W12" s="1"/>
      <c r="X12" s="1"/>
      <c r="Y12" s="1"/>
      <c r="Z12" s="1"/>
    </row>
    <row r="13" spans="1:26" ht="14.4">
      <c r="A13" s="1"/>
      <c r="B13" s="1"/>
      <c r="C13" s="1308" t="s">
        <v>1029</v>
      </c>
      <c r="D13" s="1309">
        <v>518485.06</v>
      </c>
      <c r="E13" s="1309" t="s">
        <v>1030</v>
      </c>
      <c r="F13" s="1311"/>
      <c r="G13" s="1309">
        <v>4778.3350808639998</v>
      </c>
      <c r="H13" s="1319">
        <v>0.21465281484000007</v>
      </c>
      <c r="I13" s="1313">
        <v>4.2930562967999998E-2</v>
      </c>
      <c r="J13" s="1"/>
      <c r="K13" s="1"/>
      <c r="L13" s="1"/>
      <c r="M13" s="1"/>
      <c r="N13" s="1"/>
      <c r="O13" s="1"/>
      <c r="P13" s="1"/>
      <c r="Q13" s="1"/>
      <c r="R13" s="1"/>
      <c r="S13" s="1"/>
      <c r="T13" s="1"/>
      <c r="U13" s="1"/>
      <c r="V13" s="1"/>
      <c r="W13" s="1"/>
      <c r="X13" s="1"/>
      <c r="Y13" s="1"/>
      <c r="Z13" s="1"/>
    </row>
    <row r="14" spans="1:26" ht="14.4">
      <c r="A14" s="1"/>
      <c r="B14" s="1"/>
      <c r="C14" s="1308"/>
      <c r="D14" s="1309"/>
      <c r="E14" s="1309"/>
      <c r="F14" s="1311"/>
      <c r="G14" s="1320"/>
      <c r="H14" s="1320"/>
      <c r="I14" s="1321"/>
      <c r="J14" s="1"/>
      <c r="K14" s="1"/>
      <c r="L14" s="1"/>
      <c r="M14" s="1"/>
      <c r="N14" s="1"/>
      <c r="O14" s="1"/>
      <c r="P14" s="1"/>
      <c r="Q14" s="1"/>
      <c r="R14" s="1"/>
      <c r="S14" s="1"/>
      <c r="T14" s="1"/>
      <c r="U14" s="1"/>
      <c r="V14" s="1"/>
      <c r="W14" s="1"/>
      <c r="X14" s="1"/>
      <c r="Y14" s="1"/>
      <c r="Z14" s="1"/>
    </row>
    <row r="15" spans="1:26" ht="30" customHeight="1">
      <c r="A15" s="1"/>
      <c r="B15" s="1"/>
      <c r="C15" s="1308" t="s">
        <v>1031</v>
      </c>
      <c r="D15" s="1309">
        <v>208096</v>
      </c>
      <c r="E15" s="1309" t="s">
        <v>1032</v>
      </c>
      <c r="F15" s="1311"/>
      <c r="G15" s="49">
        <v>33967.650235176814</v>
      </c>
      <c r="H15" s="1312">
        <v>3.8376439719045288</v>
      </c>
      <c r="I15" s="1313">
        <v>0.55820275954974974</v>
      </c>
      <c r="J15" s="1"/>
      <c r="K15" s="1"/>
      <c r="L15" s="1"/>
      <c r="M15" s="1"/>
      <c r="N15" s="1"/>
      <c r="O15" s="1"/>
      <c r="P15" s="1"/>
      <c r="Q15" s="1"/>
      <c r="R15" s="1"/>
      <c r="S15" s="1"/>
      <c r="T15" s="1"/>
      <c r="U15" s="1"/>
      <c r="V15" s="1"/>
      <c r="W15" s="1"/>
      <c r="X15" s="1"/>
      <c r="Y15" s="1"/>
      <c r="Z15" s="1"/>
    </row>
    <row r="16" spans="1:26" ht="14.4">
      <c r="A16" s="1"/>
      <c r="B16" s="1"/>
      <c r="C16" s="1322"/>
      <c r="D16" s="1323"/>
      <c r="E16" s="1323"/>
      <c r="F16" s="1324"/>
      <c r="G16" s="961"/>
      <c r="H16" s="1325"/>
      <c r="I16" s="1326"/>
      <c r="J16" s="1"/>
      <c r="K16" s="1"/>
      <c r="L16" s="1"/>
      <c r="M16" s="1"/>
      <c r="N16" s="1"/>
      <c r="O16" s="1"/>
      <c r="P16" s="1"/>
      <c r="Q16" s="1"/>
      <c r="R16" s="1"/>
      <c r="S16" s="1"/>
      <c r="T16" s="1"/>
      <c r="U16" s="1"/>
      <c r="V16" s="1"/>
      <c r="W16" s="1"/>
      <c r="X16" s="1"/>
      <c r="Y16" s="1"/>
      <c r="Z16" s="1"/>
    </row>
    <row r="17" spans="1:26" ht="14.4">
      <c r="A17" s="1"/>
      <c r="B17" s="1"/>
      <c r="C17" s="1327" t="s">
        <v>1033</v>
      </c>
      <c r="D17" s="1328"/>
      <c r="E17" s="1328"/>
      <c r="F17" s="1329"/>
      <c r="G17" s="1330">
        <f t="shared" ref="G17:I17" si="0">G9+G11+G13+G15</f>
        <v>532516.13605989073</v>
      </c>
      <c r="H17" s="1331">
        <f t="shared" si="0"/>
        <v>52.290630496104733</v>
      </c>
      <c r="I17" s="1332">
        <f t="shared" si="0"/>
        <v>8.41595248374127</v>
      </c>
      <c r="J17" s="1"/>
      <c r="K17" s="1"/>
      <c r="L17" s="1"/>
      <c r="M17" s="1"/>
      <c r="N17" s="1"/>
      <c r="O17" s="1"/>
      <c r="P17" s="1"/>
      <c r="Q17" s="1"/>
      <c r="R17" s="1"/>
      <c r="S17" s="1"/>
      <c r="T17" s="1"/>
      <c r="U17" s="1"/>
      <c r="V17" s="1"/>
      <c r="W17" s="1"/>
      <c r="X17" s="1"/>
      <c r="Y17" s="1"/>
      <c r="Z17" s="1"/>
    </row>
    <row r="18" spans="1:26" ht="14.4">
      <c r="A18" s="1"/>
      <c r="B18" s="1"/>
      <c r="C18" s="1333"/>
      <c r="D18" s="1334"/>
      <c r="E18" s="1334"/>
      <c r="F18" s="1335"/>
      <c r="G18" s="422"/>
      <c r="H18" s="1336"/>
      <c r="I18" s="1337"/>
      <c r="J18" s="1"/>
      <c r="K18" s="1"/>
      <c r="L18" s="1"/>
      <c r="M18" s="1"/>
      <c r="N18" s="1"/>
      <c r="O18" s="1"/>
      <c r="P18" s="1"/>
      <c r="Q18" s="1"/>
      <c r="R18" s="1"/>
      <c r="S18" s="1"/>
      <c r="T18" s="1"/>
      <c r="U18" s="1"/>
      <c r="V18" s="1"/>
      <c r="W18" s="1"/>
      <c r="X18" s="1"/>
      <c r="Y18" s="1"/>
      <c r="Z18" s="1"/>
    </row>
    <row r="19" spans="1:26" ht="14.4">
      <c r="A19" s="1"/>
      <c r="B19" s="1"/>
      <c r="C19" s="1338" t="s">
        <v>1034</v>
      </c>
      <c r="D19" s="1339"/>
      <c r="E19" s="1339"/>
      <c r="F19" s="1340"/>
      <c r="G19" s="1341">
        <v>1179144</v>
      </c>
      <c r="H19" s="1342">
        <f t="shared" ref="H19:I19" si="1">H17</f>
        <v>52.290630496104733</v>
      </c>
      <c r="I19" s="1343">
        <f t="shared" si="1"/>
        <v>8.41595248374127</v>
      </c>
      <c r="J19" s="1"/>
      <c r="K19" s="1"/>
      <c r="L19" s="1"/>
      <c r="M19" s="1"/>
      <c r="N19" s="1"/>
      <c r="O19" s="1"/>
      <c r="P19" s="1"/>
      <c r="Q19" s="1"/>
      <c r="R19" s="1"/>
      <c r="S19" s="1"/>
      <c r="T19" s="1"/>
      <c r="U19" s="1"/>
      <c r="V19" s="1"/>
      <c r="W19" s="1"/>
      <c r="X19" s="1"/>
      <c r="Y19" s="1"/>
      <c r="Z19" s="1"/>
    </row>
    <row r="20" spans="1:26" ht="14.4">
      <c r="A20" s="1"/>
      <c r="B20" s="1"/>
      <c r="C20" s="1333"/>
      <c r="D20" s="1334"/>
      <c r="E20" s="1334"/>
      <c r="F20" s="1335"/>
      <c r="G20" s="1344"/>
      <c r="H20" s="1344"/>
      <c r="I20" s="1345"/>
      <c r="J20" s="1"/>
      <c r="K20" s="1"/>
      <c r="L20" s="1"/>
      <c r="M20" s="1"/>
      <c r="N20" s="1"/>
      <c r="O20" s="1"/>
      <c r="P20" s="1"/>
      <c r="Q20" s="1"/>
      <c r="R20" s="1"/>
      <c r="S20" s="1"/>
      <c r="T20" s="1"/>
      <c r="U20" s="1"/>
      <c r="V20" s="1"/>
      <c r="W20" s="1"/>
      <c r="X20" s="1"/>
      <c r="Y20" s="1"/>
      <c r="Z20" s="1"/>
    </row>
    <row r="21" spans="1:26" ht="15.75" customHeight="1">
      <c r="A21" s="1"/>
      <c r="B21" s="1"/>
      <c r="C21" s="1346" t="s">
        <v>1035</v>
      </c>
      <c r="D21" s="1347"/>
      <c r="E21" s="1347"/>
      <c r="F21" s="1348"/>
      <c r="G21" s="1347">
        <f>G19-G17</f>
        <v>646627.86394010927</v>
      </c>
      <c r="H21" s="1349"/>
      <c r="I21" s="1350"/>
      <c r="J21" s="1"/>
      <c r="K21" s="1"/>
      <c r="L21" s="1"/>
      <c r="M21" s="1"/>
      <c r="N21" s="1"/>
      <c r="O21" s="1"/>
      <c r="P21" s="1"/>
      <c r="Q21" s="1"/>
      <c r="R21" s="1"/>
      <c r="S21" s="1"/>
      <c r="T21" s="1"/>
      <c r="U21" s="1"/>
      <c r="V21" s="1"/>
      <c r="W21" s="1"/>
      <c r="X21" s="1"/>
      <c r="Y21" s="1"/>
      <c r="Z21" s="1"/>
    </row>
    <row r="22" spans="1:26" ht="15.75" customHeight="1">
      <c r="A22" s="1"/>
      <c r="B22" s="1"/>
      <c r="C22" s="1351"/>
      <c r="D22" s="1352"/>
      <c r="E22" s="1352"/>
      <c r="F22" s="1353"/>
      <c r="G22" s="1352"/>
      <c r="H22" s="1354"/>
      <c r="I22" s="1355"/>
      <c r="J22" s="1"/>
      <c r="K22" s="1"/>
      <c r="L22" s="1"/>
      <c r="M22" s="1"/>
      <c r="N22" s="1"/>
      <c r="O22" s="1"/>
      <c r="P22" s="1"/>
      <c r="Q22" s="1"/>
      <c r="R22" s="1"/>
      <c r="S22" s="1"/>
      <c r="T22" s="1"/>
      <c r="U22" s="1"/>
      <c r="V22" s="1"/>
      <c r="W22" s="1"/>
      <c r="X22" s="1"/>
      <c r="Y22" s="1"/>
      <c r="Z22" s="1"/>
    </row>
    <row r="23" spans="1:26" ht="15.75" customHeight="1">
      <c r="A23" s="1"/>
      <c r="B23" s="1"/>
      <c r="C23" s="1356" t="s">
        <v>1036</v>
      </c>
      <c r="D23" s="1357"/>
      <c r="E23" s="1357"/>
      <c r="F23" s="1358"/>
      <c r="G23" s="1357"/>
      <c r="H23" s="1359"/>
      <c r="I23" s="1360"/>
      <c r="J23" s="1"/>
      <c r="K23" s="1"/>
      <c r="L23" s="1"/>
      <c r="M23" s="1"/>
      <c r="N23" s="1"/>
      <c r="O23" s="1"/>
      <c r="P23" s="1"/>
      <c r="Q23" s="1"/>
      <c r="R23" s="1"/>
      <c r="S23" s="1"/>
      <c r="T23" s="1"/>
      <c r="U23" s="1"/>
      <c r="V23" s="1"/>
      <c r="W23" s="1"/>
      <c r="X23" s="1"/>
      <c r="Y23" s="1"/>
      <c r="Z23" s="1"/>
    </row>
    <row r="24" spans="1:26" ht="15.75" customHeight="1">
      <c r="A24" s="1"/>
      <c r="B24" s="1"/>
      <c r="C24" s="1361" t="s">
        <v>1037</v>
      </c>
      <c r="D24" s="1362">
        <v>54695.38</v>
      </c>
      <c r="E24" s="1362" t="s">
        <v>425</v>
      </c>
      <c r="F24" s="1363"/>
      <c r="G24" s="1364">
        <v>558.24730206239997</v>
      </c>
      <c r="H24" s="1365">
        <v>2.264388732E-2</v>
      </c>
      <c r="I24" s="1366">
        <v>4.5287774640000002E-3</v>
      </c>
      <c r="J24" s="1"/>
      <c r="K24" s="1"/>
      <c r="L24" s="1"/>
      <c r="M24" s="1"/>
      <c r="N24" s="1"/>
      <c r="O24" s="1"/>
      <c r="P24" s="1"/>
      <c r="Q24" s="1"/>
      <c r="R24" s="1"/>
      <c r="S24" s="1"/>
      <c r="T24" s="1"/>
      <c r="U24" s="1"/>
      <c r="V24" s="1"/>
      <c r="W24" s="1"/>
      <c r="X24" s="1"/>
      <c r="Y24" s="1"/>
      <c r="Z24" s="1"/>
    </row>
    <row r="25" spans="1:26" ht="15.75" customHeight="1">
      <c r="A25" s="1"/>
      <c r="B25" s="1"/>
      <c r="C25" s="1367"/>
      <c r="D25" s="1334"/>
      <c r="E25" s="1334"/>
      <c r="F25" s="1368"/>
      <c r="G25" s="1344"/>
      <c r="H25" s="1344"/>
      <c r="I25" s="1345"/>
      <c r="J25" s="1"/>
      <c r="K25" s="1"/>
      <c r="L25" s="1"/>
      <c r="M25" s="1"/>
      <c r="N25" s="1"/>
      <c r="O25" s="1"/>
      <c r="P25" s="1"/>
      <c r="Q25" s="1"/>
      <c r="R25" s="1"/>
      <c r="S25" s="1"/>
      <c r="T25" s="1"/>
      <c r="U25" s="1"/>
      <c r="V25" s="1"/>
      <c r="W25" s="1"/>
      <c r="X25" s="1"/>
      <c r="Y25" s="1"/>
      <c r="Z25" s="1"/>
    </row>
    <row r="26" spans="1:26" ht="15.75" customHeight="1">
      <c r="A26" s="1"/>
      <c r="B26" s="1"/>
      <c r="C26" s="1369" t="s">
        <v>1038</v>
      </c>
      <c r="D26" s="1370"/>
      <c r="E26" s="1370"/>
      <c r="F26" s="1371"/>
      <c r="G26" s="1372">
        <f>G19+G24</f>
        <v>1179702.2473020623</v>
      </c>
      <c r="H26" s="1372">
        <f t="shared" ref="H26:I26" si="2">H24+H19</f>
        <v>52.313274383424734</v>
      </c>
      <c r="I26" s="1373">
        <f t="shared" si="2"/>
        <v>8.4204812612052695</v>
      </c>
      <c r="J26" s="1"/>
      <c r="K26" s="1"/>
      <c r="L26" s="1"/>
      <c r="M26" s="1"/>
      <c r="N26" s="1"/>
      <c r="O26" s="1"/>
      <c r="P26" s="1"/>
      <c r="Q26" s="1"/>
      <c r="R26" s="1"/>
      <c r="S26" s="1"/>
      <c r="T26" s="1"/>
      <c r="U26" s="1"/>
      <c r="V26" s="1"/>
      <c r="W26" s="1"/>
      <c r="X26" s="1"/>
      <c r="Y26" s="1"/>
      <c r="Z26" s="1"/>
    </row>
    <row r="27" spans="1:26" ht="15.75" customHeight="1">
      <c r="A27" s="1"/>
      <c r="B27" s="1"/>
      <c r="C27" s="1374"/>
      <c r="D27" s="1334"/>
      <c r="E27" s="1334"/>
      <c r="F27" s="1368"/>
      <c r="G27" s="1344"/>
      <c r="H27" s="1344"/>
      <c r="I27" s="1345"/>
      <c r="J27" s="1"/>
      <c r="K27" s="1"/>
      <c r="L27" s="1"/>
      <c r="M27" s="1"/>
      <c r="N27" s="1"/>
      <c r="O27" s="1"/>
      <c r="P27" s="1"/>
      <c r="Q27" s="1"/>
      <c r="R27" s="1"/>
      <c r="S27" s="1"/>
      <c r="T27" s="1"/>
      <c r="U27" s="1"/>
      <c r="V27" s="1"/>
      <c r="W27" s="1"/>
      <c r="X27" s="1"/>
      <c r="Y27" s="1"/>
      <c r="Z27" s="1"/>
    </row>
    <row r="28" spans="1:26" ht="45" customHeight="1">
      <c r="A28" s="1"/>
      <c r="B28" s="1"/>
      <c r="C28" s="1375"/>
      <c r="D28" s="1376"/>
      <c r="E28" s="1377" t="s">
        <v>1039</v>
      </c>
      <c r="F28" s="1378"/>
      <c r="G28" s="1379"/>
      <c r="H28" s="1379"/>
      <c r="I28" s="1380"/>
      <c r="J28" s="1"/>
      <c r="K28" s="1"/>
      <c r="L28" s="1"/>
      <c r="M28" s="1"/>
      <c r="N28" s="1"/>
      <c r="O28" s="1"/>
      <c r="P28" s="1"/>
      <c r="Q28" s="1"/>
      <c r="R28" s="1"/>
      <c r="S28" s="1"/>
      <c r="T28" s="1"/>
      <c r="U28" s="1"/>
      <c r="V28" s="1"/>
      <c r="W28" s="1"/>
      <c r="X28" s="1"/>
      <c r="Y28" s="1"/>
      <c r="Z28" s="1"/>
    </row>
    <row r="29" spans="1:26" ht="15.75" customHeight="1">
      <c r="A29" s="1"/>
      <c r="B29" s="1"/>
      <c r="C29" s="1374"/>
      <c r="D29" s="1334"/>
      <c r="E29" s="1334"/>
      <c r="F29" s="1368"/>
      <c r="G29" s="1344"/>
      <c r="H29" s="1344"/>
      <c r="I29" s="1345"/>
      <c r="J29" s="1"/>
      <c r="K29" s="1"/>
      <c r="L29" s="1"/>
      <c r="M29" s="1"/>
      <c r="N29" s="1"/>
      <c r="O29" s="1"/>
      <c r="P29" s="1"/>
      <c r="Q29" s="1"/>
      <c r="R29" s="1"/>
      <c r="S29" s="1"/>
      <c r="T29" s="1"/>
      <c r="U29" s="1"/>
      <c r="V29" s="1"/>
      <c r="W29" s="1"/>
      <c r="X29" s="1"/>
      <c r="Y29" s="1"/>
      <c r="Z29" s="1"/>
    </row>
    <row r="30" spans="1:26" ht="15.75" customHeight="1">
      <c r="A30" s="1"/>
      <c r="B30" s="1"/>
      <c r="C30" s="1367"/>
      <c r="D30" s="1334"/>
      <c r="E30" s="1334"/>
      <c r="F30" s="1368"/>
      <c r="G30" s="1344"/>
      <c r="H30" s="1344"/>
      <c r="I30" s="1345"/>
      <c r="J30" s="1"/>
      <c r="K30" s="1"/>
      <c r="L30" s="1"/>
      <c r="M30" s="1"/>
      <c r="N30" s="1"/>
      <c r="O30" s="1"/>
      <c r="P30" s="1"/>
      <c r="Q30" s="1"/>
      <c r="R30" s="1"/>
      <c r="S30" s="1"/>
      <c r="T30" s="1"/>
      <c r="U30" s="1"/>
      <c r="V30" s="1"/>
      <c r="W30" s="1"/>
      <c r="X30" s="1"/>
      <c r="Y30" s="1"/>
      <c r="Z30" s="1"/>
    </row>
    <row r="31" spans="1:26" ht="15.75" customHeight="1">
      <c r="A31" s="1"/>
      <c r="B31" s="1"/>
      <c r="C31" s="1327" t="s">
        <v>1040</v>
      </c>
      <c r="D31" s="1328"/>
      <c r="E31" s="1328"/>
      <c r="F31" s="1329"/>
      <c r="G31" s="1330">
        <f t="shared" ref="G31:I31" si="3">G17*1.10249937</f>
        <v>587098.70452086383</v>
      </c>
      <c r="H31" s="1331">
        <f t="shared" si="3"/>
        <v>57.65038717885826</v>
      </c>
      <c r="I31" s="1332">
        <f t="shared" si="3"/>
        <v>9.2785823112746861</v>
      </c>
      <c r="J31" s="1"/>
      <c r="K31" s="1"/>
      <c r="L31" s="1"/>
      <c r="M31" s="1"/>
      <c r="N31" s="1"/>
      <c r="O31" s="1"/>
      <c r="P31" s="1"/>
      <c r="Q31" s="1"/>
      <c r="R31" s="1"/>
      <c r="S31" s="1"/>
      <c r="T31" s="1"/>
      <c r="U31" s="1"/>
      <c r="V31" s="1"/>
      <c r="W31" s="1"/>
      <c r="X31" s="1"/>
      <c r="Y31" s="1"/>
      <c r="Z31" s="1"/>
    </row>
    <row r="32" spans="1:26" ht="15.75" customHeight="1">
      <c r="A32" s="1"/>
      <c r="B32" s="1"/>
      <c r="C32" s="1381"/>
      <c r="D32" s="1334"/>
      <c r="E32" s="1334"/>
      <c r="F32" s="1335"/>
      <c r="G32" s="422"/>
      <c r="H32" s="1336"/>
      <c r="I32" s="1337"/>
      <c r="J32" s="1"/>
      <c r="K32" s="1"/>
      <c r="L32" s="1"/>
      <c r="M32" s="1"/>
      <c r="N32" s="1"/>
      <c r="O32" s="1"/>
      <c r="P32" s="1"/>
      <c r="Q32" s="1"/>
      <c r="R32" s="1"/>
      <c r="S32" s="1"/>
      <c r="T32" s="1"/>
      <c r="U32" s="1"/>
      <c r="V32" s="1"/>
      <c r="W32" s="1"/>
      <c r="X32" s="1"/>
      <c r="Y32" s="1"/>
      <c r="Z32" s="1"/>
    </row>
    <row r="33" spans="1:26" ht="15.75" customHeight="1">
      <c r="A33" s="1"/>
      <c r="B33" s="1"/>
      <c r="C33" s="1382" t="s">
        <v>1041</v>
      </c>
      <c r="D33" s="1339"/>
      <c r="E33" s="1339"/>
      <c r="F33" s="1340"/>
      <c r="G33" s="1341">
        <f t="shared" ref="G33:I33" si="4">G19*1.10249937</f>
        <v>1300005.5171392802</v>
      </c>
      <c r="H33" s="1342">
        <f t="shared" si="4"/>
        <v>57.65038717885826</v>
      </c>
      <c r="I33" s="1343">
        <f t="shared" si="4"/>
        <v>9.2785823112746861</v>
      </c>
      <c r="J33" s="1"/>
      <c r="K33" s="1"/>
      <c r="L33" s="1"/>
      <c r="M33" s="1"/>
      <c r="N33" s="1"/>
      <c r="O33" s="1"/>
      <c r="P33" s="1"/>
      <c r="Q33" s="1"/>
      <c r="R33" s="1"/>
      <c r="S33" s="1"/>
      <c r="T33" s="1"/>
      <c r="U33" s="1"/>
      <c r="V33" s="1"/>
      <c r="W33" s="1"/>
      <c r="X33" s="1"/>
      <c r="Y33" s="1"/>
      <c r="Z33" s="1"/>
    </row>
    <row r="34" spans="1:26" ht="15.75" customHeight="1">
      <c r="A34" s="1"/>
      <c r="B34" s="1"/>
      <c r="C34" s="1322"/>
      <c r="D34" s="1334"/>
      <c r="E34" s="1334"/>
      <c r="F34" s="1335"/>
      <c r="G34" s="1344"/>
      <c r="H34" s="1344"/>
      <c r="I34" s="1345"/>
      <c r="J34" s="1"/>
      <c r="K34" s="1"/>
      <c r="L34" s="1"/>
      <c r="M34" s="1"/>
      <c r="N34" s="1"/>
      <c r="O34" s="1"/>
      <c r="P34" s="1"/>
      <c r="Q34" s="1"/>
      <c r="R34" s="1"/>
      <c r="S34" s="1"/>
      <c r="T34" s="1"/>
      <c r="U34" s="1"/>
      <c r="V34" s="1"/>
      <c r="W34" s="1"/>
      <c r="X34" s="1"/>
      <c r="Y34" s="1"/>
      <c r="Z34" s="1"/>
    </row>
    <row r="35" spans="1:26" ht="27" customHeight="1">
      <c r="A35" s="1"/>
      <c r="B35" s="1"/>
      <c r="C35" s="1383" t="s">
        <v>1042</v>
      </c>
      <c r="D35" s="1347"/>
      <c r="E35" s="1347"/>
      <c r="F35" s="1348"/>
      <c r="G35" s="1347">
        <f>G21*1.10249937</f>
        <v>712906.81261841627</v>
      </c>
      <c r="H35" s="1349"/>
      <c r="I35" s="1350"/>
      <c r="J35" s="1"/>
      <c r="K35" s="1"/>
      <c r="L35" s="1"/>
      <c r="M35" s="1"/>
      <c r="N35" s="1"/>
      <c r="O35" s="1"/>
      <c r="P35" s="1"/>
      <c r="Q35" s="1"/>
      <c r="R35" s="1"/>
      <c r="S35" s="1"/>
      <c r="T35" s="1"/>
      <c r="U35" s="1"/>
      <c r="V35" s="1"/>
      <c r="W35" s="1"/>
      <c r="X35" s="1"/>
      <c r="Y35" s="1"/>
      <c r="Z35" s="1"/>
    </row>
    <row r="36" spans="1:26" ht="15.75" customHeight="1">
      <c r="A36" s="1"/>
      <c r="B36" s="1"/>
      <c r="C36" s="1384"/>
      <c r="D36" s="1385"/>
      <c r="E36" s="1385"/>
      <c r="F36" s="1368"/>
      <c r="G36" s="1385"/>
      <c r="H36" s="1344"/>
      <c r="I36" s="1345"/>
      <c r="J36" s="1"/>
      <c r="K36" s="1"/>
      <c r="L36" s="1"/>
      <c r="M36" s="1"/>
      <c r="N36" s="1"/>
      <c r="O36" s="1"/>
      <c r="P36" s="1"/>
      <c r="Q36" s="1"/>
      <c r="R36" s="1"/>
      <c r="S36" s="1"/>
      <c r="T36" s="1"/>
      <c r="U36" s="1"/>
      <c r="V36" s="1"/>
      <c r="W36" s="1"/>
      <c r="X36" s="1"/>
      <c r="Y36" s="1"/>
      <c r="Z36" s="1"/>
    </row>
    <row r="37" spans="1:26" ht="27" customHeight="1">
      <c r="A37" s="1"/>
      <c r="B37" s="1"/>
      <c r="C37" s="1369" t="s">
        <v>1043</v>
      </c>
      <c r="D37" s="1370"/>
      <c r="E37" s="1370"/>
      <c r="F37" s="1371"/>
      <c r="G37" s="1372">
        <f>G26*1.10249937</f>
        <v>1300620.984438108</v>
      </c>
      <c r="H37" s="1372">
        <f t="shared" ref="H37:I37" si="5">H26*1.1023</f>
        <v>57.664922352849089</v>
      </c>
      <c r="I37" s="1373">
        <f t="shared" si="5"/>
        <v>9.2818964942265687</v>
      </c>
      <c r="J37" s="1"/>
      <c r="K37" s="1"/>
      <c r="L37" s="1"/>
      <c r="M37" s="1"/>
      <c r="N37" s="1"/>
      <c r="O37" s="1"/>
      <c r="P37" s="1"/>
      <c r="Q37" s="1"/>
      <c r="R37" s="1"/>
      <c r="S37" s="1"/>
      <c r="T37" s="1"/>
      <c r="U37" s="1"/>
      <c r="V37" s="1"/>
      <c r="W37" s="1"/>
      <c r="X37" s="1"/>
      <c r="Y37" s="1"/>
      <c r="Z37" s="1"/>
    </row>
    <row r="38" spans="1:26" ht="15.75" customHeight="1">
      <c r="A38" s="1"/>
      <c r="B38" s="1"/>
      <c r="C38" s="661"/>
      <c r="D38" s="663"/>
      <c r="E38" s="663"/>
      <c r="F38" s="663"/>
      <c r="G38" s="663"/>
      <c r="H38" s="663"/>
      <c r="I38" s="1386"/>
      <c r="J38" s="1"/>
      <c r="K38" s="1"/>
      <c r="L38" s="1"/>
      <c r="M38" s="1"/>
      <c r="N38" s="1"/>
      <c r="O38" s="1"/>
      <c r="P38" s="1"/>
      <c r="Q38" s="1"/>
      <c r="R38" s="1"/>
      <c r="S38" s="1"/>
      <c r="T38" s="1"/>
      <c r="U38" s="1"/>
      <c r="V38" s="1"/>
      <c r="W38" s="1"/>
      <c r="X38" s="1"/>
      <c r="Y38" s="1"/>
      <c r="Z38" s="1"/>
    </row>
    <row r="39" spans="1:26" ht="15.75" customHeight="1">
      <c r="A39" s="1"/>
      <c r="B39" s="1"/>
      <c r="C39" s="292"/>
      <c r="D39" s="1"/>
      <c r="E39" s="1"/>
      <c r="F39" s="1"/>
      <c r="G39" s="1"/>
      <c r="H39" s="1"/>
      <c r="I39" s="728"/>
      <c r="J39" s="1"/>
      <c r="K39" s="1"/>
      <c r="L39" s="1"/>
      <c r="M39" s="1"/>
      <c r="N39" s="1"/>
      <c r="O39" s="1"/>
      <c r="P39" s="1"/>
      <c r="Q39" s="1"/>
      <c r="R39" s="1"/>
      <c r="S39" s="1"/>
      <c r="T39" s="1"/>
      <c r="U39" s="1"/>
      <c r="V39" s="1"/>
      <c r="W39" s="1"/>
      <c r="X39" s="1"/>
      <c r="Y39" s="1"/>
      <c r="Z39" s="1"/>
    </row>
    <row r="40" spans="1:26" ht="15.75" customHeight="1">
      <c r="A40" s="1"/>
      <c r="B40" s="1"/>
      <c r="C40" s="292"/>
      <c r="D40" s="1"/>
      <c r="E40" s="1"/>
      <c r="F40" s="1"/>
      <c r="G40" s="1"/>
      <c r="H40" s="1"/>
      <c r="I40" s="728"/>
      <c r="J40" s="1"/>
      <c r="K40" s="1"/>
      <c r="L40" s="1"/>
      <c r="M40" s="1"/>
      <c r="N40" s="1"/>
      <c r="O40" s="1"/>
      <c r="P40" s="1"/>
      <c r="Q40" s="1"/>
      <c r="R40" s="1"/>
      <c r="S40" s="1"/>
      <c r="T40" s="1"/>
      <c r="U40" s="1"/>
      <c r="V40" s="1"/>
      <c r="W40" s="1"/>
      <c r="X40" s="1"/>
      <c r="Y40" s="1"/>
      <c r="Z40" s="1"/>
    </row>
    <row r="41" spans="1:26" ht="15.75" customHeight="1">
      <c r="A41" s="1"/>
      <c r="B41" s="41" t="s">
        <v>1044</v>
      </c>
      <c r="C41" s="1387" t="s">
        <v>1045</v>
      </c>
      <c r="D41" s="1388"/>
      <c r="E41" s="1388"/>
      <c r="F41" s="1389"/>
      <c r="G41" s="1388"/>
      <c r="H41" s="1388"/>
      <c r="I41" s="1390"/>
      <c r="J41" s="1"/>
      <c r="K41" s="1"/>
      <c r="L41" s="1"/>
      <c r="M41" s="1"/>
      <c r="N41" s="1"/>
      <c r="O41" s="1"/>
      <c r="P41" s="1"/>
      <c r="Q41" s="1"/>
      <c r="R41" s="1"/>
      <c r="S41" s="1"/>
      <c r="T41" s="1"/>
      <c r="U41" s="1"/>
      <c r="V41" s="1"/>
      <c r="W41" s="1"/>
      <c r="X41" s="1"/>
      <c r="Y41" s="1"/>
      <c r="Z41" s="1"/>
    </row>
    <row r="42" spans="1:26" ht="37.5" customHeight="1">
      <c r="A42" s="1"/>
      <c r="B42" s="1"/>
      <c r="C42" s="1391"/>
      <c r="D42" s="1392" t="s">
        <v>90</v>
      </c>
      <c r="E42" s="1392" t="s">
        <v>726</v>
      </c>
      <c r="F42" s="75"/>
      <c r="G42" s="1392" t="s">
        <v>1046</v>
      </c>
      <c r="H42" s="1392" t="s">
        <v>1047</v>
      </c>
      <c r="I42" s="1393" t="s">
        <v>1048</v>
      </c>
      <c r="J42" s="1"/>
      <c r="K42" s="1"/>
      <c r="L42" s="1"/>
      <c r="M42" s="1"/>
      <c r="N42" s="1"/>
      <c r="O42" s="1"/>
      <c r="P42" s="1"/>
      <c r="Q42" s="1"/>
      <c r="R42" s="1"/>
      <c r="S42" s="1"/>
      <c r="T42" s="1"/>
      <c r="U42" s="1"/>
      <c r="V42" s="1"/>
      <c r="W42" s="1"/>
      <c r="X42" s="1"/>
      <c r="Y42" s="1"/>
      <c r="Z42" s="1"/>
    </row>
    <row r="43" spans="1:26" ht="15.75" customHeight="1">
      <c r="A43" s="1"/>
      <c r="B43" s="1"/>
      <c r="C43" s="1394" t="s">
        <v>1049</v>
      </c>
      <c r="D43" s="1395"/>
      <c r="E43" s="1395"/>
      <c r="F43" s="706"/>
      <c r="G43" s="1395"/>
      <c r="H43" s="1395"/>
      <c r="I43" s="1396"/>
      <c r="J43" s="1"/>
      <c r="K43" s="1"/>
      <c r="L43" s="1"/>
      <c r="M43" s="1"/>
      <c r="N43" s="1"/>
      <c r="O43" s="1"/>
      <c r="P43" s="1"/>
      <c r="Q43" s="1"/>
      <c r="R43" s="1"/>
      <c r="S43" s="1"/>
      <c r="T43" s="1"/>
      <c r="U43" s="1"/>
      <c r="V43" s="1"/>
      <c r="W43" s="1"/>
      <c r="X43" s="1"/>
      <c r="Y43" s="1"/>
      <c r="Z43" s="1"/>
    </row>
    <row r="44" spans="1:26" ht="15.75" customHeight="1">
      <c r="A44" s="1"/>
      <c r="B44" s="1"/>
      <c r="C44" s="1308" t="s">
        <v>1026</v>
      </c>
      <c r="D44" s="1309">
        <v>90237</v>
      </c>
      <c r="E44" s="1310" t="s">
        <v>1050</v>
      </c>
      <c r="F44" s="75"/>
      <c r="G44" s="1311">
        <v>183433.31880551999</v>
      </c>
      <c r="H44" s="1312">
        <v>21.603999999999999</v>
      </c>
      <c r="I44" s="1397">
        <v>3.1419999999999999</v>
      </c>
      <c r="J44" s="1"/>
      <c r="K44" s="1"/>
      <c r="L44" s="1"/>
      <c r="M44" s="1"/>
      <c r="N44" s="1"/>
      <c r="O44" s="1"/>
      <c r="P44" s="1"/>
      <c r="Q44" s="1"/>
      <c r="R44" s="1"/>
      <c r="S44" s="1"/>
      <c r="T44" s="1"/>
      <c r="U44" s="1"/>
      <c r="V44" s="1"/>
      <c r="W44" s="1"/>
      <c r="X44" s="1"/>
      <c r="Y44" s="1"/>
      <c r="Z44" s="1"/>
    </row>
    <row r="45" spans="1:26" ht="15.75" customHeight="1">
      <c r="A45" s="1"/>
      <c r="B45" s="1"/>
      <c r="C45" s="1308"/>
      <c r="D45" s="1309"/>
      <c r="E45" s="1310"/>
      <c r="F45" s="75"/>
      <c r="G45" s="1311"/>
      <c r="H45" s="1312"/>
      <c r="I45" s="1397"/>
      <c r="J45" s="1"/>
      <c r="K45" s="1"/>
      <c r="L45" s="1"/>
      <c r="M45" s="1"/>
      <c r="N45" s="1"/>
      <c r="O45" s="1"/>
      <c r="P45" s="1"/>
      <c r="Q45" s="1"/>
      <c r="R45" s="1"/>
      <c r="S45" s="1"/>
      <c r="T45" s="1"/>
      <c r="U45" s="1"/>
      <c r="V45" s="1"/>
      <c r="W45" s="1"/>
      <c r="X45" s="1"/>
      <c r="Y45" s="1"/>
      <c r="Z45" s="1"/>
    </row>
    <row r="46" spans="1:26" ht="15.75" customHeight="1">
      <c r="A46" s="1"/>
      <c r="B46" s="1"/>
      <c r="C46" s="1308" t="s">
        <v>1029</v>
      </c>
      <c r="D46" s="1309">
        <v>405324</v>
      </c>
      <c r="E46" s="1309" t="s">
        <v>1030</v>
      </c>
      <c r="F46" s="75"/>
      <c r="G46" s="1311">
        <v>1702.7369406719999</v>
      </c>
      <c r="H46" s="1320">
        <v>6.9000000000000006E-2</v>
      </c>
      <c r="I46" s="1397">
        <v>1.4E-2</v>
      </c>
      <c r="J46" s="1"/>
      <c r="K46" s="1"/>
      <c r="L46" s="1"/>
      <c r="M46" s="1"/>
      <c r="N46" s="1"/>
      <c r="O46" s="1"/>
      <c r="P46" s="1"/>
      <c r="Q46" s="1"/>
      <c r="R46" s="1"/>
      <c r="S46" s="1"/>
      <c r="T46" s="1"/>
      <c r="U46" s="1"/>
      <c r="V46" s="1"/>
      <c r="W46" s="1"/>
      <c r="X46" s="1"/>
      <c r="Y46" s="1"/>
      <c r="Z46" s="1"/>
    </row>
    <row r="47" spans="1:26" ht="15.75" customHeight="1">
      <c r="A47" s="1"/>
      <c r="B47" s="1"/>
      <c r="C47" s="1308"/>
      <c r="D47" s="1309"/>
      <c r="E47" s="1309"/>
      <c r="F47" s="75"/>
      <c r="G47" s="1312"/>
      <c r="H47" s="1309"/>
      <c r="I47" s="1321"/>
      <c r="J47" s="1"/>
      <c r="K47" s="1"/>
      <c r="L47" s="1"/>
      <c r="M47" s="1"/>
      <c r="N47" s="1"/>
      <c r="O47" s="1"/>
      <c r="P47" s="1"/>
      <c r="Q47" s="1"/>
      <c r="R47" s="1"/>
      <c r="S47" s="1"/>
      <c r="T47" s="1"/>
      <c r="U47" s="1"/>
      <c r="V47" s="1"/>
      <c r="W47" s="1"/>
      <c r="X47" s="1"/>
      <c r="Y47" s="1"/>
      <c r="Z47" s="1"/>
    </row>
    <row r="48" spans="1:26" ht="15.75" customHeight="1">
      <c r="A48" s="1"/>
      <c r="B48" s="1"/>
      <c r="C48" s="1308" t="s">
        <v>1051</v>
      </c>
      <c r="D48" s="1309">
        <v>4786</v>
      </c>
      <c r="E48" s="1310" t="s">
        <v>1050</v>
      </c>
      <c r="F48" s="75"/>
      <c r="G48" s="1311">
        <v>11055.726525399999</v>
      </c>
      <c r="H48" s="1312">
        <v>4.115194240000001</v>
      </c>
      <c r="I48" s="1397">
        <v>0.540119244</v>
      </c>
      <c r="J48" s="1"/>
      <c r="K48" s="1"/>
      <c r="L48" s="1"/>
      <c r="M48" s="1"/>
      <c r="N48" s="1"/>
      <c r="O48" s="1"/>
      <c r="P48" s="1"/>
      <c r="Q48" s="1"/>
      <c r="R48" s="1"/>
      <c r="S48" s="1"/>
      <c r="T48" s="1"/>
      <c r="U48" s="1"/>
      <c r="V48" s="1"/>
      <c r="W48" s="1"/>
      <c r="X48" s="1"/>
      <c r="Y48" s="1"/>
      <c r="Z48" s="1"/>
    </row>
    <row r="49" spans="1:26" ht="15.75" customHeight="1">
      <c r="A49" s="1"/>
      <c r="B49" s="1"/>
      <c r="C49" s="1308"/>
      <c r="D49" s="1309"/>
      <c r="E49" s="1309"/>
      <c r="F49" s="263"/>
      <c r="G49" s="1312"/>
      <c r="H49" s="1309"/>
      <c r="I49" s="1321"/>
      <c r="J49" s="1"/>
      <c r="K49" s="1"/>
      <c r="L49" s="1"/>
      <c r="M49" s="1"/>
      <c r="N49" s="1"/>
      <c r="O49" s="1"/>
      <c r="P49" s="1"/>
      <c r="Q49" s="1"/>
      <c r="R49" s="1"/>
      <c r="S49" s="1"/>
      <c r="T49" s="1"/>
      <c r="U49" s="1"/>
      <c r="V49" s="1"/>
      <c r="W49" s="1"/>
      <c r="X49" s="1"/>
      <c r="Y49" s="1"/>
      <c r="Z49" s="1"/>
    </row>
    <row r="50" spans="1:26" ht="15.75" customHeight="1">
      <c r="A50" s="1"/>
      <c r="B50" s="1"/>
      <c r="C50" s="1398" t="s">
        <v>1052</v>
      </c>
      <c r="D50" s="1328"/>
      <c r="E50" s="1328"/>
      <c r="F50" s="1399"/>
      <c r="G50" s="1400">
        <f t="shared" ref="G50:I50" si="6">G44+G46+G48</f>
        <v>196191.782271592</v>
      </c>
      <c r="H50" s="1330">
        <f t="shared" si="6"/>
        <v>25.788194239999999</v>
      </c>
      <c r="I50" s="1332">
        <f t="shared" si="6"/>
        <v>3.6961192439999997</v>
      </c>
      <c r="J50" s="1"/>
      <c r="K50" s="1"/>
      <c r="L50" s="1"/>
      <c r="M50" s="1"/>
      <c r="N50" s="1"/>
      <c r="O50" s="1"/>
      <c r="P50" s="1"/>
      <c r="Q50" s="1"/>
      <c r="R50" s="1"/>
      <c r="S50" s="1"/>
      <c r="T50" s="1"/>
      <c r="U50" s="1"/>
      <c r="V50" s="1"/>
      <c r="W50" s="1"/>
      <c r="X50" s="1"/>
      <c r="Y50" s="1"/>
      <c r="Z50" s="1"/>
    </row>
    <row r="51" spans="1:26" ht="15.75" customHeight="1">
      <c r="A51" s="1"/>
      <c r="B51" s="1"/>
      <c r="C51" s="1308"/>
      <c r="D51" s="1309"/>
      <c r="E51" s="1309"/>
      <c r="F51" s="1401"/>
      <c r="G51" s="1402"/>
      <c r="H51" s="1402"/>
      <c r="I51" s="1403"/>
      <c r="J51" s="1"/>
      <c r="K51" s="1"/>
      <c r="L51" s="1"/>
      <c r="M51" s="1"/>
      <c r="N51" s="1"/>
      <c r="O51" s="1"/>
      <c r="P51" s="1"/>
      <c r="Q51" s="1"/>
      <c r="R51" s="1"/>
      <c r="S51" s="1"/>
      <c r="T51" s="1"/>
      <c r="U51" s="1"/>
      <c r="V51" s="1"/>
      <c r="W51" s="1"/>
      <c r="X51" s="1"/>
      <c r="Y51" s="1"/>
      <c r="Z51" s="1"/>
    </row>
    <row r="52" spans="1:26" ht="15.75" customHeight="1">
      <c r="A52" s="1"/>
      <c r="B52" s="1"/>
      <c r="C52" s="1404" t="s">
        <v>1053</v>
      </c>
      <c r="D52" s="1405"/>
      <c r="E52" s="1405"/>
      <c r="F52" s="883"/>
      <c r="G52" s="1406"/>
      <c r="H52" s="1357"/>
      <c r="I52" s="1407"/>
      <c r="J52" s="1"/>
      <c r="K52" s="1"/>
      <c r="L52" s="1"/>
      <c r="M52" s="1"/>
      <c r="N52" s="1"/>
      <c r="O52" s="1"/>
      <c r="P52" s="1"/>
      <c r="Q52" s="1"/>
      <c r="R52" s="1"/>
      <c r="S52" s="1"/>
      <c r="T52" s="1"/>
      <c r="U52" s="1"/>
      <c r="V52" s="1"/>
      <c r="W52" s="1"/>
      <c r="X52" s="1"/>
      <c r="Y52" s="1"/>
      <c r="Z52" s="1"/>
    </row>
    <row r="53" spans="1:26" ht="15.75" customHeight="1">
      <c r="A53" s="1"/>
      <c r="B53" s="1"/>
      <c r="C53" s="1408" t="s">
        <v>1054</v>
      </c>
      <c r="D53" s="1362">
        <v>334327.45</v>
      </c>
      <c r="E53" s="1362" t="s">
        <v>1030</v>
      </c>
      <c r="F53" s="1409"/>
      <c r="G53" s="1364">
        <v>1409.4309175140002</v>
      </c>
      <c r="H53" s="1410">
        <v>5.7169993950000005E-2</v>
      </c>
      <c r="I53" s="1411">
        <v>1.143399879E-2</v>
      </c>
      <c r="J53" s="1"/>
      <c r="K53" s="1"/>
      <c r="L53" s="1"/>
      <c r="M53" s="1"/>
      <c r="N53" s="1"/>
      <c r="O53" s="1"/>
      <c r="P53" s="1"/>
      <c r="Q53" s="1"/>
      <c r="R53" s="1"/>
      <c r="S53" s="1"/>
      <c r="T53" s="1"/>
      <c r="U53" s="1"/>
      <c r="V53" s="1"/>
      <c r="W53" s="1"/>
      <c r="X53" s="1"/>
      <c r="Y53" s="1"/>
      <c r="Z53" s="1"/>
    </row>
    <row r="54" spans="1:26" ht="15.75" customHeight="1">
      <c r="A54" s="1"/>
      <c r="B54" s="1"/>
      <c r="C54" s="1367"/>
      <c r="D54" s="1334"/>
      <c r="E54" s="1334"/>
      <c r="F54" s="1"/>
      <c r="G54" s="1412"/>
      <c r="H54" s="1385"/>
      <c r="I54" s="1413"/>
      <c r="J54" s="1"/>
      <c r="K54" s="1"/>
      <c r="L54" s="1"/>
      <c r="M54" s="1"/>
      <c r="N54" s="1"/>
      <c r="O54" s="1"/>
      <c r="P54" s="1"/>
      <c r="Q54" s="1"/>
      <c r="R54" s="1"/>
      <c r="S54" s="1"/>
      <c r="T54" s="1"/>
      <c r="U54" s="1"/>
      <c r="V54" s="1"/>
      <c r="W54" s="1"/>
      <c r="X54" s="1"/>
      <c r="Y54" s="1"/>
      <c r="Z54" s="1"/>
    </row>
    <row r="55" spans="1:26" ht="15.75" customHeight="1">
      <c r="A55" s="1"/>
      <c r="B55" s="1"/>
      <c r="C55" s="1414" t="s">
        <v>1055</v>
      </c>
      <c r="D55" s="1339"/>
      <c r="E55" s="1339"/>
      <c r="F55" s="1415"/>
      <c r="G55" s="1416">
        <v>467712</v>
      </c>
      <c r="H55" s="1417">
        <v>25.788194239999999</v>
      </c>
      <c r="I55" s="1418">
        <v>3.6961192439999997</v>
      </c>
      <c r="J55" s="1"/>
      <c r="K55" s="1"/>
      <c r="L55" s="1"/>
      <c r="M55" s="1"/>
      <c r="N55" s="1"/>
      <c r="O55" s="1"/>
      <c r="P55" s="1"/>
      <c r="Q55" s="1"/>
      <c r="R55" s="1"/>
      <c r="S55" s="1"/>
      <c r="T55" s="1"/>
      <c r="U55" s="1"/>
      <c r="V55" s="1"/>
      <c r="W55" s="1"/>
      <c r="X55" s="1"/>
      <c r="Y55" s="1"/>
      <c r="Z55" s="1"/>
    </row>
    <row r="56" spans="1:26" ht="15.75" customHeight="1">
      <c r="A56" s="1"/>
      <c r="B56" s="1"/>
      <c r="C56" s="1419"/>
      <c r="D56" s="1334"/>
      <c r="E56" s="1334"/>
      <c r="F56" s="1"/>
      <c r="G56" s="1368"/>
      <c r="H56" s="1385"/>
      <c r="I56" s="1413"/>
      <c r="J56" s="1"/>
      <c r="K56" s="1"/>
      <c r="L56" s="1"/>
      <c r="M56" s="1"/>
      <c r="N56" s="1"/>
      <c r="O56" s="1"/>
      <c r="P56" s="1"/>
      <c r="Q56" s="1"/>
      <c r="R56" s="1"/>
      <c r="S56" s="1"/>
      <c r="T56" s="1"/>
      <c r="U56" s="1"/>
      <c r="V56" s="1"/>
      <c r="W56" s="1"/>
      <c r="X56" s="1"/>
      <c r="Y56" s="1"/>
      <c r="Z56" s="1"/>
    </row>
    <row r="57" spans="1:26" ht="15.75" customHeight="1">
      <c r="A57" s="1"/>
      <c r="B57" s="1"/>
      <c r="C57" s="1420" t="s">
        <v>1056</v>
      </c>
      <c r="D57" s="1421"/>
      <c r="E57" s="1421"/>
      <c r="F57" s="1399"/>
      <c r="G57" s="1422">
        <f t="shared" ref="G57:I57" si="7">G50</f>
        <v>196191.782271592</v>
      </c>
      <c r="H57" s="1423">
        <f t="shared" si="7"/>
        <v>25.788194239999999</v>
      </c>
      <c r="I57" s="1424">
        <f t="shared" si="7"/>
        <v>3.6961192439999997</v>
      </c>
      <c r="J57" s="1"/>
      <c r="K57" s="1"/>
      <c r="L57" s="1"/>
      <c r="M57" s="1"/>
      <c r="N57" s="1"/>
      <c r="O57" s="1"/>
      <c r="P57" s="1"/>
      <c r="Q57" s="1"/>
      <c r="R57" s="1"/>
      <c r="S57" s="1"/>
      <c r="T57" s="1"/>
      <c r="U57" s="1"/>
      <c r="V57" s="1"/>
      <c r="W57" s="1"/>
      <c r="X57" s="1"/>
      <c r="Y57" s="1"/>
      <c r="Z57" s="1"/>
    </row>
    <row r="58" spans="1:26" ht="15.75" customHeight="1">
      <c r="A58" s="1"/>
      <c r="B58" s="1"/>
      <c r="C58" s="1367"/>
      <c r="D58" s="1334"/>
      <c r="E58" s="1334"/>
      <c r="F58" s="1"/>
      <c r="G58" s="1412"/>
      <c r="H58" s="1385"/>
      <c r="I58" s="1413"/>
      <c r="J58" s="1"/>
      <c r="K58" s="1"/>
      <c r="L58" s="1"/>
      <c r="M58" s="1"/>
      <c r="N58" s="1"/>
      <c r="O58" s="1"/>
      <c r="P58" s="1"/>
      <c r="Q58" s="1"/>
      <c r="R58" s="1"/>
      <c r="S58" s="1"/>
      <c r="T58" s="1"/>
      <c r="U58" s="1"/>
      <c r="V58" s="1"/>
      <c r="W58" s="1"/>
      <c r="X58" s="1"/>
      <c r="Y58" s="1"/>
      <c r="Z58" s="1"/>
    </row>
    <row r="59" spans="1:26" ht="15.75" customHeight="1">
      <c r="A59" s="1"/>
      <c r="B59" s="1"/>
      <c r="C59" s="1425" t="s">
        <v>1057</v>
      </c>
      <c r="D59" s="1426"/>
      <c r="E59" s="1426"/>
      <c r="F59" s="1427"/>
      <c r="G59" s="1348">
        <f>G55-G57</f>
        <v>271520.217728408</v>
      </c>
      <c r="H59" s="1347">
        <v>51.633558473950004</v>
      </c>
      <c r="I59" s="1428">
        <v>7.4036724867899988</v>
      </c>
      <c r="J59" s="1"/>
      <c r="K59" s="1"/>
      <c r="L59" s="1"/>
      <c r="M59" s="1"/>
      <c r="N59" s="1"/>
      <c r="O59" s="1"/>
      <c r="P59" s="1"/>
      <c r="Q59" s="1"/>
      <c r="R59" s="1"/>
      <c r="S59" s="1"/>
      <c r="T59" s="1"/>
      <c r="U59" s="1"/>
      <c r="V59" s="1"/>
      <c r="W59" s="1"/>
      <c r="X59" s="1"/>
      <c r="Y59" s="1"/>
      <c r="Z59" s="1"/>
    </row>
    <row r="60" spans="1:26" ht="15.75" customHeight="1">
      <c r="A60" s="1"/>
      <c r="B60" s="1"/>
      <c r="C60" s="1367"/>
      <c r="D60" s="1334"/>
      <c r="E60" s="1334"/>
      <c r="F60" s="1"/>
      <c r="G60" s="1412"/>
      <c r="H60" s="1385"/>
      <c r="I60" s="1413"/>
      <c r="J60" s="1"/>
      <c r="K60" s="1"/>
      <c r="L60" s="1"/>
      <c r="M60" s="1"/>
      <c r="N60" s="1"/>
      <c r="O60" s="1"/>
      <c r="P60" s="1"/>
      <c r="Q60" s="1"/>
      <c r="R60" s="1"/>
      <c r="S60" s="1"/>
      <c r="T60" s="1"/>
      <c r="U60" s="1"/>
      <c r="V60" s="1"/>
      <c r="W60" s="1"/>
      <c r="X60" s="1"/>
      <c r="Y60" s="1"/>
      <c r="Z60" s="1"/>
    </row>
    <row r="61" spans="1:26" ht="15.75" customHeight="1">
      <c r="A61" s="1"/>
      <c r="B61" s="1"/>
      <c r="C61" s="1429" t="s">
        <v>1058</v>
      </c>
      <c r="D61" s="1370"/>
      <c r="E61" s="1370"/>
      <c r="F61" s="1430"/>
      <c r="G61" s="1431">
        <v>469121.43091751402</v>
      </c>
      <c r="H61" s="1431">
        <v>25.845364233950001</v>
      </c>
      <c r="I61" s="1432">
        <v>3.7075532427899995</v>
      </c>
      <c r="J61" s="1"/>
      <c r="K61" s="1"/>
      <c r="L61" s="1"/>
      <c r="M61" s="1"/>
      <c r="N61" s="1"/>
      <c r="O61" s="1"/>
      <c r="P61" s="1"/>
      <c r="Q61" s="1"/>
      <c r="R61" s="1"/>
      <c r="S61" s="1"/>
      <c r="T61" s="1"/>
      <c r="U61" s="1"/>
      <c r="V61" s="1"/>
      <c r="W61" s="1"/>
      <c r="X61" s="1"/>
      <c r="Y61" s="1"/>
      <c r="Z61" s="1"/>
    </row>
    <row r="62" spans="1:26" ht="15.75" customHeight="1">
      <c r="A62" s="1"/>
      <c r="B62" s="1"/>
      <c r="C62" s="433"/>
      <c r="D62" s="1334"/>
      <c r="E62" s="1334"/>
      <c r="F62" s="1"/>
      <c r="G62" s="1412"/>
      <c r="H62" s="1412"/>
      <c r="I62" s="1433"/>
      <c r="J62" s="1"/>
      <c r="K62" s="1"/>
      <c r="L62" s="1"/>
      <c r="M62" s="1"/>
      <c r="N62" s="1"/>
      <c r="O62" s="1"/>
      <c r="P62" s="1"/>
      <c r="Q62" s="1"/>
      <c r="R62" s="1"/>
      <c r="S62" s="1"/>
      <c r="T62" s="1"/>
      <c r="U62" s="1"/>
      <c r="V62" s="1"/>
      <c r="W62" s="1"/>
      <c r="X62" s="1"/>
      <c r="Y62" s="1"/>
      <c r="Z62" s="1"/>
    </row>
    <row r="63" spans="1:26" ht="45" customHeight="1">
      <c r="A63" s="1"/>
      <c r="B63" s="1"/>
      <c r="C63" s="1434"/>
      <c r="D63" s="1376"/>
      <c r="E63" s="1377" t="s">
        <v>1039</v>
      </c>
      <c r="F63" s="406"/>
      <c r="G63" s="1435"/>
      <c r="H63" s="1435"/>
      <c r="I63" s="1436"/>
      <c r="J63" s="1"/>
      <c r="K63" s="1"/>
      <c r="L63" s="1"/>
      <c r="M63" s="1"/>
      <c r="N63" s="1"/>
      <c r="O63" s="1"/>
      <c r="P63" s="1"/>
      <c r="Q63" s="1"/>
      <c r="R63" s="1"/>
      <c r="S63" s="1"/>
      <c r="T63" s="1"/>
      <c r="U63" s="1"/>
      <c r="V63" s="1"/>
      <c r="W63" s="1"/>
      <c r="X63" s="1"/>
      <c r="Y63" s="1"/>
      <c r="Z63" s="1"/>
    </row>
    <row r="64" spans="1:26" ht="15.75" customHeight="1">
      <c r="A64" s="1"/>
      <c r="B64" s="1"/>
      <c r="C64" s="433"/>
      <c r="D64" s="1334"/>
      <c r="E64" s="1334"/>
      <c r="F64" s="1"/>
      <c r="G64" s="1412"/>
      <c r="H64" s="1412"/>
      <c r="I64" s="1433"/>
      <c r="J64" s="1"/>
      <c r="K64" s="1"/>
      <c r="L64" s="1"/>
      <c r="M64" s="1"/>
      <c r="N64" s="1"/>
      <c r="O64" s="1"/>
      <c r="P64" s="1"/>
      <c r="Q64" s="1"/>
      <c r="R64" s="1"/>
      <c r="S64" s="1"/>
      <c r="T64" s="1"/>
      <c r="U64" s="1"/>
      <c r="V64" s="1"/>
      <c r="W64" s="1"/>
      <c r="X64" s="1"/>
      <c r="Y64" s="1"/>
      <c r="Z64" s="1"/>
    </row>
    <row r="65" spans="1:26" ht="15.75" customHeight="1">
      <c r="A65" s="1"/>
      <c r="B65" s="1"/>
      <c r="C65" s="433"/>
      <c r="D65" s="1334"/>
      <c r="E65" s="1334"/>
      <c r="F65" s="1"/>
      <c r="G65" s="1412"/>
      <c r="H65" s="1385"/>
      <c r="I65" s="1413"/>
      <c r="J65" s="1"/>
      <c r="K65" s="1"/>
      <c r="L65" s="1"/>
      <c r="M65" s="1"/>
      <c r="N65" s="1"/>
      <c r="O65" s="1"/>
      <c r="P65" s="1"/>
      <c r="Q65" s="1"/>
      <c r="R65" s="1"/>
      <c r="S65" s="1"/>
      <c r="T65" s="1"/>
      <c r="U65" s="1"/>
      <c r="V65" s="1"/>
      <c r="W65" s="1"/>
      <c r="X65" s="1"/>
      <c r="Y65" s="1"/>
      <c r="Z65" s="1"/>
    </row>
    <row r="66" spans="1:26" ht="15.75" customHeight="1">
      <c r="A66" s="1"/>
      <c r="B66" s="1"/>
      <c r="C66" s="1414" t="s">
        <v>1059</v>
      </c>
      <c r="D66" s="1437"/>
      <c r="E66" s="1437"/>
      <c r="F66" s="1415"/>
      <c r="G66" s="1438">
        <f t="shared" ref="G66:I66" si="8">G55*1.1023</f>
        <v>515558.9376</v>
      </c>
      <c r="H66" s="1439">
        <f t="shared" si="8"/>
        <v>28.426326510752002</v>
      </c>
      <c r="I66" s="1440">
        <f t="shared" si="8"/>
        <v>4.0742322426611999</v>
      </c>
      <c r="J66" s="1"/>
      <c r="K66" s="1"/>
      <c r="L66" s="1"/>
      <c r="M66" s="1"/>
      <c r="N66" s="1"/>
      <c r="O66" s="1"/>
      <c r="P66" s="1"/>
      <c r="Q66" s="1"/>
      <c r="R66" s="1"/>
      <c r="S66" s="1"/>
      <c r="T66" s="1"/>
      <c r="U66" s="1"/>
      <c r="V66" s="1"/>
      <c r="W66" s="1"/>
      <c r="X66" s="1"/>
      <c r="Y66" s="1"/>
      <c r="Z66" s="1"/>
    </row>
    <row r="67" spans="1:26" ht="15.75" customHeight="1">
      <c r="A67" s="1"/>
      <c r="B67" s="1"/>
      <c r="C67" s="1419"/>
      <c r="D67" s="1334"/>
      <c r="E67" s="1334"/>
      <c r="F67" s="1"/>
      <c r="G67" s="1412"/>
      <c r="H67" s="1385"/>
      <c r="I67" s="1413"/>
      <c r="J67" s="1"/>
      <c r="K67" s="1"/>
      <c r="L67" s="1"/>
      <c r="M67" s="1"/>
      <c r="N67" s="1"/>
      <c r="O67" s="1"/>
      <c r="P67" s="1"/>
      <c r="Q67" s="1"/>
      <c r="R67" s="1"/>
      <c r="S67" s="1"/>
      <c r="T67" s="1"/>
      <c r="U67" s="1"/>
      <c r="V67" s="1"/>
      <c r="W67" s="1"/>
      <c r="X67" s="1"/>
      <c r="Y67" s="1"/>
      <c r="Z67" s="1"/>
    </row>
    <row r="68" spans="1:26" ht="15.75" customHeight="1">
      <c r="A68" s="1"/>
      <c r="B68" s="1"/>
      <c r="C68" s="1420" t="s">
        <v>1060</v>
      </c>
      <c r="D68" s="1421"/>
      <c r="E68" s="1421"/>
      <c r="F68" s="1399"/>
      <c r="G68" s="1422">
        <f t="shared" ref="G68:I68" si="9">G50*1.1023</f>
        <v>216262.20159797589</v>
      </c>
      <c r="H68" s="1423">
        <f t="shared" si="9"/>
        <v>28.426326510752002</v>
      </c>
      <c r="I68" s="1424">
        <f t="shared" si="9"/>
        <v>4.0742322426611999</v>
      </c>
      <c r="J68" s="1"/>
      <c r="K68" s="1"/>
      <c r="L68" s="1"/>
      <c r="M68" s="1"/>
      <c r="N68" s="1"/>
      <c r="O68" s="1"/>
      <c r="P68" s="1"/>
      <c r="Q68" s="1"/>
      <c r="R68" s="1"/>
      <c r="S68" s="1"/>
      <c r="T68" s="1"/>
      <c r="U68" s="1"/>
      <c r="V68" s="1"/>
      <c r="W68" s="1"/>
      <c r="X68" s="1"/>
      <c r="Y68" s="1"/>
      <c r="Z68" s="1"/>
    </row>
    <row r="69" spans="1:26" ht="15.75" customHeight="1">
      <c r="A69" s="1"/>
      <c r="B69" s="1"/>
      <c r="C69" s="1367"/>
      <c r="D69" s="1334"/>
      <c r="E69" s="1334"/>
      <c r="F69" s="1"/>
      <c r="G69" s="1412"/>
      <c r="H69" s="1385"/>
      <c r="I69" s="1413"/>
      <c r="J69" s="1"/>
      <c r="K69" s="1"/>
      <c r="L69" s="1"/>
      <c r="M69" s="1"/>
      <c r="N69" s="1"/>
      <c r="O69" s="1"/>
      <c r="P69" s="1"/>
      <c r="Q69" s="1"/>
      <c r="R69" s="1"/>
      <c r="S69" s="1"/>
      <c r="T69" s="1"/>
      <c r="U69" s="1"/>
      <c r="V69" s="1"/>
      <c r="W69" s="1"/>
      <c r="X69" s="1"/>
      <c r="Y69" s="1"/>
      <c r="Z69" s="1"/>
    </row>
    <row r="70" spans="1:26" ht="15.75" customHeight="1">
      <c r="A70" s="1"/>
      <c r="B70" s="1"/>
      <c r="C70" s="1425" t="s">
        <v>1061</v>
      </c>
      <c r="D70" s="1426"/>
      <c r="E70" s="1426"/>
      <c r="F70" s="1427"/>
      <c r="G70" s="1441">
        <f t="shared" ref="G70:I70" si="10">G59*1.1023</f>
        <v>299296.73600202415</v>
      </c>
      <c r="H70" s="1347">
        <f t="shared" si="10"/>
        <v>56.915671505835093</v>
      </c>
      <c r="I70" s="1428">
        <f t="shared" si="10"/>
        <v>8.1610681821886164</v>
      </c>
      <c r="J70" s="1"/>
      <c r="K70" s="1"/>
      <c r="L70" s="1"/>
      <c r="M70" s="1"/>
      <c r="N70" s="1"/>
      <c r="O70" s="1"/>
      <c r="P70" s="1"/>
      <c r="Q70" s="1"/>
      <c r="R70" s="1"/>
      <c r="S70" s="1"/>
      <c r="T70" s="1"/>
      <c r="U70" s="1"/>
      <c r="V70" s="1"/>
      <c r="W70" s="1"/>
      <c r="X70" s="1"/>
      <c r="Y70" s="1"/>
      <c r="Z70" s="1"/>
    </row>
    <row r="71" spans="1:26" ht="15.75" customHeight="1">
      <c r="A71" s="1"/>
      <c r="B71" s="1"/>
      <c r="C71" s="1367"/>
      <c r="D71" s="1334"/>
      <c r="E71" s="1334"/>
      <c r="F71" s="1"/>
      <c r="G71" s="1412"/>
      <c r="H71" s="1385"/>
      <c r="I71" s="1413"/>
      <c r="J71" s="1"/>
      <c r="K71" s="1"/>
      <c r="L71" s="1"/>
      <c r="M71" s="1"/>
      <c r="N71" s="1"/>
      <c r="O71" s="1"/>
      <c r="P71" s="1"/>
      <c r="Q71" s="1"/>
      <c r="R71" s="1"/>
      <c r="S71" s="1"/>
      <c r="T71" s="1"/>
      <c r="U71" s="1"/>
      <c r="V71" s="1"/>
      <c r="W71" s="1"/>
      <c r="X71" s="1"/>
      <c r="Y71" s="1"/>
      <c r="Z71" s="1"/>
    </row>
    <row r="72" spans="1:26" ht="15.75" customHeight="1">
      <c r="A72" s="1"/>
      <c r="B72" s="1"/>
      <c r="C72" s="1429" t="s">
        <v>1062</v>
      </c>
      <c r="D72" s="1370"/>
      <c r="E72" s="1370"/>
      <c r="F72" s="1430"/>
      <c r="G72" s="1431">
        <f t="shared" ref="G72:I72" si="11">G61*1.1023</f>
        <v>517112.55330037576</v>
      </c>
      <c r="H72" s="1431">
        <f t="shared" si="11"/>
        <v>28.489344995083087</v>
      </c>
      <c r="I72" s="1432">
        <f t="shared" si="11"/>
        <v>4.0868359395274165</v>
      </c>
      <c r="J72" s="1"/>
      <c r="K72" s="1"/>
      <c r="L72" s="1"/>
      <c r="M72" s="1"/>
      <c r="N72" s="1"/>
      <c r="O72" s="1"/>
      <c r="P72" s="1"/>
      <c r="Q72" s="1"/>
      <c r="R72" s="1"/>
      <c r="S72" s="1"/>
      <c r="T72" s="1"/>
      <c r="U72" s="1"/>
      <c r="V72" s="1"/>
      <c r="W72" s="1"/>
      <c r="X72" s="1"/>
      <c r="Y72" s="1"/>
      <c r="Z72" s="1"/>
    </row>
    <row r="73" spans="1:26" ht="15.75" customHeight="1">
      <c r="A73" s="1"/>
      <c r="B73" s="1"/>
      <c r="C73" s="1442"/>
      <c r="D73" s="1443"/>
      <c r="E73" s="1443"/>
      <c r="F73" s="1444"/>
      <c r="G73" s="1443"/>
      <c r="H73" s="1443"/>
      <c r="I73" s="1445"/>
      <c r="J73" s="1"/>
      <c r="K73" s="1"/>
      <c r="L73" s="1"/>
      <c r="M73" s="1"/>
      <c r="N73" s="1"/>
      <c r="O73" s="1"/>
      <c r="P73" s="1"/>
      <c r="Q73" s="1"/>
      <c r="R73" s="1"/>
      <c r="S73" s="1"/>
      <c r="T73" s="1"/>
      <c r="U73" s="1"/>
      <c r="V73" s="1"/>
      <c r="W73" s="1"/>
      <c r="X73" s="1"/>
      <c r="Y73" s="1"/>
      <c r="Z73" s="1"/>
    </row>
    <row r="74" spans="1:26" ht="15.75" customHeight="1">
      <c r="A74" s="1"/>
      <c r="B74" s="1"/>
      <c r="C74" s="292"/>
      <c r="D74" s="1"/>
      <c r="E74" s="1"/>
      <c r="F74" s="1"/>
      <c r="G74" s="1"/>
      <c r="H74" s="1"/>
      <c r="I74" s="728"/>
      <c r="J74" s="1"/>
      <c r="K74" s="1"/>
      <c r="L74" s="1"/>
      <c r="M74" s="1"/>
      <c r="N74" s="1"/>
      <c r="O74" s="1"/>
      <c r="P74" s="1"/>
      <c r="Q74" s="1"/>
      <c r="R74" s="1"/>
      <c r="S74" s="1"/>
      <c r="T74" s="1"/>
      <c r="U74" s="1"/>
      <c r="V74" s="1"/>
      <c r="W74" s="1"/>
      <c r="X74" s="1"/>
      <c r="Y74" s="1"/>
      <c r="Z74" s="1"/>
    </row>
    <row r="75" spans="1:26" ht="15.75" customHeight="1">
      <c r="A75" s="1"/>
      <c r="B75" s="1"/>
      <c r="C75" s="292"/>
      <c r="D75" s="1"/>
      <c r="E75" s="1"/>
      <c r="F75" s="1"/>
      <c r="G75" s="1"/>
      <c r="H75" s="1"/>
      <c r="I75" s="728"/>
      <c r="J75" s="1"/>
      <c r="K75" s="1"/>
      <c r="L75" s="1"/>
      <c r="M75" s="1"/>
      <c r="N75" s="1"/>
      <c r="O75" s="1"/>
      <c r="P75" s="1"/>
      <c r="Q75" s="1"/>
      <c r="R75" s="1"/>
      <c r="S75" s="1"/>
      <c r="T75" s="1"/>
      <c r="U75" s="1"/>
      <c r="V75" s="1"/>
      <c r="W75" s="1"/>
      <c r="X75" s="1"/>
      <c r="Y75" s="1"/>
      <c r="Z75" s="1"/>
    </row>
    <row r="76" spans="1:26" ht="15.75" customHeight="1">
      <c r="A76" s="1"/>
      <c r="B76" s="41" t="s">
        <v>1063</v>
      </c>
      <c r="C76" s="1446" t="s">
        <v>1064</v>
      </c>
      <c r="D76" s="1447"/>
      <c r="E76" s="1447"/>
      <c r="F76" s="1447"/>
      <c r="G76" s="1448">
        <f>G70+G35</f>
        <v>1012203.5486204404</v>
      </c>
      <c r="H76" s="1"/>
      <c r="I76" s="728"/>
      <c r="J76" s="1"/>
      <c r="K76" s="1"/>
      <c r="L76" s="1"/>
      <c r="M76" s="1"/>
      <c r="N76" s="1"/>
      <c r="O76" s="1"/>
      <c r="P76" s="1"/>
      <c r="Q76" s="1"/>
      <c r="R76" s="1"/>
      <c r="S76" s="1"/>
      <c r="T76" s="1"/>
      <c r="U76" s="1"/>
      <c r="V76" s="1"/>
      <c r="W76" s="1"/>
      <c r="X76" s="1"/>
      <c r="Y76" s="1"/>
      <c r="Z76" s="1"/>
    </row>
    <row r="77" spans="1:26" ht="15.75" customHeight="1">
      <c r="A77" s="1"/>
      <c r="B77" s="1"/>
      <c r="C77" s="269"/>
      <c r="D77" s="1"/>
      <c r="E77" s="1"/>
      <c r="F77" s="1"/>
      <c r="G77" s="1449"/>
      <c r="H77" s="1"/>
      <c r="I77" s="728"/>
      <c r="J77" s="1"/>
      <c r="K77" s="1"/>
      <c r="L77" s="1"/>
      <c r="M77" s="1"/>
      <c r="N77" s="1"/>
      <c r="O77" s="1"/>
      <c r="P77" s="1"/>
      <c r="Q77" s="1"/>
      <c r="R77" s="1"/>
      <c r="S77" s="1"/>
      <c r="T77" s="1"/>
      <c r="U77" s="1"/>
      <c r="V77" s="1"/>
      <c r="W77" s="1"/>
      <c r="X77" s="1"/>
      <c r="Y77" s="1"/>
      <c r="Z77" s="1"/>
    </row>
    <row r="78" spans="1:26" ht="15.75" customHeight="1">
      <c r="A78" s="1"/>
      <c r="B78" s="1"/>
      <c r="C78" s="1446" t="s">
        <v>1065</v>
      </c>
      <c r="D78" s="1"/>
      <c r="E78" s="1"/>
      <c r="F78" s="1"/>
      <c r="G78" s="683">
        <f>G76*0.90718474</f>
        <v>918255.6130823117</v>
      </c>
      <c r="H78" s="1"/>
      <c r="I78" s="728"/>
      <c r="J78" s="1"/>
      <c r="K78" s="1"/>
      <c r="L78" s="1"/>
      <c r="M78" s="1"/>
      <c r="N78" s="1"/>
      <c r="O78" s="1"/>
      <c r="P78" s="1"/>
      <c r="Q78" s="1"/>
      <c r="R78" s="1"/>
      <c r="S78" s="1"/>
      <c r="T78" s="1"/>
      <c r="U78" s="1"/>
      <c r="V78" s="1"/>
      <c r="W78" s="1"/>
      <c r="X78" s="1"/>
      <c r="Y78" s="1"/>
      <c r="Z78" s="1"/>
    </row>
    <row r="79" spans="1:26" ht="15.75" customHeight="1">
      <c r="A79" s="1"/>
      <c r="B79" s="1"/>
      <c r="C79" s="269"/>
      <c r="D79" s="1"/>
      <c r="E79" s="1"/>
      <c r="F79" s="1"/>
      <c r="G79" s="1"/>
      <c r="H79" s="1"/>
      <c r="I79" s="728"/>
      <c r="J79" s="1"/>
      <c r="K79" s="1"/>
      <c r="L79" s="1"/>
      <c r="M79" s="1"/>
      <c r="N79" s="1"/>
      <c r="O79" s="1"/>
      <c r="P79" s="1"/>
      <c r="Q79" s="1"/>
      <c r="R79" s="1"/>
      <c r="S79" s="1"/>
      <c r="T79" s="1"/>
      <c r="U79" s="1"/>
      <c r="V79" s="1"/>
      <c r="W79" s="1"/>
      <c r="X79" s="1"/>
      <c r="Y79" s="1"/>
      <c r="Z79" s="1"/>
    </row>
    <row r="80" spans="1:26" ht="15.75" customHeight="1">
      <c r="A80" s="1"/>
      <c r="B80" s="1"/>
      <c r="C80" s="1446" t="s">
        <v>1066</v>
      </c>
      <c r="D80" s="1"/>
      <c r="E80" s="1"/>
      <c r="F80" s="1"/>
      <c r="G80" s="1449">
        <f>G78/1000000</f>
        <v>0.91825561308231174</v>
      </c>
      <c r="H80" s="1"/>
      <c r="I80" s="728"/>
      <c r="J80" s="1"/>
      <c r="K80" s="1"/>
      <c r="L80" s="1"/>
      <c r="M80" s="1"/>
      <c r="N80" s="1"/>
      <c r="O80" s="1"/>
      <c r="P80" s="1"/>
      <c r="Q80" s="1"/>
      <c r="R80" s="1"/>
      <c r="S80" s="1"/>
      <c r="T80" s="1"/>
      <c r="U80" s="1"/>
      <c r="V80" s="1"/>
      <c r="W80" s="1"/>
      <c r="X80" s="1"/>
      <c r="Y80" s="1"/>
      <c r="Z80" s="1"/>
    </row>
    <row r="81" spans="1:26" ht="15.75" customHeight="1">
      <c r="A81" s="1"/>
      <c r="B81" s="1"/>
      <c r="C81" s="269"/>
      <c r="D81" s="1"/>
      <c r="E81" s="1"/>
      <c r="F81" s="1"/>
      <c r="G81" s="1449"/>
      <c r="H81" s="1"/>
      <c r="I81" s="728"/>
      <c r="J81" s="1"/>
      <c r="K81" s="1"/>
      <c r="L81" s="1"/>
      <c r="M81" s="1"/>
      <c r="N81" s="1"/>
      <c r="O81" s="1"/>
      <c r="P81" s="1"/>
      <c r="Q81" s="1"/>
      <c r="R81" s="1"/>
      <c r="S81" s="1"/>
      <c r="T81" s="1"/>
      <c r="U81" s="1"/>
      <c r="V81" s="1"/>
      <c r="W81" s="1"/>
      <c r="X81" s="1"/>
      <c r="Y81" s="1"/>
      <c r="Z81" s="1"/>
    </row>
    <row r="82" spans="1:26" ht="15.75" customHeight="1">
      <c r="A82" s="1"/>
      <c r="B82" s="1"/>
      <c r="C82" s="301"/>
      <c r="D82" s="388"/>
      <c r="E82" s="388"/>
      <c r="F82" s="388"/>
      <c r="G82" s="388"/>
      <c r="H82" s="388"/>
      <c r="I82" s="733"/>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1000"/>
  <sheetViews>
    <sheetView workbookViewId="0"/>
  </sheetViews>
  <sheetFormatPr defaultColWidth="16.85546875" defaultRowHeight="15" customHeight="1"/>
  <cols>
    <col min="1" max="2" width="9.28515625" customWidth="1"/>
    <col min="3" max="3" width="34" customWidth="1"/>
    <col min="4" max="4" width="19.7109375" customWidth="1"/>
    <col min="5" max="5" width="3.85546875" customWidth="1"/>
    <col min="6" max="6" width="15.85546875" customWidth="1"/>
    <col min="7" max="7" width="3.85546875" customWidth="1"/>
    <col min="8" max="8" width="19.7109375" customWidth="1"/>
    <col min="9" max="9" width="3.85546875" customWidth="1"/>
    <col min="10" max="10" width="11.7109375" customWidth="1"/>
    <col min="11" max="11" width="9.28515625" customWidth="1"/>
    <col min="12" max="12" width="13.140625" customWidth="1"/>
    <col min="13" max="13" width="9.28515625" customWidth="1"/>
    <col min="14" max="19" width="8" customWidth="1"/>
    <col min="20" max="20" width="39.140625" customWidth="1"/>
    <col min="21" max="35" width="8" customWidth="1"/>
  </cols>
  <sheetData>
    <row r="1" spans="1:35" ht="22.5" customHeight="1">
      <c r="A1" s="41" t="s">
        <v>69</v>
      </c>
      <c r="B1" s="1"/>
      <c r="C1" s="1"/>
      <c r="D1" s="1"/>
      <c r="E1" s="1"/>
      <c r="F1" s="1"/>
      <c r="G1" s="1"/>
      <c r="H1" s="1"/>
      <c r="I1" s="1"/>
      <c r="J1" s="1"/>
      <c r="K1" s="1"/>
      <c r="L1" s="42"/>
      <c r="M1" s="1"/>
      <c r="N1" s="1"/>
      <c r="O1" s="1"/>
      <c r="P1" s="1"/>
      <c r="Q1" s="1"/>
      <c r="R1" s="1"/>
      <c r="S1" s="1"/>
      <c r="T1" s="1"/>
      <c r="U1" s="1"/>
      <c r="V1" s="1"/>
      <c r="W1" s="1"/>
      <c r="X1" s="1"/>
      <c r="Y1" s="1"/>
      <c r="Z1" s="1"/>
      <c r="AA1" s="1"/>
      <c r="AB1" s="1"/>
      <c r="AC1" s="1"/>
      <c r="AD1" s="1"/>
      <c r="AE1" s="1"/>
      <c r="AF1" s="1"/>
      <c r="AG1" s="1"/>
      <c r="AH1" s="1"/>
      <c r="AI1" s="1"/>
    </row>
    <row r="2" spans="1:35" ht="229.5" customHeight="1">
      <c r="A2" s="1"/>
      <c r="B2" s="41"/>
      <c r="C2" s="39"/>
      <c r="D2" s="39"/>
      <c r="E2" s="39"/>
      <c r="F2" s="39"/>
      <c r="G2" s="39"/>
      <c r="H2" s="39"/>
      <c r="I2" s="39"/>
      <c r="J2" s="39"/>
      <c r="K2" s="39"/>
      <c r="L2" s="39"/>
      <c r="M2" s="1"/>
      <c r="N2" s="1"/>
      <c r="O2" s="1"/>
      <c r="P2" s="1"/>
      <c r="Q2" s="1"/>
      <c r="R2" s="1"/>
      <c r="S2" s="1"/>
      <c r="T2" s="1"/>
      <c r="U2" s="1"/>
      <c r="V2" s="1"/>
      <c r="W2" s="1"/>
      <c r="X2" s="1"/>
      <c r="Y2" s="1"/>
      <c r="Z2" s="1"/>
      <c r="AA2" s="1"/>
      <c r="AB2" s="1"/>
      <c r="AC2" s="1"/>
      <c r="AD2" s="1"/>
      <c r="AE2" s="1"/>
      <c r="AF2" s="1"/>
      <c r="AG2" s="1"/>
      <c r="AH2" s="1"/>
      <c r="AI2" s="1"/>
    </row>
    <row r="3" spans="1:35" ht="14.4">
      <c r="A3" s="1"/>
      <c r="B3" s="1"/>
      <c r="C3" s="43" t="s">
        <v>71</v>
      </c>
      <c r="D3" s="35"/>
      <c r="E3" s="35"/>
      <c r="F3" s="35"/>
      <c r="G3" s="35"/>
      <c r="H3" s="35"/>
      <c r="I3" s="35"/>
      <c r="J3" s="35"/>
      <c r="K3" s="35"/>
      <c r="L3" s="44"/>
      <c r="M3" s="1"/>
      <c r="N3" s="1"/>
      <c r="O3" s="1"/>
      <c r="P3" s="1"/>
      <c r="Q3" s="1"/>
      <c r="R3" s="1"/>
      <c r="S3" s="1"/>
      <c r="T3" s="1"/>
      <c r="U3" s="1"/>
      <c r="V3" s="1"/>
      <c r="W3" s="1"/>
      <c r="X3" s="1"/>
      <c r="Y3" s="1"/>
      <c r="Z3" s="1"/>
      <c r="AA3" s="1"/>
      <c r="AB3" s="1"/>
      <c r="AC3" s="1"/>
      <c r="AD3" s="1"/>
      <c r="AE3" s="1"/>
      <c r="AF3" s="1"/>
      <c r="AG3" s="1"/>
      <c r="AH3" s="1"/>
      <c r="AI3" s="1"/>
    </row>
    <row r="4" spans="1:35" ht="57.75" customHeight="1">
      <c r="A4" s="1"/>
      <c r="B4" s="1"/>
      <c r="C4" s="36"/>
      <c r="D4" s="45" t="s">
        <v>72</v>
      </c>
      <c r="E4" s="46"/>
      <c r="F4" s="47" t="s">
        <v>73</v>
      </c>
      <c r="G4" s="1"/>
      <c r="H4" s="47" t="s">
        <v>74</v>
      </c>
      <c r="I4" s="1"/>
      <c r="J4" s="47" t="s">
        <v>75</v>
      </c>
      <c r="K4" s="1"/>
      <c r="L4" s="48"/>
      <c r="M4" s="1"/>
      <c r="N4" s="1"/>
      <c r="O4" s="2237" t="s">
        <v>1</v>
      </c>
      <c r="P4" s="2238"/>
      <c r="Q4" s="1"/>
      <c r="R4" s="1"/>
      <c r="S4" s="1"/>
      <c r="T4" s="1"/>
      <c r="U4" s="1"/>
      <c r="V4" s="1"/>
      <c r="W4" s="1"/>
      <c r="X4" s="1"/>
      <c r="Y4" s="1"/>
      <c r="Z4" s="1"/>
      <c r="AA4" s="1"/>
      <c r="AB4" s="1"/>
      <c r="AC4" s="1"/>
      <c r="AD4" s="1"/>
      <c r="AE4" s="1"/>
      <c r="AF4" s="1"/>
      <c r="AG4" s="1"/>
      <c r="AH4" s="1"/>
      <c r="AI4" s="1"/>
    </row>
    <row r="5" spans="1:35" ht="14.4">
      <c r="A5" s="1"/>
      <c r="B5" s="1"/>
      <c r="C5" s="36" t="s">
        <v>76</v>
      </c>
      <c r="D5" s="49">
        <v>194556</v>
      </c>
      <c r="E5" s="50" t="s">
        <v>77</v>
      </c>
      <c r="F5" s="51">
        <v>0.44</v>
      </c>
      <c r="G5" s="50" t="s">
        <v>78</v>
      </c>
      <c r="H5" s="49">
        <f t="shared" ref="H5:H7" si="0">J5*12/44</f>
        <v>23346.719999999998</v>
      </c>
      <c r="I5" s="50" t="s">
        <v>78</v>
      </c>
      <c r="J5" s="49">
        <f t="shared" ref="J5:J7" si="1">IF(ISERROR(D5*F5),0,D5*F5)</f>
        <v>85604.64</v>
      </c>
      <c r="K5" s="1"/>
      <c r="L5" s="48"/>
      <c r="M5" s="1"/>
      <c r="N5" s="1"/>
      <c r="O5" s="52"/>
      <c r="P5" s="52"/>
      <c r="Q5" s="1"/>
      <c r="R5" s="1"/>
      <c r="S5" s="1"/>
      <c r="T5" s="1"/>
      <c r="U5" s="1"/>
      <c r="V5" s="1"/>
      <c r="W5" s="1"/>
      <c r="X5" s="1"/>
      <c r="Y5" s="1"/>
      <c r="Z5" s="1"/>
      <c r="AA5" s="1"/>
      <c r="AB5" s="1"/>
      <c r="AC5" s="1"/>
      <c r="AD5" s="1"/>
      <c r="AE5" s="1"/>
      <c r="AF5" s="1"/>
      <c r="AG5" s="1"/>
      <c r="AH5" s="1"/>
      <c r="AI5" s="1"/>
    </row>
    <row r="6" spans="1:35" ht="14.4">
      <c r="A6" s="1"/>
      <c r="B6" s="1"/>
      <c r="C6" s="36" t="s">
        <v>79</v>
      </c>
      <c r="D6" s="49">
        <v>0</v>
      </c>
      <c r="E6" s="50" t="s">
        <v>77</v>
      </c>
      <c r="F6" s="51">
        <v>0.48400000000000004</v>
      </c>
      <c r="G6" s="50" t="s">
        <v>78</v>
      </c>
      <c r="H6" s="49">
        <f t="shared" si="0"/>
        <v>0</v>
      </c>
      <c r="I6" s="50" t="s">
        <v>78</v>
      </c>
      <c r="J6" s="49">
        <f t="shared" si="1"/>
        <v>0</v>
      </c>
      <c r="K6" s="1"/>
      <c r="L6" s="48"/>
      <c r="M6" s="1"/>
      <c r="N6" s="1"/>
      <c r="O6" s="53" t="s">
        <v>80</v>
      </c>
      <c r="P6" s="54">
        <f>Summary!E4</f>
        <v>1</v>
      </c>
      <c r="Q6" s="1"/>
      <c r="R6" s="1"/>
      <c r="S6" s="1"/>
      <c r="T6" s="1"/>
      <c r="U6" s="1"/>
      <c r="V6" s="1"/>
      <c r="W6" s="1"/>
      <c r="X6" s="1"/>
      <c r="Y6" s="1"/>
      <c r="Z6" s="1"/>
      <c r="AA6" s="1"/>
      <c r="AB6" s="1"/>
      <c r="AC6" s="1"/>
      <c r="AD6" s="1"/>
      <c r="AE6" s="1"/>
      <c r="AF6" s="1"/>
      <c r="AG6" s="1"/>
      <c r="AH6" s="1"/>
      <c r="AI6" s="1"/>
    </row>
    <row r="7" spans="1:35" ht="14.4">
      <c r="A7" s="1"/>
      <c r="B7" s="1"/>
      <c r="C7" s="36" t="s">
        <v>81</v>
      </c>
      <c r="D7" s="55"/>
      <c r="E7" s="50" t="s">
        <v>77</v>
      </c>
      <c r="F7" s="51">
        <v>1.7966666666666669</v>
      </c>
      <c r="G7" s="50" t="s">
        <v>78</v>
      </c>
      <c r="H7" s="49">
        <f t="shared" si="0"/>
        <v>0</v>
      </c>
      <c r="I7" s="50" t="s">
        <v>78</v>
      </c>
      <c r="J7" s="49">
        <f t="shared" si="1"/>
        <v>0</v>
      </c>
      <c r="K7" s="1"/>
      <c r="L7" s="48"/>
      <c r="M7" s="1"/>
      <c r="N7" s="1"/>
      <c r="O7" s="53" t="s">
        <v>82</v>
      </c>
      <c r="P7" s="54">
        <f>Summary!E5</f>
        <v>28</v>
      </c>
      <c r="Q7" s="1"/>
      <c r="R7" s="1"/>
      <c r="S7" s="1"/>
      <c r="T7" s="1"/>
      <c r="U7" s="1"/>
      <c r="V7" s="1"/>
      <c r="W7" s="1"/>
      <c r="X7" s="1"/>
      <c r="Y7" s="1"/>
      <c r="Z7" s="1"/>
      <c r="AA7" s="1"/>
      <c r="AB7" s="1"/>
      <c r="AC7" s="1"/>
      <c r="AD7" s="1"/>
      <c r="AE7" s="1"/>
      <c r="AF7" s="1"/>
      <c r="AG7" s="1"/>
      <c r="AH7" s="1"/>
      <c r="AI7" s="1"/>
    </row>
    <row r="8" spans="1:35" ht="14.4">
      <c r="A8" s="1"/>
      <c r="B8" s="41"/>
      <c r="C8" s="38"/>
      <c r="D8" s="39"/>
      <c r="E8" s="39"/>
      <c r="F8" s="39"/>
      <c r="G8" s="39"/>
      <c r="H8" s="39"/>
      <c r="I8" s="39"/>
      <c r="J8" s="39"/>
      <c r="K8" s="39"/>
      <c r="L8" s="56"/>
      <c r="M8" s="1"/>
      <c r="N8" s="1"/>
      <c r="O8" s="53" t="s">
        <v>83</v>
      </c>
      <c r="P8" s="54">
        <f>Summary!E6</f>
        <v>265</v>
      </c>
      <c r="Q8" s="1"/>
      <c r="R8" s="1"/>
      <c r="S8" s="1"/>
      <c r="T8" s="1"/>
      <c r="U8" s="1"/>
      <c r="V8" s="1"/>
      <c r="W8" s="1"/>
      <c r="X8" s="1"/>
      <c r="Y8" s="1"/>
      <c r="Z8" s="1"/>
      <c r="AA8" s="1"/>
      <c r="AB8" s="1"/>
      <c r="AC8" s="1"/>
      <c r="AD8" s="1"/>
      <c r="AE8" s="1"/>
      <c r="AF8" s="1"/>
      <c r="AG8" s="1"/>
      <c r="AH8" s="1"/>
      <c r="AI8" s="1"/>
    </row>
    <row r="9" spans="1:35" ht="14.4">
      <c r="A9" s="1"/>
      <c r="B9" s="41"/>
      <c r="C9" s="57" t="s">
        <v>84</v>
      </c>
      <c r="D9" s="1"/>
      <c r="E9" s="1"/>
      <c r="F9" s="1"/>
      <c r="G9" s="1"/>
      <c r="H9" s="1"/>
      <c r="I9" s="1"/>
      <c r="J9" s="1"/>
      <c r="K9" s="1"/>
      <c r="L9" s="48"/>
      <c r="M9" s="1"/>
      <c r="N9" s="1"/>
      <c r="O9" s="53" t="s">
        <v>85</v>
      </c>
      <c r="P9" s="54">
        <f>Summary!E7</f>
        <v>23500</v>
      </c>
      <c r="Q9" s="1"/>
      <c r="R9" s="1"/>
      <c r="S9" s="1"/>
      <c r="T9" s="1"/>
      <c r="U9" s="1"/>
      <c r="V9" s="1"/>
      <c r="W9" s="1"/>
      <c r="X9" s="1"/>
      <c r="Y9" s="1"/>
      <c r="Z9" s="1"/>
      <c r="AA9" s="1"/>
      <c r="AB9" s="1"/>
      <c r="AC9" s="1"/>
      <c r="AD9" s="1"/>
      <c r="AE9" s="1"/>
      <c r="AF9" s="1"/>
      <c r="AG9" s="1"/>
      <c r="AH9" s="1"/>
      <c r="AI9" s="1"/>
    </row>
    <row r="10" spans="1:35" ht="57.75" customHeight="1">
      <c r="A10" s="1"/>
      <c r="B10" s="41"/>
      <c r="C10" s="36"/>
      <c r="D10" s="47" t="s">
        <v>86</v>
      </c>
      <c r="E10" s="46"/>
      <c r="F10" s="47" t="s">
        <v>87</v>
      </c>
      <c r="G10" s="1"/>
      <c r="H10" s="47" t="s">
        <v>74</v>
      </c>
      <c r="I10" s="1"/>
      <c r="J10" s="47" t="s">
        <v>88</v>
      </c>
      <c r="K10" s="1"/>
      <c r="L10" s="48"/>
      <c r="M10" s="1"/>
      <c r="N10" s="1"/>
      <c r="O10" s="53"/>
      <c r="P10" s="54"/>
      <c r="Q10" s="1"/>
      <c r="R10" s="1"/>
      <c r="S10" s="1"/>
      <c r="T10" s="1"/>
      <c r="U10" s="1"/>
      <c r="V10" s="1"/>
      <c r="W10" s="1"/>
      <c r="X10" s="1"/>
      <c r="Y10" s="1"/>
      <c r="Z10" s="1"/>
      <c r="AA10" s="1"/>
      <c r="AB10" s="1"/>
      <c r="AC10" s="1"/>
      <c r="AD10" s="1"/>
      <c r="AE10" s="1"/>
      <c r="AF10" s="1"/>
      <c r="AG10" s="1"/>
      <c r="AH10" s="1"/>
      <c r="AI10" s="1"/>
    </row>
    <row r="11" spans="1:35" ht="14.4">
      <c r="A11" s="1"/>
      <c r="B11" s="41"/>
      <c r="C11" s="36" t="s">
        <v>89</v>
      </c>
      <c r="D11" s="49">
        <v>0</v>
      </c>
      <c r="E11" s="50" t="s">
        <v>77</v>
      </c>
      <c r="F11" s="51">
        <v>9.74E-2</v>
      </c>
      <c r="G11" s="50" t="s">
        <v>78</v>
      </c>
      <c r="H11" s="49">
        <f t="shared" ref="H11:H12" si="2">J11*12/44</f>
        <v>0</v>
      </c>
      <c r="I11" s="50" t="s">
        <v>78</v>
      </c>
      <c r="J11" s="49">
        <f t="shared" ref="J11:J12" si="3">IF(ISERROR(D11*F11),0,D11*F11)</f>
        <v>0</v>
      </c>
      <c r="K11" s="1"/>
      <c r="L11" s="48"/>
      <c r="M11" s="1"/>
      <c r="N11" s="1"/>
      <c r="O11" s="1"/>
      <c r="P11" s="1"/>
      <c r="Q11" s="1"/>
      <c r="R11" s="1"/>
      <c r="S11" s="1"/>
      <c r="T11" s="1"/>
      <c r="U11" s="1"/>
      <c r="V11" s="1"/>
      <c r="W11" s="1"/>
      <c r="X11" s="1"/>
      <c r="Y11" s="1"/>
      <c r="Z11" s="1"/>
      <c r="AA11" s="1"/>
      <c r="AB11" s="1"/>
      <c r="AC11" s="1"/>
      <c r="AD11" s="1"/>
      <c r="AE11" s="1"/>
      <c r="AF11" s="1"/>
      <c r="AG11" s="1"/>
      <c r="AH11" s="1"/>
      <c r="AI11" s="1"/>
    </row>
    <row r="12" spans="1:35" ht="14.4">
      <c r="A12" s="1"/>
      <c r="B12" s="41"/>
      <c r="C12" s="36" t="s">
        <v>90</v>
      </c>
      <c r="D12" s="49">
        <v>97265.37</v>
      </c>
      <c r="E12" s="50" t="s">
        <v>77</v>
      </c>
      <c r="F12" s="51">
        <v>0.41499999999999998</v>
      </c>
      <c r="G12" s="50" t="s">
        <v>78</v>
      </c>
      <c r="H12" s="49">
        <f t="shared" si="2"/>
        <v>11008.671422727271</v>
      </c>
      <c r="I12" s="50" t="s">
        <v>78</v>
      </c>
      <c r="J12" s="49">
        <f t="shared" si="3"/>
        <v>40365.128549999994</v>
      </c>
      <c r="K12" s="1"/>
      <c r="L12" s="48"/>
      <c r="M12" s="1"/>
      <c r="N12" s="1"/>
      <c r="O12" s="1"/>
      <c r="P12" s="1"/>
      <c r="Q12" s="1"/>
      <c r="R12" s="1"/>
      <c r="S12" s="1"/>
      <c r="T12" s="58" t="s">
        <v>91</v>
      </c>
      <c r="U12" s="59"/>
      <c r="V12" s="58"/>
      <c r="W12" s="58"/>
      <c r="X12" s="58"/>
      <c r="Y12" s="58"/>
      <c r="Z12" s="58"/>
      <c r="AA12" s="58"/>
      <c r="AB12" s="58"/>
      <c r="AC12" s="58"/>
      <c r="AD12" s="58"/>
      <c r="AE12" s="58"/>
      <c r="AF12" s="58"/>
      <c r="AG12" s="58"/>
      <c r="AH12" s="58"/>
      <c r="AI12" s="58"/>
    </row>
    <row r="13" spans="1:35" ht="14.4">
      <c r="A13" s="1"/>
      <c r="B13" s="41"/>
      <c r="C13" s="38"/>
      <c r="D13" s="39"/>
      <c r="E13" s="39"/>
      <c r="F13" s="39"/>
      <c r="G13" s="39"/>
      <c r="H13" s="39"/>
      <c r="I13" s="39"/>
      <c r="J13" s="39"/>
      <c r="K13" s="39"/>
      <c r="L13" s="56"/>
      <c r="M13" s="1"/>
      <c r="N13" s="1"/>
      <c r="O13" s="1"/>
      <c r="P13" s="1"/>
      <c r="Q13" s="1"/>
      <c r="R13" s="1"/>
      <c r="S13" s="1"/>
      <c r="T13" s="60" t="s">
        <v>92</v>
      </c>
      <c r="U13" s="61">
        <v>2006</v>
      </c>
      <c r="V13" s="61">
        <v>2007</v>
      </c>
      <c r="W13" s="61">
        <v>2008</v>
      </c>
      <c r="X13" s="61">
        <v>2009</v>
      </c>
      <c r="Y13" s="61">
        <v>2010</v>
      </c>
      <c r="Z13" s="61">
        <v>2011</v>
      </c>
      <c r="AA13" s="61">
        <v>2012</v>
      </c>
      <c r="AB13" s="61">
        <v>2013</v>
      </c>
      <c r="AC13" s="61">
        <v>2014</v>
      </c>
      <c r="AD13" s="61">
        <v>2015</v>
      </c>
      <c r="AE13" s="61">
        <v>2016</v>
      </c>
      <c r="AF13" s="61">
        <v>2017</v>
      </c>
      <c r="AG13" s="61">
        <v>2018</v>
      </c>
      <c r="AH13" s="61">
        <v>2019</v>
      </c>
      <c r="AI13" s="61">
        <v>2020</v>
      </c>
    </row>
    <row r="14" spans="1:35" ht="14.4">
      <c r="A14" s="1"/>
      <c r="B14" s="41"/>
      <c r="C14" s="57" t="s">
        <v>93</v>
      </c>
      <c r="D14" s="1"/>
      <c r="E14" s="1"/>
      <c r="F14" s="1"/>
      <c r="G14" s="1"/>
      <c r="H14" s="1"/>
      <c r="I14" s="1"/>
      <c r="J14" s="1"/>
      <c r="K14" s="1"/>
      <c r="L14" s="48"/>
      <c r="M14" s="1"/>
      <c r="N14" s="1"/>
      <c r="O14" s="1"/>
      <c r="P14" s="1"/>
      <c r="Q14" s="1"/>
      <c r="R14" s="1"/>
      <c r="S14" s="1"/>
      <c r="T14" s="62" t="s">
        <v>94</v>
      </c>
      <c r="U14" s="63">
        <v>1.6982968490000001</v>
      </c>
      <c r="V14" s="63">
        <v>1.8171300619999999</v>
      </c>
      <c r="W14" s="63">
        <v>1.9474016679999999</v>
      </c>
      <c r="X14" s="63">
        <v>2.2363934209999998</v>
      </c>
      <c r="Y14" s="63">
        <v>2.2756309529999998</v>
      </c>
      <c r="Z14" s="63">
        <v>2.6494067449999998</v>
      </c>
      <c r="AA14" s="63">
        <v>2.2622070939999999</v>
      </c>
      <c r="AB14" s="63">
        <v>2.5985235260000001</v>
      </c>
      <c r="AC14" s="63">
        <v>2.196976512</v>
      </c>
      <c r="AD14" s="63">
        <v>2.262649004</v>
      </c>
      <c r="AE14" s="63">
        <v>2.2813941510000002</v>
      </c>
      <c r="AF14" s="63">
        <v>2.282050693</v>
      </c>
      <c r="AG14" s="63">
        <v>2.298196554</v>
      </c>
      <c r="AH14" s="63">
        <v>2.3493700849999999</v>
      </c>
      <c r="AI14" s="63">
        <v>2.3950297410000001</v>
      </c>
    </row>
    <row r="15" spans="1:35" ht="57.75" customHeight="1">
      <c r="A15" s="1"/>
      <c r="B15" s="41"/>
      <c r="C15" s="36"/>
      <c r="D15" s="47" t="s">
        <v>95</v>
      </c>
      <c r="E15" s="46"/>
      <c r="F15" s="47" t="s">
        <v>96</v>
      </c>
      <c r="G15" s="1"/>
      <c r="H15" s="47" t="s">
        <v>97</v>
      </c>
      <c r="I15" s="1"/>
      <c r="J15" s="47" t="s">
        <v>74</v>
      </c>
      <c r="K15" s="1"/>
      <c r="L15" s="64" t="s">
        <v>98</v>
      </c>
      <c r="M15" s="1"/>
      <c r="N15" s="1"/>
      <c r="O15" s="1"/>
      <c r="P15" s="1"/>
      <c r="Q15" s="1"/>
      <c r="R15" s="1"/>
      <c r="S15" s="1"/>
      <c r="T15" s="62" t="s">
        <v>99</v>
      </c>
      <c r="U15" s="63">
        <v>4.0139666930000004</v>
      </c>
      <c r="V15" s="63">
        <v>4.2586197529999996</v>
      </c>
      <c r="W15" s="63">
        <v>4.5282625989999996</v>
      </c>
      <c r="X15" s="63">
        <v>5.2032449209999996</v>
      </c>
      <c r="Y15" s="63">
        <v>5.2639995830000004</v>
      </c>
      <c r="Z15" s="63">
        <v>6.0454015339999998</v>
      </c>
      <c r="AA15" s="63">
        <v>5.0219706620000002</v>
      </c>
      <c r="AB15" s="63">
        <v>5.7208557210000004</v>
      </c>
      <c r="AC15" s="63">
        <v>4.88036066</v>
      </c>
      <c r="AD15" s="63">
        <v>5.0238306860000002</v>
      </c>
      <c r="AE15" s="63">
        <v>5.0214606010000002</v>
      </c>
      <c r="AF15" s="63">
        <v>4.9836886749999998</v>
      </c>
      <c r="AG15" s="63">
        <v>4.982590321</v>
      </c>
      <c r="AH15" s="63">
        <v>5.0639371200000003</v>
      </c>
      <c r="AI15" s="63">
        <f>AI14*AH16</f>
        <v>5.1623539800686133</v>
      </c>
    </row>
    <row r="16" spans="1:35" ht="14.4">
      <c r="A16" s="1"/>
      <c r="B16" s="41"/>
      <c r="C16" s="65" t="s">
        <v>100</v>
      </c>
      <c r="D16" s="49">
        <v>0</v>
      </c>
      <c r="E16" s="50" t="s">
        <v>77</v>
      </c>
      <c r="F16" s="66">
        <v>1.2</v>
      </c>
      <c r="G16" s="50" t="s">
        <v>101</v>
      </c>
      <c r="H16" s="49">
        <f>D17*F17</f>
        <v>951.18999999999994</v>
      </c>
      <c r="I16" s="50" t="s">
        <v>102</v>
      </c>
      <c r="J16" s="49">
        <f t="shared" ref="J16:J17" si="4">L16*12/44</f>
        <v>0</v>
      </c>
      <c r="K16" s="50" t="s">
        <v>78</v>
      </c>
      <c r="L16" s="67">
        <f>IF(D16&gt;0,D16*F16-(H16),0)</f>
        <v>0</v>
      </c>
      <c r="M16" s="1"/>
      <c r="N16" s="1"/>
      <c r="O16" s="1"/>
      <c r="P16" s="1"/>
      <c r="Q16" s="1"/>
      <c r="R16" s="1"/>
      <c r="S16" s="1"/>
      <c r="T16" s="68" t="s">
        <v>103</v>
      </c>
      <c r="U16" s="69">
        <f t="shared" ref="U16:AH16" si="5">U15/U14</f>
        <v>2.3635247838818785</v>
      </c>
      <c r="V16" s="69">
        <f t="shared" si="5"/>
        <v>2.3435965548403326</v>
      </c>
      <c r="W16" s="69">
        <f t="shared" si="5"/>
        <v>2.3252843383104258</v>
      </c>
      <c r="X16" s="69">
        <f t="shared" si="5"/>
        <v>2.3266232462235452</v>
      </c>
      <c r="Y16" s="69">
        <f t="shared" si="5"/>
        <v>2.3132044218595231</v>
      </c>
      <c r="Z16" s="69">
        <f t="shared" si="5"/>
        <v>2.2817944226227143</v>
      </c>
      <c r="AA16" s="69">
        <f t="shared" si="5"/>
        <v>2.219942937726461</v>
      </c>
      <c r="AB16" s="69">
        <f t="shared" si="5"/>
        <v>2.2015793444850265</v>
      </c>
      <c r="AC16" s="69">
        <f t="shared" si="5"/>
        <v>2.2213986509838479</v>
      </c>
      <c r="AD16" s="69">
        <f t="shared" si="5"/>
        <v>2.2203314244138945</v>
      </c>
      <c r="AE16" s="69">
        <f t="shared" si="5"/>
        <v>2.2010491255090447</v>
      </c>
      <c r="AF16" s="69">
        <f t="shared" si="5"/>
        <v>2.1838641403922572</v>
      </c>
      <c r="AG16" s="69">
        <f t="shared" si="5"/>
        <v>2.168043595891668</v>
      </c>
      <c r="AH16" s="69">
        <f t="shared" si="5"/>
        <v>2.1554446242129623</v>
      </c>
      <c r="AI16" s="70"/>
    </row>
    <row r="17" spans="1:35" ht="14.4">
      <c r="A17" s="1"/>
      <c r="B17" s="41"/>
      <c r="C17" s="65" t="s">
        <v>104</v>
      </c>
      <c r="D17" s="49">
        <v>1303</v>
      </c>
      <c r="E17" s="50"/>
      <c r="F17" s="71">
        <v>0.73</v>
      </c>
      <c r="G17" s="50"/>
      <c r="H17" s="50"/>
      <c r="I17" s="50" t="s">
        <v>105</v>
      </c>
      <c r="J17" s="49">
        <f t="shared" si="4"/>
        <v>259.41545454545451</v>
      </c>
      <c r="K17" s="50" t="s">
        <v>78</v>
      </c>
      <c r="L17" s="67">
        <f>D17*F17</f>
        <v>951.18999999999994</v>
      </c>
      <c r="M17" s="1"/>
      <c r="N17" s="1"/>
      <c r="O17" s="1"/>
      <c r="P17" s="1"/>
      <c r="Q17" s="1"/>
      <c r="R17" s="1"/>
      <c r="S17" s="1"/>
      <c r="T17" s="72" t="s">
        <v>106</v>
      </c>
      <c r="U17" s="72"/>
      <c r="V17" s="72"/>
      <c r="W17" s="72"/>
      <c r="X17" s="72"/>
      <c r="Y17" s="72"/>
      <c r="Z17" s="72"/>
      <c r="AA17" s="72"/>
      <c r="AB17" s="72"/>
      <c r="AC17" s="72"/>
      <c r="AD17" s="72"/>
      <c r="AE17" s="72"/>
      <c r="AF17" s="73"/>
      <c r="AG17" s="73"/>
      <c r="AH17" s="73"/>
      <c r="AI17" s="73"/>
    </row>
    <row r="18" spans="1:35" ht="14.4">
      <c r="A18" s="1"/>
      <c r="B18" s="41"/>
      <c r="C18" s="38"/>
      <c r="D18" s="39"/>
      <c r="E18" s="39"/>
      <c r="F18" s="39"/>
      <c r="G18" s="39"/>
      <c r="H18" s="39"/>
      <c r="I18" s="39"/>
      <c r="J18" s="39"/>
      <c r="K18" s="39"/>
      <c r="L18" s="56"/>
      <c r="M18" s="1"/>
      <c r="N18" s="1"/>
      <c r="O18" s="1"/>
      <c r="P18" s="1"/>
      <c r="Q18" s="1"/>
      <c r="R18" s="1"/>
      <c r="S18" s="1"/>
      <c r="T18" s="1"/>
      <c r="U18" s="1"/>
      <c r="V18" s="1"/>
      <c r="W18" s="1"/>
      <c r="X18" s="1"/>
      <c r="Y18" s="1"/>
      <c r="Z18" s="1"/>
      <c r="AA18" s="1"/>
      <c r="AB18" s="1"/>
      <c r="AC18" s="1"/>
      <c r="AD18" s="1"/>
      <c r="AE18" s="1"/>
      <c r="AF18" s="1"/>
      <c r="AG18" s="1"/>
      <c r="AH18" s="1"/>
      <c r="AI18" s="1"/>
    </row>
    <row r="19" spans="1:35" ht="14.4">
      <c r="A19" s="1"/>
      <c r="B19" s="41"/>
      <c r="C19" s="38"/>
      <c r="D19" s="39"/>
      <c r="E19" s="39"/>
      <c r="F19" s="39"/>
      <c r="G19" s="39"/>
      <c r="H19" s="39"/>
      <c r="I19" s="39"/>
      <c r="J19" s="39"/>
      <c r="K19" s="39"/>
      <c r="L19" s="56"/>
      <c r="M19" s="1"/>
      <c r="N19" s="1"/>
      <c r="O19" s="1"/>
      <c r="P19" s="1"/>
      <c r="Q19" s="1"/>
      <c r="R19" s="1"/>
      <c r="S19" s="1"/>
      <c r="T19" s="1"/>
      <c r="U19" s="1"/>
      <c r="V19" s="1"/>
      <c r="W19" s="1"/>
      <c r="X19" s="1"/>
      <c r="Y19" s="1"/>
      <c r="Z19" s="1"/>
      <c r="AA19" s="1"/>
      <c r="AB19" s="1"/>
      <c r="AC19" s="1"/>
      <c r="AD19" s="1"/>
      <c r="AE19" s="1"/>
      <c r="AF19" s="1"/>
      <c r="AG19" s="1"/>
      <c r="AH19" s="1"/>
      <c r="AI19" s="1"/>
    </row>
    <row r="20" spans="1:35" ht="14.4">
      <c r="A20" s="1"/>
      <c r="B20" s="41"/>
      <c r="C20" s="57" t="s">
        <v>107</v>
      </c>
      <c r="D20" s="1"/>
      <c r="E20" s="1"/>
      <c r="F20" s="1"/>
      <c r="G20" s="1"/>
      <c r="H20" s="1"/>
      <c r="I20" s="1"/>
      <c r="J20" s="1"/>
      <c r="K20" s="1"/>
      <c r="L20" s="48"/>
      <c r="M20" s="1"/>
      <c r="N20" s="1"/>
      <c r="O20" s="1"/>
      <c r="P20" s="1"/>
      <c r="Q20" s="1"/>
      <c r="R20" s="1"/>
      <c r="S20" s="1"/>
      <c r="T20" s="1"/>
      <c r="U20" s="1"/>
      <c r="V20" s="1"/>
      <c r="W20" s="1"/>
      <c r="X20" s="1"/>
      <c r="Y20" s="1"/>
      <c r="Z20" s="1"/>
      <c r="AA20" s="1"/>
      <c r="AB20" s="1"/>
      <c r="AC20" s="1"/>
      <c r="AD20" s="1"/>
      <c r="AE20" s="1"/>
      <c r="AF20" s="1"/>
      <c r="AG20" s="1"/>
      <c r="AH20" s="1"/>
      <c r="AI20" s="1"/>
    </row>
    <row r="21" spans="1:35" ht="47.25" customHeight="1">
      <c r="A21" s="1"/>
      <c r="B21" s="41"/>
      <c r="C21" s="36"/>
      <c r="D21" s="74" t="s">
        <v>108</v>
      </c>
      <c r="E21" s="75"/>
      <c r="F21" s="76" t="s">
        <v>109</v>
      </c>
      <c r="G21" s="75"/>
      <c r="H21" s="76" t="s">
        <v>110</v>
      </c>
      <c r="I21" s="75"/>
      <c r="J21" s="76" t="s">
        <v>111</v>
      </c>
      <c r="K21" s="75"/>
      <c r="L21" s="77" t="s">
        <v>112</v>
      </c>
      <c r="M21" s="1"/>
      <c r="N21" s="1"/>
      <c r="O21" s="1"/>
      <c r="P21" s="1"/>
      <c r="Q21" s="1"/>
      <c r="R21" s="1"/>
      <c r="S21" s="1"/>
      <c r="T21" s="1"/>
      <c r="U21" s="1"/>
      <c r="V21" s="1"/>
      <c r="W21" s="1"/>
      <c r="X21" s="1"/>
      <c r="Y21" s="1"/>
      <c r="Z21" s="1"/>
      <c r="AA21" s="1"/>
      <c r="AB21" s="1"/>
      <c r="AC21" s="1"/>
      <c r="AD21" s="1"/>
      <c r="AE21" s="1"/>
      <c r="AF21" s="1"/>
      <c r="AG21" s="1"/>
      <c r="AH21" s="1"/>
      <c r="AI21" s="1"/>
    </row>
    <row r="22" spans="1:35" ht="15.75" customHeight="1">
      <c r="A22" s="1"/>
      <c r="B22" s="41"/>
      <c r="C22" s="78">
        <v>2011</v>
      </c>
      <c r="D22" s="79">
        <v>150121494</v>
      </c>
      <c r="E22" s="80" t="s">
        <v>77</v>
      </c>
      <c r="F22" s="79">
        <v>5839419</v>
      </c>
      <c r="G22" s="81" t="s">
        <v>113</v>
      </c>
      <c r="H22" s="79">
        <v>72928279</v>
      </c>
      <c r="I22" s="80" t="s">
        <v>77</v>
      </c>
      <c r="J22" s="82">
        <v>0.22070653024821099</v>
      </c>
      <c r="K22" s="81" t="s">
        <v>78</v>
      </c>
      <c r="L22" s="83">
        <f>D22*J22*(F22/H22)</f>
        <v>2652966.3086678921</v>
      </c>
      <c r="M22" s="1"/>
      <c r="N22" s="1"/>
      <c r="O22" s="1"/>
      <c r="P22" s="1"/>
      <c r="Q22" s="1"/>
      <c r="R22" s="1"/>
      <c r="S22" s="1"/>
      <c r="T22" s="1"/>
      <c r="U22" s="1"/>
      <c r="V22" s="1"/>
      <c r="W22" s="1"/>
      <c r="X22" s="1"/>
      <c r="Y22" s="1"/>
      <c r="Z22" s="1"/>
      <c r="AA22" s="1"/>
      <c r="AB22" s="1"/>
      <c r="AC22" s="1"/>
      <c r="AD22" s="1"/>
      <c r="AE22" s="1"/>
      <c r="AF22" s="1"/>
      <c r="AG22" s="1"/>
      <c r="AH22" s="1"/>
      <c r="AI22" s="1"/>
    </row>
    <row r="23" spans="1:35" ht="15.75" customHeight="1">
      <c r="A23" s="1"/>
      <c r="B23" s="41"/>
      <c r="C23" s="84"/>
      <c r="D23" s="75"/>
      <c r="E23" s="75"/>
      <c r="F23" s="75"/>
      <c r="G23" s="75"/>
      <c r="H23" s="75"/>
      <c r="I23" s="75"/>
      <c r="J23" s="75"/>
      <c r="K23" s="75"/>
      <c r="L23" s="85"/>
      <c r="M23" s="1"/>
      <c r="N23" s="1"/>
      <c r="O23" s="1"/>
      <c r="P23" s="1"/>
      <c r="Q23" s="1"/>
      <c r="R23" s="1"/>
      <c r="S23" s="1"/>
      <c r="T23" s="1"/>
      <c r="U23" s="1"/>
      <c r="V23" s="1"/>
      <c r="W23" s="1"/>
      <c r="X23" s="1"/>
      <c r="Y23" s="1"/>
      <c r="Z23" s="1"/>
      <c r="AA23" s="1"/>
      <c r="AB23" s="1"/>
      <c r="AC23" s="1"/>
      <c r="AD23" s="1"/>
      <c r="AE23" s="1"/>
      <c r="AF23" s="1"/>
      <c r="AG23" s="1"/>
      <c r="AH23" s="1"/>
      <c r="AI23" s="1"/>
    </row>
    <row r="24" spans="1:35" ht="15.75" customHeight="1">
      <c r="A24" s="1"/>
      <c r="B24" s="41"/>
      <c r="C24" s="38"/>
      <c r="D24" s="39"/>
      <c r="E24" s="39"/>
      <c r="F24" s="39"/>
      <c r="G24" s="39"/>
      <c r="H24" s="39"/>
      <c r="I24" s="39"/>
      <c r="J24" s="39"/>
      <c r="K24" s="39"/>
      <c r="L24" s="56"/>
      <c r="M24" s="1"/>
      <c r="N24" s="1"/>
      <c r="O24" s="1"/>
      <c r="P24" s="1"/>
      <c r="Q24" s="1"/>
      <c r="R24" s="1"/>
      <c r="S24" s="1"/>
      <c r="T24" s="1"/>
      <c r="U24" s="1"/>
      <c r="V24" s="1"/>
      <c r="W24" s="1"/>
      <c r="X24" s="1"/>
      <c r="Y24" s="1"/>
      <c r="Z24" s="1"/>
      <c r="AA24" s="1"/>
      <c r="AB24" s="1"/>
      <c r="AC24" s="1"/>
      <c r="AD24" s="1"/>
      <c r="AE24" s="1"/>
      <c r="AF24" s="1"/>
      <c r="AG24" s="1"/>
      <c r="AH24" s="1"/>
      <c r="AI24" s="1"/>
    </row>
    <row r="25" spans="1:35" ht="15.75" customHeight="1">
      <c r="A25" s="1"/>
      <c r="B25" s="41"/>
      <c r="C25" s="57" t="s">
        <v>114</v>
      </c>
      <c r="D25" s="1"/>
      <c r="E25" s="1"/>
      <c r="F25" s="1"/>
      <c r="G25" s="1"/>
      <c r="H25" s="1"/>
      <c r="I25" s="1"/>
      <c r="J25" s="1"/>
      <c r="K25" s="1"/>
      <c r="L25" s="48"/>
      <c r="M25" s="1"/>
      <c r="N25" s="1"/>
      <c r="O25" s="1"/>
      <c r="P25" s="1"/>
      <c r="Q25" s="1"/>
      <c r="R25" s="1"/>
      <c r="S25" s="1"/>
      <c r="T25" s="1"/>
      <c r="U25" s="1"/>
      <c r="V25" s="1"/>
      <c r="W25" s="1"/>
      <c r="X25" s="1"/>
      <c r="Y25" s="1"/>
      <c r="Z25" s="1"/>
      <c r="AA25" s="1"/>
      <c r="AB25" s="1"/>
      <c r="AC25" s="1"/>
      <c r="AD25" s="1"/>
      <c r="AE25" s="1"/>
      <c r="AF25" s="1"/>
      <c r="AG25" s="1"/>
      <c r="AH25" s="1"/>
      <c r="AI25" s="1"/>
    </row>
    <row r="26" spans="1:35" ht="57" customHeight="1">
      <c r="A26" s="1"/>
      <c r="B26" s="41"/>
      <c r="C26" s="36"/>
      <c r="D26" s="45" t="s">
        <v>115</v>
      </c>
      <c r="E26" s="86"/>
      <c r="F26" s="45" t="s">
        <v>116</v>
      </c>
      <c r="G26" s="87"/>
      <c r="H26" s="45" t="s">
        <v>117</v>
      </c>
      <c r="I26" s="87"/>
      <c r="J26" s="86" t="s">
        <v>118</v>
      </c>
      <c r="K26" s="87"/>
      <c r="L26" s="88" t="s">
        <v>119</v>
      </c>
      <c r="M26" s="1"/>
      <c r="N26" s="1"/>
      <c r="O26" s="1"/>
      <c r="P26" s="1"/>
      <c r="Q26" s="1"/>
      <c r="R26" s="1"/>
      <c r="S26" s="1"/>
      <c r="T26" s="1"/>
      <c r="U26" s="1"/>
      <c r="V26" s="1"/>
      <c r="W26" s="1"/>
      <c r="X26" s="1"/>
      <c r="Y26" s="1"/>
      <c r="Z26" s="1"/>
      <c r="AA26" s="1"/>
      <c r="AB26" s="1"/>
      <c r="AC26" s="1"/>
      <c r="AD26" s="1"/>
      <c r="AE26" s="1"/>
      <c r="AF26" s="1"/>
      <c r="AG26" s="1"/>
      <c r="AH26" s="1"/>
      <c r="AI26" s="1"/>
    </row>
    <row r="27" spans="1:35" ht="15.75" customHeight="1">
      <c r="A27" s="1"/>
      <c r="B27" s="41"/>
      <c r="C27" s="89">
        <v>2011</v>
      </c>
      <c r="D27" s="55">
        <v>7</v>
      </c>
      <c r="E27" s="50" t="s">
        <v>77</v>
      </c>
      <c r="F27" s="66">
        <v>1</v>
      </c>
      <c r="G27" s="50" t="s">
        <v>78</v>
      </c>
      <c r="H27" s="49">
        <f>IF(ISERROR(D27*F27),0,D27*F27)</f>
        <v>7</v>
      </c>
      <c r="I27" s="50" t="s">
        <v>78</v>
      </c>
      <c r="J27" s="49">
        <f>H27*$P$9*12/44</f>
        <v>44863.63636363636</v>
      </c>
      <c r="K27" s="50" t="s">
        <v>78</v>
      </c>
      <c r="L27" s="67">
        <f>J27/(12/44)</f>
        <v>164500</v>
      </c>
      <c r="M27" s="1"/>
      <c r="N27" s="1"/>
      <c r="O27" s="1"/>
      <c r="P27" s="1"/>
      <c r="Q27" s="1"/>
      <c r="R27" s="1"/>
      <c r="S27" s="1"/>
      <c r="T27" s="1"/>
      <c r="U27" s="1"/>
      <c r="V27" s="1"/>
      <c r="W27" s="1"/>
      <c r="X27" s="1"/>
      <c r="Y27" s="1"/>
      <c r="Z27" s="1"/>
      <c r="AA27" s="1"/>
      <c r="AB27" s="1"/>
      <c r="AC27" s="1"/>
      <c r="AD27" s="1"/>
      <c r="AE27" s="1"/>
      <c r="AF27" s="1"/>
      <c r="AG27" s="1"/>
      <c r="AH27" s="1"/>
      <c r="AI27" s="1"/>
    </row>
    <row r="28" spans="1:35" ht="15.75" customHeight="1">
      <c r="A28" s="1"/>
      <c r="B28" s="41"/>
      <c r="C28" s="38"/>
      <c r="D28" s="39"/>
      <c r="E28" s="39"/>
      <c r="F28" s="39"/>
      <c r="G28" s="39"/>
      <c r="H28" s="39"/>
      <c r="I28" s="39"/>
      <c r="J28" s="39"/>
      <c r="K28" s="39"/>
      <c r="L28" s="56"/>
      <c r="M28" s="1"/>
      <c r="N28" s="1"/>
      <c r="O28" s="1"/>
      <c r="P28" s="1"/>
      <c r="Q28" s="1"/>
      <c r="R28" s="1"/>
      <c r="S28" s="1"/>
      <c r="T28" s="1"/>
      <c r="U28" s="1"/>
      <c r="V28" s="1"/>
      <c r="W28" s="1"/>
      <c r="X28" s="1"/>
      <c r="Y28" s="1"/>
      <c r="Z28" s="1"/>
      <c r="AA28" s="1"/>
      <c r="AB28" s="1"/>
      <c r="AC28" s="1"/>
      <c r="AD28" s="1"/>
      <c r="AE28" s="1"/>
      <c r="AF28" s="1"/>
      <c r="AG28" s="1"/>
      <c r="AH28" s="1"/>
      <c r="AI28" s="1"/>
    </row>
    <row r="29" spans="1:35" ht="15.75" customHeight="1">
      <c r="A29" s="1"/>
      <c r="B29" s="41"/>
      <c r="C29" s="38"/>
      <c r="D29" s="39"/>
      <c r="E29" s="39"/>
      <c r="F29" s="39"/>
      <c r="G29" s="39"/>
      <c r="H29" s="39"/>
      <c r="I29" s="39"/>
      <c r="J29" s="39"/>
      <c r="K29" s="39"/>
      <c r="L29" s="56"/>
      <c r="M29" s="1"/>
      <c r="N29" s="1"/>
      <c r="O29" s="1"/>
      <c r="P29" s="1"/>
      <c r="Q29" s="1"/>
      <c r="R29" s="1"/>
      <c r="S29" s="1"/>
      <c r="T29" s="1"/>
      <c r="U29" s="1"/>
      <c r="V29" s="1"/>
      <c r="W29" s="1"/>
      <c r="X29" s="1"/>
      <c r="Y29" s="1"/>
      <c r="Z29" s="1"/>
      <c r="AA29" s="1"/>
      <c r="AB29" s="1"/>
      <c r="AC29" s="1"/>
      <c r="AD29" s="1"/>
      <c r="AE29" s="1"/>
      <c r="AF29" s="1"/>
      <c r="AG29" s="1"/>
      <c r="AH29" s="1"/>
      <c r="AI29" s="1"/>
    </row>
    <row r="30" spans="1:35" ht="15.75" customHeight="1">
      <c r="A30" s="1"/>
      <c r="B30" s="41"/>
      <c r="C30" s="57" t="s">
        <v>120</v>
      </c>
      <c r="D30" s="1"/>
      <c r="E30" s="1"/>
      <c r="F30" s="1"/>
      <c r="G30" s="1"/>
      <c r="H30" s="1"/>
      <c r="I30" s="1"/>
      <c r="J30" s="1"/>
      <c r="K30" s="1"/>
      <c r="L30" s="48"/>
      <c r="M30" s="1"/>
      <c r="N30" s="1"/>
      <c r="O30" s="1"/>
      <c r="P30" s="1"/>
      <c r="Q30" s="1"/>
      <c r="R30" s="1"/>
      <c r="S30" s="1"/>
      <c r="T30" s="1"/>
      <c r="U30" s="1"/>
      <c r="V30" s="1"/>
      <c r="W30" s="1"/>
      <c r="X30" s="1"/>
      <c r="Y30" s="1"/>
      <c r="Z30" s="1"/>
      <c r="AA30" s="1"/>
      <c r="AB30" s="1"/>
      <c r="AC30" s="1"/>
      <c r="AD30" s="1"/>
      <c r="AE30" s="1"/>
      <c r="AF30" s="1"/>
      <c r="AG30" s="1"/>
      <c r="AH30" s="1"/>
      <c r="AI30" s="1"/>
    </row>
    <row r="31" spans="1:35" ht="60" customHeight="1">
      <c r="A31" s="1"/>
      <c r="B31" s="41"/>
      <c r="C31" s="36"/>
      <c r="D31" s="45" t="s">
        <v>121</v>
      </c>
      <c r="E31" s="86"/>
      <c r="F31" s="45" t="s">
        <v>122</v>
      </c>
      <c r="G31" s="87"/>
      <c r="H31" s="1"/>
      <c r="I31" s="1"/>
      <c r="J31" s="45" t="s">
        <v>74</v>
      </c>
      <c r="K31" s="87"/>
      <c r="L31" s="88" t="s">
        <v>123</v>
      </c>
      <c r="M31" s="1"/>
      <c r="N31" s="1"/>
      <c r="O31" s="1"/>
      <c r="P31" s="1"/>
      <c r="Q31" s="1"/>
      <c r="R31" s="1"/>
      <c r="S31" s="1"/>
      <c r="T31" s="1"/>
      <c r="U31" s="1"/>
      <c r="V31" s="1"/>
      <c r="W31" s="1"/>
      <c r="X31" s="1"/>
      <c r="Y31" s="1"/>
      <c r="Z31" s="1"/>
      <c r="AA31" s="1"/>
      <c r="AB31" s="1"/>
      <c r="AC31" s="1"/>
      <c r="AD31" s="1"/>
      <c r="AE31" s="1"/>
      <c r="AF31" s="1"/>
      <c r="AG31" s="1"/>
      <c r="AH31" s="1"/>
      <c r="AI31" s="1"/>
    </row>
    <row r="32" spans="1:35" ht="15.75" customHeight="1">
      <c r="A32" s="1"/>
      <c r="B32" s="41"/>
      <c r="C32" s="89">
        <v>2011</v>
      </c>
      <c r="D32" s="55">
        <v>0</v>
      </c>
      <c r="E32" s="50" t="s">
        <v>77</v>
      </c>
      <c r="F32" s="51">
        <v>0.42545454545454542</v>
      </c>
      <c r="G32" s="50" t="s">
        <v>78</v>
      </c>
      <c r="H32" s="1"/>
      <c r="I32" s="1"/>
      <c r="J32" s="49">
        <f>IF(ISERROR(D32*F32),0,D32*F32)</f>
        <v>0</v>
      </c>
      <c r="K32" s="50" t="s">
        <v>78</v>
      </c>
      <c r="L32" s="67">
        <f>J32/(12/44)</f>
        <v>0</v>
      </c>
      <c r="M32" s="1"/>
      <c r="N32" s="1"/>
      <c r="O32" s="1"/>
      <c r="P32" s="1"/>
      <c r="Q32" s="1"/>
      <c r="R32" s="1"/>
      <c r="S32" s="1"/>
      <c r="T32" s="1"/>
      <c r="U32" s="1"/>
      <c r="V32" s="1"/>
      <c r="W32" s="1"/>
      <c r="X32" s="1"/>
      <c r="Y32" s="1"/>
      <c r="Z32" s="1"/>
      <c r="AA32" s="1"/>
      <c r="AB32" s="1"/>
      <c r="AC32" s="1"/>
      <c r="AD32" s="1"/>
      <c r="AE32" s="1"/>
      <c r="AF32" s="1"/>
      <c r="AG32" s="1"/>
      <c r="AH32" s="1"/>
      <c r="AI32" s="1"/>
    </row>
    <row r="33" spans="1:35" ht="15.75" customHeight="1">
      <c r="A33" s="1"/>
      <c r="B33" s="41"/>
      <c r="C33" s="38"/>
      <c r="D33" s="39"/>
      <c r="E33" s="39"/>
      <c r="F33" s="39"/>
      <c r="G33" s="39"/>
      <c r="H33" s="39"/>
      <c r="I33" s="39"/>
      <c r="J33" s="39"/>
      <c r="K33" s="39"/>
      <c r="L33" s="56"/>
      <c r="M33" s="1"/>
      <c r="N33" s="1"/>
      <c r="O33" s="1"/>
      <c r="P33" s="1"/>
      <c r="Q33" s="1"/>
      <c r="R33" s="1"/>
      <c r="S33" s="1"/>
      <c r="T33" s="1"/>
      <c r="U33" s="1"/>
      <c r="V33" s="1"/>
      <c r="W33" s="1"/>
      <c r="X33" s="1"/>
      <c r="Y33" s="1"/>
      <c r="Z33" s="1"/>
      <c r="AA33" s="1"/>
      <c r="AB33" s="1"/>
      <c r="AC33" s="1"/>
      <c r="AD33" s="1"/>
      <c r="AE33" s="1"/>
      <c r="AF33" s="1"/>
      <c r="AG33" s="1"/>
      <c r="AH33" s="1"/>
      <c r="AI33" s="1"/>
    </row>
    <row r="34" spans="1:35" ht="15.75" customHeight="1">
      <c r="A34" s="1"/>
      <c r="B34" s="4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ht="15.75" customHeight="1">
      <c r="A35" s="1"/>
      <c r="B35" s="4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ht="15.75" customHeight="1">
      <c r="A36" s="1"/>
      <c r="B36" s="4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ht="15.75" customHeight="1">
      <c r="A37" s="1"/>
      <c r="B37" s="4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ht="15.75" customHeight="1">
      <c r="A38" s="1"/>
      <c r="B38" s="4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ht="15.75" customHeight="1">
      <c r="A39" s="1"/>
      <c r="B39" s="1"/>
      <c r="C39" s="90"/>
      <c r="D39" s="91">
        <v>2011</v>
      </c>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ht="15.75" customHeight="1">
      <c r="A40" s="1"/>
      <c r="B40" s="1"/>
      <c r="C40" s="92" t="s">
        <v>124</v>
      </c>
      <c r="D40" s="93">
        <f>D41+D42+D43+D44+D45+D46</f>
        <v>126920.95855</v>
      </c>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ht="15.75" customHeight="1">
      <c r="A41" s="1"/>
      <c r="B41" s="1"/>
      <c r="C41" s="94" t="s">
        <v>125</v>
      </c>
      <c r="D41" s="95">
        <v>0</v>
      </c>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ht="15.75" customHeight="1">
      <c r="A42" s="1"/>
      <c r="B42" s="1"/>
      <c r="C42" s="94" t="s">
        <v>126</v>
      </c>
      <c r="D42" s="95">
        <v>0</v>
      </c>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15.75" customHeight="1">
      <c r="A43" s="1"/>
      <c r="B43" s="1"/>
      <c r="C43" s="94" t="s">
        <v>71</v>
      </c>
      <c r="D43" s="95">
        <f>J5</f>
        <v>85604.64</v>
      </c>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ht="15.75" customHeight="1">
      <c r="A44" s="1"/>
      <c r="B44" s="1"/>
      <c r="C44" s="94" t="s">
        <v>127</v>
      </c>
      <c r="D44" s="95">
        <f>J12</f>
        <v>40365.128549999994</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ht="15.75" customHeight="1">
      <c r="A45" s="1"/>
      <c r="B45" s="1"/>
      <c r="C45" s="94" t="s">
        <v>128</v>
      </c>
      <c r="D45" s="95">
        <f>L17</f>
        <v>951.18999999999994</v>
      </c>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ht="15.75" customHeight="1">
      <c r="A46" s="1"/>
      <c r="B46" s="1"/>
      <c r="C46" s="94" t="s">
        <v>129</v>
      </c>
      <c r="D46" s="95">
        <v>0</v>
      </c>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ht="15.75" customHeight="1">
      <c r="A47" s="1"/>
      <c r="B47" s="1"/>
      <c r="C47" s="96" t="s">
        <v>130</v>
      </c>
      <c r="D47" s="97">
        <f>D48+D49</f>
        <v>0</v>
      </c>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ht="15.75" customHeight="1">
      <c r="A48" s="1"/>
      <c r="B48" s="1"/>
      <c r="C48" s="94" t="s">
        <v>131</v>
      </c>
      <c r="D48" s="95">
        <v>0</v>
      </c>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ht="15.75" customHeight="1">
      <c r="A49" s="1"/>
      <c r="B49" s="1"/>
      <c r="C49" s="94" t="s">
        <v>132</v>
      </c>
      <c r="D49" s="95">
        <v>0</v>
      </c>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ht="15.75" customHeight="1">
      <c r="A50" s="1"/>
      <c r="B50" s="1"/>
      <c r="C50" s="98" t="s">
        <v>133</v>
      </c>
      <c r="D50" s="99">
        <f>D51+D52+D53+D54+D55+D56</f>
        <v>2817466.3086678921</v>
      </c>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ht="15.75" customHeight="1">
      <c r="A51" s="1"/>
      <c r="B51" s="1"/>
      <c r="C51" s="94" t="s">
        <v>134</v>
      </c>
      <c r="D51" s="95">
        <f>L22</f>
        <v>2652966.3086678921</v>
      </c>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ht="15.75" customHeight="1">
      <c r="A52" s="1"/>
      <c r="B52" s="1"/>
      <c r="C52" s="94" t="s">
        <v>135</v>
      </c>
      <c r="D52" s="95">
        <v>0</v>
      </c>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ht="15.75" customHeight="1">
      <c r="A53" s="1"/>
      <c r="B53" s="1"/>
      <c r="C53" s="94" t="s">
        <v>136</v>
      </c>
      <c r="D53" s="95">
        <v>0</v>
      </c>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ht="30" customHeight="1">
      <c r="A54" s="1"/>
      <c r="B54" s="1"/>
      <c r="C54" s="100" t="s">
        <v>137</v>
      </c>
      <c r="D54" s="95">
        <f>L27</f>
        <v>164500</v>
      </c>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ht="15.75" customHeight="1">
      <c r="A55" s="1"/>
      <c r="B55" s="1"/>
      <c r="C55" s="94" t="s">
        <v>138</v>
      </c>
      <c r="D55" s="95">
        <v>0</v>
      </c>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ht="15.75" customHeight="1">
      <c r="A56" s="1"/>
      <c r="B56" s="1"/>
      <c r="C56" s="94" t="s">
        <v>139</v>
      </c>
      <c r="D56" s="95">
        <f>L32</f>
        <v>0</v>
      </c>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ht="15.75" customHeight="1">
      <c r="A57" s="1"/>
      <c r="B57" s="1"/>
      <c r="C57" s="101" t="s">
        <v>140</v>
      </c>
      <c r="D57" s="102">
        <f>D40+D47+D50</f>
        <v>2944387.2672178922</v>
      </c>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row r="259" spans="1:35" ht="15.75" customHeight="1"/>
    <row r="260" spans="1:35" ht="15.75" customHeight="1"/>
    <row r="261" spans="1:35" ht="15.75" customHeight="1"/>
    <row r="262" spans="1:35" ht="15.75" customHeight="1"/>
    <row r="263" spans="1:35" ht="15.75" customHeight="1"/>
    <row r="264" spans="1:35" ht="15.75" customHeight="1"/>
    <row r="265" spans="1:35" ht="15.75" customHeight="1"/>
    <row r="266" spans="1:35" ht="15.75" customHeight="1"/>
    <row r="267" spans="1:35" ht="15.75" customHeight="1"/>
    <row r="268" spans="1:35" ht="15.75" customHeight="1"/>
    <row r="269" spans="1:35" ht="15.75" customHeight="1"/>
    <row r="270" spans="1:35" ht="15.75" customHeight="1"/>
    <row r="271" spans="1:35" ht="15.75" customHeight="1"/>
    <row r="272" spans="1:3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O4:P4"/>
  </mergeCells>
  <pageMargins left="0.7" right="0.7" top="0.75" bottom="0.75" header="0" footer="0"/>
  <pageSetup orientation="landscape"/>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heetViews>
  <sheetFormatPr defaultColWidth="16.85546875" defaultRowHeight="15" customHeight="1"/>
  <cols>
    <col min="1" max="1" width="9.28515625" customWidth="1"/>
    <col min="2" max="2" width="0.140625" customWidth="1"/>
    <col min="3" max="3" width="14.140625" customWidth="1"/>
    <col min="4" max="4" width="15.7109375" customWidth="1"/>
    <col min="5" max="5" width="14.7109375" customWidth="1"/>
    <col min="6" max="6" width="31.42578125" customWidth="1"/>
    <col min="7" max="7" width="38" customWidth="1"/>
    <col min="8" max="26" width="8" customWidth="1"/>
  </cols>
  <sheetData>
    <row r="1" spans="1:26" ht="14.4">
      <c r="A1" s="1" t="s">
        <v>1074</v>
      </c>
      <c r="B1" s="403"/>
      <c r="C1" s="1"/>
      <c r="D1" s="1"/>
      <c r="E1" s="1"/>
      <c r="F1" s="1"/>
      <c r="G1" s="42"/>
      <c r="H1" s="1"/>
      <c r="I1" s="1"/>
      <c r="J1" s="1"/>
      <c r="K1" s="1"/>
      <c r="L1" s="1"/>
      <c r="M1" s="1"/>
      <c r="N1" s="1"/>
      <c r="O1" s="1"/>
      <c r="P1" s="1"/>
      <c r="Q1" s="1"/>
      <c r="R1" s="1"/>
      <c r="S1" s="1"/>
      <c r="T1" s="1"/>
      <c r="U1" s="1"/>
      <c r="V1" s="1"/>
      <c r="W1" s="1"/>
      <c r="X1" s="1"/>
      <c r="Y1" s="1"/>
      <c r="Z1" s="1"/>
    </row>
    <row r="2" spans="1:26" ht="68.25" customHeight="1">
      <c r="A2" s="1"/>
      <c r="B2" s="1"/>
      <c r="C2" s="1"/>
      <c r="D2" s="1"/>
      <c r="E2" s="1"/>
      <c r="F2" s="1"/>
      <c r="G2" s="1"/>
      <c r="H2" s="1"/>
      <c r="I2" s="1"/>
      <c r="J2" s="1"/>
      <c r="K2" s="1"/>
      <c r="L2" s="1"/>
      <c r="M2" s="1"/>
      <c r="N2" s="1"/>
      <c r="O2" s="1"/>
      <c r="P2" s="1"/>
      <c r="Q2" s="1"/>
      <c r="R2" s="1"/>
      <c r="S2" s="1"/>
      <c r="T2" s="1"/>
      <c r="U2" s="1"/>
      <c r="V2" s="1"/>
      <c r="W2" s="1"/>
      <c r="X2" s="1"/>
      <c r="Y2" s="1"/>
      <c r="Z2" s="1"/>
    </row>
    <row r="3" spans="1:26" ht="14.4">
      <c r="A3" s="1"/>
      <c r="B3" s="1"/>
      <c r="C3" s="1"/>
      <c r="D3" s="1"/>
      <c r="E3" s="1"/>
      <c r="F3" s="1"/>
      <c r="G3" s="1"/>
      <c r="H3" s="1"/>
      <c r="I3" s="1"/>
      <c r="J3" s="1"/>
      <c r="K3" s="1"/>
      <c r="L3" s="1"/>
      <c r="M3" s="1"/>
      <c r="N3" s="1"/>
      <c r="O3" s="1"/>
      <c r="P3" s="1"/>
      <c r="Q3" s="1"/>
      <c r="R3" s="1"/>
      <c r="S3" s="1"/>
      <c r="T3" s="1"/>
      <c r="U3" s="1"/>
      <c r="V3" s="1"/>
      <c r="W3" s="1"/>
      <c r="X3" s="1"/>
      <c r="Y3" s="1"/>
      <c r="Z3" s="1"/>
    </row>
    <row r="4" spans="1:26" ht="14.4">
      <c r="A4" s="1"/>
      <c r="B4" s="1"/>
      <c r="C4" s="1"/>
      <c r="D4" s="1"/>
      <c r="E4" s="1"/>
      <c r="F4" s="1"/>
      <c r="G4" s="1"/>
      <c r="H4" s="1"/>
      <c r="I4" s="1"/>
      <c r="J4" s="1"/>
      <c r="K4" s="1"/>
      <c r="L4" s="1"/>
      <c r="M4" s="1"/>
      <c r="N4" s="1"/>
      <c r="O4" s="1"/>
      <c r="P4" s="1"/>
      <c r="Q4" s="1"/>
      <c r="R4" s="1"/>
      <c r="S4" s="1"/>
      <c r="T4" s="1"/>
      <c r="U4" s="1"/>
      <c r="V4" s="1"/>
      <c r="W4" s="1"/>
      <c r="X4" s="1"/>
      <c r="Y4" s="1"/>
      <c r="Z4" s="1"/>
    </row>
    <row r="5" spans="1:26" ht="14.4">
      <c r="A5" s="1"/>
      <c r="B5" s="1"/>
      <c r="C5" s="1"/>
      <c r="D5" s="1"/>
      <c r="E5" s="1"/>
      <c r="F5" s="1"/>
      <c r="G5" s="1"/>
      <c r="H5" s="1"/>
      <c r="I5" s="1"/>
      <c r="J5" s="1"/>
      <c r="K5" s="1"/>
      <c r="L5" s="1"/>
      <c r="M5" s="1"/>
      <c r="N5" s="1"/>
      <c r="O5" s="1"/>
      <c r="P5" s="1"/>
      <c r="Q5" s="1"/>
      <c r="R5" s="1"/>
      <c r="S5" s="1"/>
      <c r="T5" s="1"/>
      <c r="U5" s="1"/>
      <c r="V5" s="1"/>
      <c r="W5" s="1"/>
      <c r="X5" s="1"/>
      <c r="Y5" s="1"/>
      <c r="Z5" s="1"/>
    </row>
    <row r="6" spans="1:26" ht="15.6">
      <c r="A6" s="1"/>
      <c r="B6" s="1"/>
      <c r="C6" s="1"/>
      <c r="D6" s="255"/>
      <c r="E6" s="256"/>
      <c r="F6" s="916" t="s">
        <v>1075</v>
      </c>
      <c r="G6" s="919" t="s">
        <v>1076</v>
      </c>
      <c r="H6" s="1"/>
      <c r="I6" s="1"/>
      <c r="J6" s="1"/>
      <c r="K6" s="1"/>
      <c r="L6" s="1"/>
      <c r="M6" s="1"/>
      <c r="N6" s="1"/>
      <c r="O6" s="1"/>
      <c r="P6" s="1"/>
      <c r="Q6" s="1"/>
      <c r="R6" s="1"/>
      <c r="S6" s="1"/>
      <c r="T6" s="1"/>
      <c r="U6" s="1"/>
      <c r="V6" s="1"/>
      <c r="W6" s="1"/>
      <c r="X6" s="1"/>
      <c r="Y6" s="1"/>
      <c r="Z6" s="1"/>
    </row>
    <row r="7" spans="1:26" ht="14.4">
      <c r="A7" s="1"/>
      <c r="B7" s="1"/>
      <c r="C7" s="1"/>
      <c r="D7" s="938"/>
      <c r="E7" s="939"/>
      <c r="F7" s="939"/>
      <c r="G7" s="1471"/>
      <c r="H7" s="1"/>
      <c r="I7" s="1"/>
      <c r="J7" s="2237" t="s">
        <v>1</v>
      </c>
      <c r="K7" s="2238"/>
      <c r="L7" s="1"/>
      <c r="M7" s="1"/>
      <c r="N7" s="1"/>
      <c r="O7" s="1"/>
      <c r="P7" s="1"/>
      <c r="Q7" s="1"/>
      <c r="R7" s="1"/>
      <c r="S7" s="1"/>
      <c r="T7" s="1"/>
      <c r="U7" s="1"/>
      <c r="V7" s="1"/>
      <c r="W7" s="1"/>
      <c r="X7" s="1"/>
      <c r="Y7" s="1"/>
      <c r="Z7" s="1"/>
    </row>
    <row r="8" spans="1:26" ht="15.75" customHeight="1">
      <c r="A8" s="1"/>
      <c r="B8" s="1"/>
      <c r="C8" s="1"/>
      <c r="D8" s="255"/>
      <c r="E8" s="256" t="s">
        <v>1077</v>
      </c>
      <c r="F8" s="1472">
        <v>163493.79999999999</v>
      </c>
      <c r="G8" s="1473">
        <f t="shared" ref="G8:G10" si="0">F8*1.1023</f>
        <v>180219.21573999999</v>
      </c>
      <c r="H8" s="1"/>
      <c r="I8" s="1"/>
      <c r="J8" s="52"/>
      <c r="K8" s="52"/>
      <c r="L8" s="1"/>
      <c r="M8" s="1"/>
      <c r="N8" s="1"/>
      <c r="O8" s="1"/>
      <c r="P8" s="1"/>
      <c r="Q8" s="1"/>
      <c r="R8" s="1"/>
      <c r="S8" s="1"/>
      <c r="T8" s="1"/>
      <c r="U8" s="1"/>
      <c r="V8" s="1"/>
      <c r="W8" s="1"/>
      <c r="X8" s="1"/>
      <c r="Y8" s="1"/>
      <c r="Z8" s="1"/>
    </row>
    <row r="9" spans="1:26" ht="15.75" customHeight="1">
      <c r="A9" s="1"/>
      <c r="B9" s="1"/>
      <c r="C9" s="1"/>
      <c r="D9" s="1474" t="s">
        <v>1078</v>
      </c>
      <c r="E9" s="75" t="s">
        <v>1079</v>
      </c>
      <c r="F9" s="71">
        <v>0.01</v>
      </c>
      <c r="G9" s="1475">
        <f t="shared" si="0"/>
        <v>1.1023000000000002E-2</v>
      </c>
      <c r="H9" s="1"/>
      <c r="I9" s="1"/>
      <c r="J9" s="53" t="s">
        <v>80</v>
      </c>
      <c r="K9" s="54">
        <f>Summary!E4</f>
        <v>1</v>
      </c>
      <c r="L9" s="1"/>
      <c r="M9" s="1"/>
      <c r="N9" s="1"/>
      <c r="O9" s="1"/>
      <c r="P9" s="1"/>
      <c r="Q9" s="1"/>
      <c r="R9" s="1"/>
      <c r="S9" s="1"/>
      <c r="T9" s="1"/>
      <c r="U9" s="1"/>
      <c r="V9" s="1"/>
      <c r="W9" s="1"/>
      <c r="X9" s="1"/>
      <c r="Y9" s="1"/>
      <c r="Z9" s="1"/>
    </row>
    <row r="10" spans="1:26" ht="15.75" customHeight="1">
      <c r="A10" s="1"/>
      <c r="B10" s="1"/>
      <c r="C10" s="1"/>
      <c r="D10" s="1476"/>
      <c r="E10" s="263" t="s">
        <v>1080</v>
      </c>
      <c r="F10" s="1477">
        <v>5.8999999999999997E-2</v>
      </c>
      <c r="G10" s="1478">
        <f t="shared" si="0"/>
        <v>6.5035700000000002E-2</v>
      </c>
      <c r="H10" s="1"/>
      <c r="I10" s="1"/>
      <c r="J10" s="53" t="s">
        <v>82</v>
      </c>
      <c r="K10" s="54">
        <f>Summary!E5</f>
        <v>28</v>
      </c>
      <c r="L10" s="1"/>
      <c r="M10" s="1"/>
      <c r="N10" s="1"/>
      <c r="O10" s="1"/>
      <c r="P10" s="1"/>
      <c r="Q10" s="1"/>
      <c r="R10" s="1"/>
      <c r="S10" s="1"/>
      <c r="T10" s="1"/>
      <c r="U10" s="1"/>
      <c r="V10" s="1"/>
      <c r="W10" s="1"/>
      <c r="X10" s="1"/>
      <c r="Y10" s="1"/>
      <c r="Z10" s="1"/>
    </row>
    <row r="11" spans="1:26" ht="15.75" customHeight="1">
      <c r="A11" s="1"/>
      <c r="B11" s="1"/>
      <c r="C11" s="1"/>
      <c r="D11" s="1479"/>
      <c r="E11" s="256" t="s">
        <v>1081</v>
      </c>
      <c r="F11" s="438">
        <f t="shared" ref="F11:F12" si="1">G11/1.1023</f>
        <v>495389.63984396262</v>
      </c>
      <c r="G11" s="1480">
        <v>546068</v>
      </c>
      <c r="H11" s="1"/>
      <c r="I11" s="1"/>
      <c r="J11" s="53" t="s">
        <v>83</v>
      </c>
      <c r="K11" s="54">
        <f>Summary!E6</f>
        <v>265</v>
      </c>
      <c r="L11" s="1"/>
      <c r="M11" s="1"/>
      <c r="N11" s="1"/>
      <c r="O11" s="1"/>
      <c r="P11" s="1"/>
      <c r="Q11" s="1"/>
      <c r="R11" s="1"/>
      <c r="S11" s="1"/>
      <c r="T11" s="1"/>
      <c r="U11" s="1"/>
      <c r="V11" s="1"/>
      <c r="W11" s="1"/>
      <c r="X11" s="1"/>
      <c r="Y11" s="1"/>
      <c r="Z11" s="1"/>
    </row>
    <row r="12" spans="1:26" ht="15.75" customHeight="1">
      <c r="A12" s="1"/>
      <c r="B12" s="1"/>
      <c r="C12" s="1"/>
      <c r="D12" s="1474" t="s">
        <v>1082</v>
      </c>
      <c r="E12" s="75" t="s">
        <v>1083</v>
      </c>
      <c r="F12" s="438">
        <f t="shared" si="1"/>
        <v>0.9071940488070398</v>
      </c>
      <c r="G12" s="1481">
        <v>1</v>
      </c>
      <c r="H12" s="1"/>
      <c r="I12" s="1"/>
      <c r="J12" s="53" t="s">
        <v>85</v>
      </c>
      <c r="K12" s="54">
        <f>Summary!E7</f>
        <v>23500</v>
      </c>
      <c r="L12" s="1"/>
      <c r="M12" s="1"/>
      <c r="N12" s="1"/>
      <c r="O12" s="1"/>
      <c r="P12" s="1"/>
      <c r="Q12" s="1"/>
      <c r="R12" s="1"/>
      <c r="S12" s="1"/>
      <c r="T12" s="1"/>
      <c r="U12" s="1"/>
      <c r="V12" s="1"/>
      <c r="W12" s="1"/>
      <c r="X12" s="1"/>
      <c r="Y12" s="1"/>
      <c r="Z12" s="1"/>
    </row>
    <row r="13" spans="1:26" ht="15.75" customHeight="1">
      <c r="A13" s="1"/>
      <c r="B13" s="1"/>
      <c r="C13" s="1"/>
      <c r="D13" s="1479"/>
      <c r="E13" s="263" t="s">
        <v>1084</v>
      </c>
      <c r="F13" s="438"/>
      <c r="G13" s="1481">
        <v>0</v>
      </c>
      <c r="H13" s="1"/>
      <c r="I13" s="1"/>
      <c r="J13" s="53"/>
      <c r="K13" s="54"/>
      <c r="L13" s="1"/>
      <c r="M13" s="1"/>
      <c r="N13" s="1"/>
      <c r="O13" s="1"/>
      <c r="P13" s="1"/>
      <c r="Q13" s="1"/>
      <c r="R13" s="1"/>
      <c r="S13" s="1"/>
      <c r="T13" s="1"/>
      <c r="U13" s="1"/>
      <c r="V13" s="1"/>
      <c r="W13" s="1"/>
      <c r="X13" s="1"/>
      <c r="Y13" s="1"/>
      <c r="Z13" s="1"/>
    </row>
    <row r="14" spans="1:26" ht="15.75" customHeight="1">
      <c r="A14" s="1"/>
      <c r="B14" s="1"/>
      <c r="C14" s="1"/>
      <c r="D14" s="1482" t="s">
        <v>1085</v>
      </c>
      <c r="E14" s="1409" t="s">
        <v>1086</v>
      </c>
      <c r="F14" s="1483">
        <v>101100.8</v>
      </c>
      <c r="G14" s="1484">
        <f>F14*1.1023</f>
        <v>111443.41184000002</v>
      </c>
      <c r="H14" s="1"/>
      <c r="I14" s="1"/>
      <c r="J14" s="1"/>
      <c r="K14" s="1"/>
      <c r="L14" s="1"/>
      <c r="M14" s="1"/>
      <c r="N14" s="1"/>
      <c r="O14" s="1"/>
      <c r="P14" s="1"/>
      <c r="Q14" s="1"/>
      <c r="R14" s="1"/>
      <c r="S14" s="1"/>
      <c r="T14" s="1"/>
      <c r="U14" s="1"/>
      <c r="V14" s="1"/>
      <c r="W14" s="1"/>
      <c r="X14" s="1"/>
      <c r="Y14" s="1"/>
      <c r="Z14" s="1"/>
    </row>
    <row r="15" spans="1:26" ht="14.4">
      <c r="A15" s="1"/>
      <c r="B15" s="1"/>
      <c r="C15" s="1"/>
      <c r="D15" s="1479"/>
      <c r="E15" s="421"/>
      <c r="F15" s="438"/>
      <c r="G15" s="1481"/>
      <c r="H15" s="1"/>
      <c r="I15" s="1"/>
      <c r="J15" s="1"/>
      <c r="K15" s="1"/>
      <c r="L15" s="1"/>
      <c r="M15" s="1"/>
      <c r="N15" s="1"/>
      <c r="O15" s="1"/>
      <c r="P15" s="1"/>
      <c r="Q15" s="1"/>
      <c r="R15" s="1"/>
      <c r="S15" s="1"/>
      <c r="T15" s="1"/>
      <c r="U15" s="1"/>
      <c r="V15" s="1"/>
      <c r="W15" s="1"/>
      <c r="X15" s="1"/>
      <c r="Y15" s="1"/>
      <c r="Z15" s="1"/>
    </row>
    <row r="16" spans="1:26" ht="15.75" customHeight="1">
      <c r="A16" s="1"/>
      <c r="B16" s="1"/>
      <c r="C16" s="1"/>
      <c r="D16" s="1482" t="s">
        <v>1087</v>
      </c>
      <c r="E16" s="1409" t="s">
        <v>1088</v>
      </c>
      <c r="F16" s="1483">
        <v>149728.20000000001</v>
      </c>
      <c r="G16" s="1484">
        <f>F16*1.1023</f>
        <v>165045.39486000003</v>
      </c>
      <c r="H16" s="1"/>
      <c r="I16" s="1"/>
      <c r="J16" s="1"/>
      <c r="K16" s="1"/>
      <c r="L16" s="1"/>
      <c r="M16" s="1"/>
      <c r="N16" s="1"/>
      <c r="O16" s="1"/>
      <c r="P16" s="1"/>
      <c r="Q16" s="1"/>
      <c r="R16" s="1"/>
      <c r="S16" s="1"/>
      <c r="T16" s="1"/>
      <c r="U16" s="1"/>
      <c r="V16" s="1"/>
      <c r="W16" s="1"/>
      <c r="X16" s="1"/>
      <c r="Y16" s="1"/>
      <c r="Z16" s="1"/>
    </row>
    <row r="17" spans="1:26" ht="14.4">
      <c r="A17" s="1"/>
      <c r="B17" s="1"/>
      <c r="C17" s="1"/>
      <c r="D17" s="1479"/>
      <c r="E17" s="421"/>
      <c r="F17" s="421"/>
      <c r="G17" s="1481"/>
      <c r="H17" s="1"/>
      <c r="I17" s="1"/>
      <c r="J17" s="1"/>
      <c r="K17" s="1"/>
      <c r="L17" s="1"/>
      <c r="M17" s="1"/>
      <c r="N17" s="1"/>
      <c r="O17" s="1"/>
      <c r="P17" s="1"/>
      <c r="Q17" s="1"/>
      <c r="R17" s="1"/>
      <c r="S17" s="1"/>
      <c r="T17" s="1"/>
      <c r="U17" s="1"/>
      <c r="V17" s="1"/>
      <c r="W17" s="1"/>
      <c r="X17" s="1"/>
      <c r="Y17" s="1"/>
      <c r="Z17" s="1"/>
    </row>
    <row r="18" spans="1:26" ht="15.75" customHeight="1">
      <c r="A18" s="1"/>
      <c r="B18" s="1"/>
      <c r="C18" s="1"/>
      <c r="D18" s="1485"/>
      <c r="E18" s="1486" t="s">
        <v>1089</v>
      </c>
      <c r="F18" s="1487">
        <f t="shared" ref="F18:G18" si="2">F8+F14+F16+F11</f>
        <v>909712.43984396267</v>
      </c>
      <c r="G18" s="1488">
        <f t="shared" si="2"/>
        <v>1002776.02244</v>
      </c>
      <c r="H18" s="1"/>
      <c r="I18" s="1"/>
      <c r="J18" s="1"/>
      <c r="K18" s="1"/>
      <c r="L18" s="1"/>
      <c r="M18" s="1"/>
      <c r="N18" s="1"/>
      <c r="O18" s="1"/>
      <c r="P18" s="1"/>
      <c r="Q18" s="1"/>
      <c r="R18" s="1"/>
      <c r="S18" s="1"/>
      <c r="T18" s="1"/>
      <c r="U18" s="1"/>
      <c r="V18" s="1"/>
      <c r="W18" s="1"/>
      <c r="X18" s="1"/>
      <c r="Y18" s="1"/>
      <c r="Z18" s="1"/>
    </row>
    <row r="19" spans="1:26" ht="15.75" customHeight="1">
      <c r="A19" s="1"/>
      <c r="B19" s="1"/>
      <c r="C19" s="1"/>
      <c r="D19" s="1489" t="s">
        <v>177</v>
      </c>
      <c r="E19" s="1490" t="s">
        <v>1090</v>
      </c>
      <c r="F19" s="1491">
        <f t="shared" ref="F19:G19" si="3">F9+F12</f>
        <v>0.91719404880703981</v>
      </c>
      <c r="G19" s="1492">
        <f t="shared" si="3"/>
        <v>1.011023</v>
      </c>
      <c r="H19" s="1"/>
      <c r="I19" s="1"/>
      <c r="J19" s="1"/>
      <c r="K19" s="1"/>
      <c r="L19" s="1"/>
      <c r="M19" s="1"/>
      <c r="N19" s="1"/>
      <c r="O19" s="1"/>
      <c r="P19" s="1"/>
      <c r="Q19" s="1"/>
      <c r="R19" s="1"/>
      <c r="S19" s="1"/>
      <c r="T19" s="1"/>
      <c r="U19" s="1"/>
      <c r="V19" s="1"/>
      <c r="W19" s="1"/>
      <c r="X19" s="1"/>
      <c r="Y19" s="1"/>
      <c r="Z19" s="1"/>
    </row>
    <row r="20" spans="1:26" ht="15.75" customHeight="1">
      <c r="A20" s="1"/>
      <c r="B20" s="1"/>
      <c r="C20" s="1"/>
      <c r="D20" s="1493"/>
      <c r="E20" s="1494" t="s">
        <v>1091</v>
      </c>
      <c r="F20" s="1495">
        <f>F10</f>
        <v>5.8999999999999997E-2</v>
      </c>
      <c r="G20" s="1496">
        <f>G10+G13</f>
        <v>6.5035700000000002E-2</v>
      </c>
      <c r="H20" s="1"/>
      <c r="I20" s="1"/>
      <c r="J20" s="1"/>
      <c r="K20" s="1"/>
      <c r="L20" s="1"/>
      <c r="M20" s="1"/>
      <c r="N20" s="1"/>
      <c r="O20" s="1"/>
      <c r="P20" s="1"/>
      <c r="Q20" s="1"/>
      <c r="R20" s="1"/>
      <c r="S20" s="1"/>
      <c r="T20" s="1"/>
      <c r="U20" s="1"/>
      <c r="V20" s="1"/>
      <c r="W20" s="1"/>
      <c r="X20" s="1"/>
      <c r="Y20" s="1"/>
      <c r="Z20" s="1"/>
    </row>
    <row r="21" spans="1:26" ht="15.75" customHeight="1">
      <c r="A21" s="1"/>
      <c r="B21" s="1"/>
      <c r="C21" s="1"/>
      <c r="D21" s="1497"/>
      <c r="E21" s="441"/>
      <c r="F21" s="441"/>
      <c r="G21" s="1498"/>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J7:K7"/>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defaultColWidth="16.85546875" defaultRowHeight="15" customHeight="1"/>
  <cols>
    <col min="1" max="2" width="9.28515625" customWidth="1"/>
    <col min="3" max="3" width="26.28515625" customWidth="1"/>
    <col min="4" max="4" width="32.140625" customWidth="1"/>
    <col min="5" max="5" width="19.42578125" customWidth="1"/>
    <col min="6" max="6" width="2.28515625" customWidth="1"/>
    <col min="7" max="7" width="18.140625" customWidth="1"/>
    <col min="8" max="8" width="2.28515625" customWidth="1"/>
    <col min="9" max="9" width="14.42578125" customWidth="1"/>
    <col min="10" max="10" width="13.28515625" customWidth="1"/>
    <col min="11" max="19" width="9.28515625" customWidth="1"/>
    <col min="20" max="26" width="8" customWidth="1"/>
  </cols>
  <sheetData>
    <row r="1" spans="1:26" ht="14.4">
      <c r="A1" s="1" t="s">
        <v>93</v>
      </c>
      <c r="B1" s="403"/>
      <c r="C1" s="1"/>
      <c r="D1" s="1"/>
      <c r="E1" s="42"/>
      <c r="F1" s="1"/>
      <c r="G1" s="1"/>
      <c r="H1" s="1"/>
      <c r="I1" s="1"/>
      <c r="J1" s="1"/>
      <c r="K1" s="1"/>
      <c r="L1" s="1"/>
      <c r="M1" s="1"/>
      <c r="N1" s="1"/>
      <c r="O1" s="1"/>
      <c r="P1" s="1"/>
      <c r="Q1" s="1"/>
      <c r="R1" s="1"/>
      <c r="S1" s="1"/>
      <c r="T1" s="1"/>
      <c r="U1" s="1"/>
      <c r="V1" s="1"/>
      <c r="W1" s="1"/>
      <c r="X1" s="1"/>
      <c r="Y1" s="1"/>
      <c r="Z1" s="1"/>
    </row>
    <row r="2" spans="1:26" ht="57.75" customHeight="1">
      <c r="A2" s="1"/>
      <c r="B2" s="1450"/>
      <c r="C2" s="1450"/>
      <c r="D2" s="1238"/>
      <c r="E2" s="1238"/>
      <c r="F2" s="1238"/>
      <c r="G2" s="1238"/>
      <c r="H2" s="1451"/>
      <c r="I2" s="1"/>
      <c r="J2" s="1451"/>
      <c r="K2" s="1451"/>
      <c r="L2" s="1451"/>
      <c r="M2" s="1"/>
      <c r="N2" s="1"/>
      <c r="O2" s="1"/>
      <c r="P2" s="1"/>
      <c r="Q2" s="1"/>
      <c r="R2" s="1"/>
      <c r="S2" s="1"/>
      <c r="T2" s="1"/>
      <c r="U2" s="1"/>
      <c r="V2" s="1"/>
      <c r="W2" s="1"/>
      <c r="X2" s="1"/>
      <c r="Y2" s="1"/>
      <c r="Z2" s="1"/>
    </row>
    <row r="3" spans="1:26" ht="14.4">
      <c r="A3" s="1"/>
      <c r="B3" s="1452"/>
      <c r="C3" s="1453"/>
      <c r="D3" s="1454" t="s">
        <v>1067</v>
      </c>
      <c r="E3" s="1454" t="s">
        <v>881</v>
      </c>
      <c r="F3" s="1454"/>
      <c r="G3" s="1454" t="s">
        <v>1068</v>
      </c>
      <c r="H3" s="1453"/>
      <c r="I3" s="1454" t="s">
        <v>118</v>
      </c>
      <c r="J3" s="1455" t="s">
        <v>118</v>
      </c>
      <c r="K3" s="1"/>
      <c r="L3" s="1"/>
      <c r="M3" s="1"/>
      <c r="N3" s="1"/>
      <c r="O3" s="1"/>
      <c r="P3" s="1"/>
      <c r="Q3" s="1"/>
      <c r="R3" s="1"/>
      <c r="S3" s="1"/>
      <c r="T3" s="1"/>
      <c r="U3" s="1"/>
      <c r="V3" s="1"/>
      <c r="W3" s="1"/>
      <c r="X3" s="1"/>
      <c r="Y3" s="1"/>
      <c r="Z3" s="1"/>
    </row>
    <row r="4" spans="1:26">
      <c r="A4" s="1"/>
      <c r="B4" s="1456"/>
      <c r="C4" s="75"/>
      <c r="D4" s="1263" t="s">
        <v>1069</v>
      </c>
      <c r="E4" s="1263" t="s">
        <v>1070</v>
      </c>
      <c r="F4" s="1263"/>
      <c r="G4" s="1263" t="s">
        <v>1071</v>
      </c>
      <c r="H4" s="75"/>
      <c r="I4" s="1263" t="s">
        <v>1072</v>
      </c>
      <c r="J4" s="1457" t="s">
        <v>1073</v>
      </c>
      <c r="K4" s="1"/>
      <c r="L4" s="1"/>
      <c r="M4" s="1"/>
      <c r="N4" s="1"/>
      <c r="O4" s="1"/>
      <c r="P4" s="1"/>
      <c r="Q4" s="1"/>
      <c r="R4" s="1"/>
      <c r="S4" s="1"/>
      <c r="T4" s="1"/>
      <c r="U4" s="1"/>
      <c r="V4" s="1"/>
      <c r="W4" s="1"/>
      <c r="X4" s="1"/>
      <c r="Y4" s="1"/>
      <c r="Z4" s="1"/>
    </row>
    <row r="5" spans="1:26" ht="14.4">
      <c r="A5" s="1"/>
      <c r="B5" s="1456"/>
      <c r="C5" s="260"/>
      <c r="D5" s="1263"/>
      <c r="E5" s="1263"/>
      <c r="F5" s="1263"/>
      <c r="G5" s="1263"/>
      <c r="H5" s="1263"/>
      <c r="I5" s="1263"/>
      <c r="J5" s="1458"/>
      <c r="K5" s="1"/>
      <c r="L5" s="1"/>
      <c r="M5" s="1"/>
      <c r="N5" s="1"/>
      <c r="O5" s="1"/>
      <c r="P5" s="1"/>
      <c r="Q5" s="1"/>
      <c r="R5" s="1"/>
      <c r="S5" s="1"/>
      <c r="T5" s="1"/>
      <c r="U5" s="1"/>
      <c r="V5" s="1"/>
      <c r="W5" s="1"/>
      <c r="X5" s="1"/>
      <c r="Y5" s="1"/>
      <c r="Z5" s="1"/>
    </row>
    <row r="6" spans="1:26" ht="14.4">
      <c r="A6" s="1"/>
      <c r="B6" s="1459"/>
      <c r="C6" s="261"/>
      <c r="D6" s="75"/>
      <c r="E6" s="75"/>
      <c r="F6" s="75"/>
      <c r="G6" s="1460"/>
      <c r="H6" s="75"/>
      <c r="I6" s="75"/>
      <c r="J6" s="1458"/>
      <c r="K6" s="1"/>
      <c r="L6" s="1"/>
      <c r="M6" s="1"/>
      <c r="N6" s="1"/>
      <c r="O6" s="1"/>
      <c r="P6" s="1"/>
      <c r="Q6" s="1"/>
      <c r="R6" s="1"/>
      <c r="S6" s="1"/>
      <c r="T6" s="1"/>
      <c r="U6" s="1"/>
      <c r="V6" s="1"/>
      <c r="W6" s="1"/>
      <c r="X6" s="1"/>
      <c r="Y6" s="1"/>
      <c r="Z6" s="1"/>
    </row>
    <row r="7" spans="1:26" ht="14.4">
      <c r="A7" s="1"/>
      <c r="B7" s="1461">
        <v>2011</v>
      </c>
      <c r="C7" s="1462" t="s">
        <v>100</v>
      </c>
      <c r="D7" s="1463">
        <v>0</v>
      </c>
      <c r="E7" s="66">
        <v>1.2</v>
      </c>
      <c r="F7" s="66"/>
      <c r="G7" s="49">
        <f>D8*E8</f>
        <v>951.18999999999994</v>
      </c>
      <c r="H7" s="261"/>
      <c r="I7" s="49">
        <f>IF(D7&gt;0,D7*E7-(G7),0)</f>
        <v>0</v>
      </c>
      <c r="J7" s="1464"/>
      <c r="K7" s="254"/>
      <c r="L7" s="1"/>
      <c r="M7" s="1"/>
      <c r="N7" s="1"/>
      <c r="O7" s="1"/>
      <c r="P7" s="1"/>
      <c r="Q7" s="1"/>
      <c r="R7" s="1"/>
      <c r="S7" s="1"/>
      <c r="T7" s="1"/>
      <c r="U7" s="1"/>
      <c r="V7" s="1"/>
      <c r="W7" s="1"/>
      <c r="X7" s="1"/>
      <c r="Y7" s="1"/>
      <c r="Z7" s="1"/>
    </row>
    <row r="8" spans="1:26" ht="14.4">
      <c r="A8" s="1"/>
      <c r="B8" s="1465">
        <v>18</v>
      </c>
      <c r="C8" s="1462" t="s">
        <v>104</v>
      </c>
      <c r="D8" s="1463">
        <v>1303</v>
      </c>
      <c r="E8" s="71">
        <v>0.73</v>
      </c>
      <c r="F8" s="71"/>
      <c r="G8" s="261"/>
      <c r="H8" s="261"/>
      <c r="I8" s="49">
        <f>D8*E8</f>
        <v>951.18999999999994</v>
      </c>
      <c r="J8" s="1466">
        <f>I8/1000000</f>
        <v>9.5118999999999998E-4</v>
      </c>
      <c r="K8" s="254"/>
      <c r="L8" s="1"/>
      <c r="M8" s="1"/>
      <c r="N8" s="1"/>
      <c r="O8" s="1"/>
      <c r="P8" s="1"/>
      <c r="Q8" s="1"/>
      <c r="R8" s="1"/>
      <c r="S8" s="1"/>
      <c r="T8" s="1"/>
      <c r="U8" s="1"/>
      <c r="V8" s="1"/>
      <c r="W8" s="1"/>
      <c r="X8" s="1"/>
      <c r="Y8" s="1"/>
      <c r="Z8" s="1"/>
    </row>
    <row r="9" spans="1:26" ht="14.4">
      <c r="A9" s="1"/>
      <c r="B9" s="1467"/>
      <c r="C9" s="1468"/>
      <c r="D9" s="1443"/>
      <c r="E9" s="1443"/>
      <c r="F9" s="1443"/>
      <c r="G9" s="1469"/>
      <c r="H9" s="1443"/>
      <c r="I9" s="1443"/>
      <c r="J9" s="1470"/>
      <c r="K9" s="1"/>
      <c r="L9" s="1"/>
      <c r="M9" s="1"/>
      <c r="N9" s="1"/>
      <c r="O9" s="1"/>
      <c r="P9" s="1"/>
      <c r="Q9" s="1"/>
      <c r="R9" s="1"/>
      <c r="S9" s="1"/>
      <c r="T9" s="1"/>
      <c r="U9" s="1"/>
      <c r="V9" s="1"/>
      <c r="W9" s="1"/>
      <c r="X9" s="1"/>
      <c r="Y9" s="1"/>
      <c r="Z9" s="1"/>
    </row>
    <row r="10" spans="1:26" ht="14.4">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4">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4">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4">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4">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4">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4">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4">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4">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4">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4">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C462"/>
  <sheetViews>
    <sheetView workbookViewId="0"/>
  </sheetViews>
  <sheetFormatPr defaultColWidth="16.85546875" defaultRowHeight="15" customHeight="1"/>
  <cols>
    <col min="1" max="1" width="6" customWidth="1"/>
    <col min="2" max="2" width="34.28515625" customWidth="1"/>
    <col min="3" max="3" width="17.85546875" customWidth="1"/>
    <col min="4" max="4" width="3.85546875" customWidth="1"/>
    <col min="5" max="5" width="19.28515625" customWidth="1"/>
    <col min="6" max="6" width="3.85546875" customWidth="1"/>
    <col min="7" max="7" width="15" customWidth="1"/>
    <col min="8" max="8" width="3.85546875" customWidth="1"/>
    <col min="9" max="9" width="17.85546875" customWidth="1"/>
    <col min="10" max="10" width="3.85546875" customWidth="1"/>
    <col min="11" max="11" width="16.7109375" customWidth="1"/>
    <col min="12" max="12" width="3.85546875" customWidth="1"/>
    <col min="13" max="13" width="20.42578125" customWidth="1"/>
    <col min="14" max="14" width="8.7109375" customWidth="1"/>
    <col min="15" max="15" width="15.7109375" customWidth="1"/>
    <col min="16" max="16" width="3.85546875" customWidth="1"/>
    <col min="17" max="17" width="13.85546875" customWidth="1"/>
    <col min="18" max="18" width="3.85546875" customWidth="1"/>
    <col min="19" max="19" width="16.7109375" customWidth="1"/>
    <col min="20" max="20" width="3.85546875" customWidth="1"/>
    <col min="21" max="21" width="15.140625" customWidth="1"/>
    <col min="22" max="22" width="3.85546875" customWidth="1"/>
    <col min="23" max="23" width="16.28515625" customWidth="1"/>
    <col min="24" max="24" width="2.85546875" customWidth="1"/>
    <col min="25" max="25" width="14" customWidth="1"/>
    <col min="26" max="26" width="11" customWidth="1"/>
    <col min="27" max="27" width="20" customWidth="1"/>
    <col min="28" max="28" width="2.85546875" customWidth="1"/>
    <col min="29" max="29" width="17" customWidth="1"/>
    <col min="30" max="30" width="2.85546875" customWidth="1"/>
    <col min="31" max="31" width="15.42578125" customWidth="1"/>
    <col min="32" max="81" width="9.28515625" customWidth="1"/>
  </cols>
  <sheetData>
    <row r="1" spans="1:53" ht="19.8">
      <c r="A1" s="2184" t="s">
        <v>1478</v>
      </c>
      <c r="B1" s="1"/>
      <c r="C1" s="1"/>
      <c r="D1" s="1"/>
      <c r="E1" s="42"/>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row>
    <row r="2" spans="1:53" ht="409.5" customHeight="1">
      <c r="A2" s="1"/>
      <c r="B2" s="2288"/>
      <c r="C2" s="2243"/>
      <c r="D2" s="2243"/>
      <c r="E2" s="2243"/>
      <c r="F2" s="2243"/>
      <c r="G2" s="2243"/>
      <c r="H2" s="2243"/>
      <c r="I2" s="2243"/>
      <c r="J2" s="2243"/>
      <c r="K2" s="2243"/>
      <c r="L2" s="2243"/>
      <c r="M2" s="2243"/>
      <c r="N2" s="2243"/>
      <c r="O2" s="2243"/>
      <c r="P2" s="2243"/>
      <c r="Q2" s="2243"/>
      <c r="R2" s="2243"/>
      <c r="S2" s="2243"/>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row>
    <row r="3" spans="1:53" ht="14.4">
      <c r="A3" s="1"/>
      <c r="B3" s="1749" t="s">
        <v>1479</v>
      </c>
      <c r="C3" s="1750"/>
      <c r="D3" s="1750"/>
      <c r="E3" s="1750"/>
      <c r="F3" s="1750"/>
      <c r="G3" s="1750"/>
      <c r="H3" s="1750"/>
      <c r="I3" s="1750"/>
      <c r="J3" s="1750"/>
      <c r="K3" s="1750"/>
      <c r="L3" s="1750"/>
      <c r="M3" s="175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row>
    <row r="4" spans="1:53" ht="45" customHeight="1">
      <c r="A4" s="1"/>
      <c r="B4" s="84"/>
      <c r="C4" s="1752" t="s">
        <v>1480</v>
      </c>
      <c r="D4" s="1752"/>
      <c r="E4" s="1752" t="s">
        <v>1481</v>
      </c>
      <c r="F4" s="1752"/>
      <c r="G4" s="1752" t="s">
        <v>1482</v>
      </c>
      <c r="H4" s="1753"/>
      <c r="I4" s="1752" t="s">
        <v>1483</v>
      </c>
      <c r="J4" s="1753"/>
      <c r="K4" s="1752" t="s">
        <v>1422</v>
      </c>
      <c r="L4" s="1753"/>
      <c r="M4" s="1754" t="s">
        <v>1484</v>
      </c>
      <c r="N4" s="1"/>
      <c r="O4" s="1"/>
      <c r="P4" s="1"/>
      <c r="Q4" s="1"/>
      <c r="R4" s="1"/>
      <c r="U4" s="1"/>
      <c r="V4" s="1"/>
      <c r="W4" s="1"/>
      <c r="X4" s="1"/>
      <c r="Y4" s="2237" t="s">
        <v>1</v>
      </c>
      <c r="Z4" s="2238"/>
      <c r="AA4" s="1"/>
      <c r="AB4" s="1"/>
      <c r="AC4" s="1"/>
      <c r="AD4" s="1"/>
      <c r="AE4" s="1"/>
      <c r="AH4" s="1"/>
      <c r="AI4" s="1"/>
      <c r="AJ4" s="1"/>
      <c r="AK4" s="1"/>
      <c r="AL4" s="1"/>
      <c r="AM4" s="1"/>
      <c r="AN4" s="1"/>
      <c r="AO4" s="1"/>
      <c r="AP4" s="1"/>
      <c r="AQ4" s="1"/>
      <c r="AR4" s="1"/>
      <c r="AS4" s="1"/>
      <c r="AT4" s="1"/>
      <c r="AU4" s="1"/>
      <c r="AV4" s="1"/>
      <c r="AW4" s="1"/>
      <c r="AX4" s="1"/>
      <c r="AY4" s="1"/>
      <c r="AZ4" s="1"/>
      <c r="BA4" s="1"/>
    </row>
    <row r="5" spans="1:53" ht="14.4">
      <c r="A5" s="1"/>
      <c r="B5" s="313" t="s">
        <v>1485</v>
      </c>
      <c r="C5" s="261"/>
      <c r="D5" s="261"/>
      <c r="E5" s="75"/>
      <c r="F5" s="75"/>
      <c r="G5" s="75"/>
      <c r="H5" s="75"/>
      <c r="I5" s="75"/>
      <c r="J5" s="75"/>
      <c r="K5" s="75"/>
      <c r="L5" s="75"/>
      <c r="M5" s="85"/>
      <c r="N5" s="1"/>
      <c r="O5" s="1"/>
      <c r="P5" s="1"/>
      <c r="Q5" s="1"/>
      <c r="R5" s="1"/>
      <c r="U5" s="1"/>
      <c r="V5" s="1"/>
      <c r="W5" s="1"/>
      <c r="X5" s="1"/>
      <c r="Y5" s="52"/>
      <c r="Z5" s="52"/>
      <c r="AA5" s="1"/>
      <c r="AB5" s="1"/>
      <c r="AC5" s="1"/>
      <c r="AD5" s="1"/>
      <c r="AE5" s="1"/>
      <c r="AH5" s="1"/>
      <c r="AI5" s="1"/>
      <c r="AJ5" s="1"/>
      <c r="AK5" s="1"/>
      <c r="AL5" s="1"/>
      <c r="AM5" s="1"/>
      <c r="AN5" s="1"/>
      <c r="AO5" s="1"/>
      <c r="AP5" s="1"/>
      <c r="AQ5" s="1"/>
      <c r="AR5" s="1"/>
      <c r="AS5" s="1"/>
      <c r="AT5" s="1"/>
      <c r="AU5" s="1"/>
      <c r="AV5" s="1"/>
      <c r="AW5" s="1"/>
      <c r="AX5" s="1"/>
      <c r="AY5" s="1"/>
      <c r="AZ5" s="1"/>
      <c r="BA5" s="1"/>
    </row>
    <row r="6" spans="1:53" ht="14.4">
      <c r="A6" s="1"/>
      <c r="B6" s="922" t="s">
        <v>1486</v>
      </c>
      <c r="C6" s="1755">
        <v>53</v>
      </c>
      <c r="D6" s="261" t="s">
        <v>77</v>
      </c>
      <c r="E6" s="1674">
        <v>138.93539364</v>
      </c>
      <c r="F6" s="261" t="s">
        <v>78</v>
      </c>
      <c r="G6" s="49">
        <f t="shared" ref="G6:G9" si="0">C6*E6*1000</f>
        <v>7363575.8629200002</v>
      </c>
      <c r="H6" s="261" t="s">
        <v>78</v>
      </c>
      <c r="I6" s="51">
        <f t="shared" ref="I6:I9" si="1">G6/1000*10^-6</f>
        <v>7.36357586292E-3</v>
      </c>
      <c r="J6" s="261" t="s">
        <v>78</v>
      </c>
      <c r="K6" s="1081">
        <f>(I6*$Z$7)*(12/44)</f>
        <v>5.6230942953207269E-2</v>
      </c>
      <c r="L6" s="261" t="s">
        <v>78</v>
      </c>
      <c r="M6" s="314">
        <f t="shared" ref="M6:M9" si="2">K6/(12/44)</f>
        <v>0.20618012416176001</v>
      </c>
      <c r="N6" s="1"/>
      <c r="O6" s="1"/>
      <c r="P6" s="1"/>
      <c r="Q6" s="1"/>
      <c r="R6" s="1"/>
      <c r="U6" s="1"/>
      <c r="V6" s="1"/>
      <c r="W6" s="1"/>
      <c r="X6" s="1"/>
      <c r="Y6" s="53" t="s">
        <v>80</v>
      </c>
      <c r="Z6" s="54">
        <f>Summary!E4</f>
        <v>1</v>
      </c>
      <c r="AA6" s="1"/>
      <c r="AB6" s="1"/>
      <c r="AC6" s="1"/>
      <c r="AD6" s="1"/>
      <c r="AE6" s="1"/>
      <c r="AH6" s="1"/>
      <c r="AI6" s="1"/>
      <c r="AJ6" s="1"/>
      <c r="AK6" s="1"/>
      <c r="AL6" s="1"/>
      <c r="AM6" s="1"/>
      <c r="AN6" s="1"/>
      <c r="AO6" s="1"/>
      <c r="AP6" s="1"/>
      <c r="AQ6" s="1"/>
      <c r="AR6" s="1"/>
      <c r="AS6" s="1"/>
      <c r="AT6" s="1"/>
      <c r="AU6" s="1"/>
      <c r="AV6" s="1"/>
      <c r="AW6" s="1"/>
      <c r="AX6" s="1"/>
      <c r="AY6" s="1"/>
      <c r="AZ6" s="1"/>
      <c r="BA6" s="1"/>
    </row>
    <row r="7" spans="1:53" ht="14.4">
      <c r="A7" s="1"/>
      <c r="B7" s="922" t="s">
        <v>1487</v>
      </c>
      <c r="C7" s="1755">
        <v>28</v>
      </c>
      <c r="D7" s="261" t="s">
        <v>77</v>
      </c>
      <c r="E7" s="1674">
        <v>65.967509930000006</v>
      </c>
      <c r="F7" s="261" t="s">
        <v>78</v>
      </c>
      <c r="G7" s="49">
        <f t="shared" si="0"/>
        <v>1847090.2780400002</v>
      </c>
      <c r="H7" s="261" t="s">
        <v>78</v>
      </c>
      <c r="I7" s="51">
        <f t="shared" si="1"/>
        <v>1.8470902780400001E-3</v>
      </c>
      <c r="J7" s="261" t="s">
        <v>78</v>
      </c>
      <c r="K7" s="1081">
        <f>(I7*$Z$7)*(12/44)</f>
        <v>1.4105053032305455E-2</v>
      </c>
      <c r="L7" s="261" t="s">
        <v>78</v>
      </c>
      <c r="M7" s="314">
        <f t="shared" si="2"/>
        <v>5.1718527785120004E-2</v>
      </c>
      <c r="N7" s="1"/>
      <c r="O7" s="1"/>
      <c r="P7" s="1"/>
      <c r="Q7" s="1"/>
      <c r="R7" s="1"/>
      <c r="U7" s="1"/>
      <c r="V7" s="1"/>
      <c r="W7" s="1"/>
      <c r="X7" s="1"/>
      <c r="Y7" s="53" t="s">
        <v>82</v>
      </c>
      <c r="Z7" s="54">
        <f>Summary!E5</f>
        <v>28</v>
      </c>
      <c r="AA7" s="1"/>
      <c r="AB7" s="1"/>
      <c r="AC7" s="1"/>
      <c r="AD7" s="1"/>
      <c r="AE7" s="1"/>
      <c r="AH7" s="1"/>
      <c r="AI7" s="1"/>
      <c r="AJ7" s="1"/>
      <c r="AK7" s="1"/>
      <c r="AL7" s="1"/>
      <c r="AM7" s="1"/>
      <c r="AN7" s="1"/>
      <c r="AO7" s="1"/>
      <c r="AP7" s="1"/>
      <c r="AQ7" s="1"/>
      <c r="AR7" s="1"/>
      <c r="AS7" s="1"/>
      <c r="AT7" s="1"/>
      <c r="AU7" s="1"/>
      <c r="AV7" s="1"/>
      <c r="AW7" s="1"/>
      <c r="AX7" s="1"/>
      <c r="AY7" s="1"/>
      <c r="AZ7" s="1"/>
      <c r="BA7" s="1"/>
    </row>
    <row r="8" spans="1:53" ht="14.4">
      <c r="A8" s="1"/>
      <c r="B8" s="922" t="s">
        <v>1488</v>
      </c>
      <c r="C8" s="1755">
        <v>0</v>
      </c>
      <c r="D8" s="261" t="s">
        <v>77</v>
      </c>
      <c r="E8" s="1674">
        <v>48.578723359999998</v>
      </c>
      <c r="F8" s="261" t="s">
        <v>78</v>
      </c>
      <c r="G8" s="49">
        <f t="shared" si="0"/>
        <v>0</v>
      </c>
      <c r="H8" s="261" t="s">
        <v>78</v>
      </c>
      <c r="I8" s="51">
        <f t="shared" si="1"/>
        <v>0</v>
      </c>
      <c r="J8" s="261" t="s">
        <v>78</v>
      </c>
      <c r="K8" s="1081">
        <f>(I8*$Z$7)*(12/44)</f>
        <v>0</v>
      </c>
      <c r="L8" s="261" t="s">
        <v>78</v>
      </c>
      <c r="M8" s="314">
        <f t="shared" si="2"/>
        <v>0</v>
      </c>
      <c r="N8" s="1"/>
      <c r="O8" s="1"/>
      <c r="P8" s="1"/>
      <c r="Q8" s="1"/>
      <c r="R8" s="1"/>
      <c r="U8" s="1"/>
      <c r="V8" s="1"/>
      <c r="W8" s="1"/>
      <c r="X8" s="1"/>
      <c r="Y8" s="53" t="s">
        <v>83</v>
      </c>
      <c r="Z8" s="54">
        <f>Summary!E6</f>
        <v>265</v>
      </c>
      <c r="AA8" s="1"/>
      <c r="AB8" s="1"/>
      <c r="AC8" s="1"/>
      <c r="AD8" s="1"/>
      <c r="AE8" s="1"/>
      <c r="AH8" s="1"/>
      <c r="AI8" s="1"/>
      <c r="AJ8" s="1"/>
      <c r="AK8" s="1"/>
      <c r="AL8" s="1"/>
      <c r="AM8" s="1"/>
      <c r="AN8" s="1"/>
      <c r="AO8" s="1"/>
      <c r="AP8" s="1"/>
      <c r="AQ8" s="1"/>
      <c r="AR8" s="1"/>
      <c r="AS8" s="1"/>
      <c r="AT8" s="1"/>
      <c r="AU8" s="1"/>
      <c r="AV8" s="1"/>
      <c r="AW8" s="1"/>
      <c r="AX8" s="1"/>
      <c r="AY8" s="1"/>
      <c r="AZ8" s="1"/>
      <c r="BA8" s="1"/>
    </row>
    <row r="9" spans="1:53" ht="14.4">
      <c r="A9" s="1"/>
      <c r="B9" s="922" t="s">
        <v>1489</v>
      </c>
      <c r="C9" s="1755">
        <v>0</v>
      </c>
      <c r="D9" s="261" t="s">
        <v>77</v>
      </c>
      <c r="E9" s="1674">
        <v>73.327800060000001</v>
      </c>
      <c r="F9" s="261" t="s">
        <v>78</v>
      </c>
      <c r="G9" s="49">
        <f t="shared" si="0"/>
        <v>0</v>
      </c>
      <c r="H9" s="261" t="s">
        <v>78</v>
      </c>
      <c r="I9" s="51">
        <f t="shared" si="1"/>
        <v>0</v>
      </c>
      <c r="J9" s="261" t="s">
        <v>78</v>
      </c>
      <c r="K9" s="1081">
        <f>(I9*$Z$7)*(12/44)</f>
        <v>0</v>
      </c>
      <c r="L9" s="261" t="s">
        <v>78</v>
      </c>
      <c r="M9" s="314">
        <f t="shared" si="2"/>
        <v>0</v>
      </c>
      <c r="N9" s="1"/>
      <c r="O9" s="1"/>
      <c r="P9" s="1"/>
      <c r="Q9" s="1"/>
      <c r="R9" s="1"/>
      <c r="U9" s="1"/>
      <c r="V9" s="1"/>
      <c r="W9" s="1"/>
      <c r="X9" s="1"/>
      <c r="Y9" s="53" t="s">
        <v>85</v>
      </c>
      <c r="Z9" s="54">
        <f>Summary!E7</f>
        <v>23500</v>
      </c>
      <c r="AA9" s="1"/>
      <c r="AB9" s="1"/>
      <c r="AC9" s="1"/>
      <c r="AD9" s="1"/>
      <c r="AE9" s="1"/>
      <c r="AH9" s="1"/>
      <c r="AI9" s="1"/>
      <c r="AJ9" s="1"/>
      <c r="AK9" s="1"/>
      <c r="AL9" s="1"/>
      <c r="AM9" s="1"/>
      <c r="AN9" s="1"/>
      <c r="AO9" s="1"/>
      <c r="AP9" s="1"/>
      <c r="AQ9" s="1"/>
      <c r="AR9" s="1"/>
      <c r="AS9" s="1"/>
      <c r="AT9" s="1"/>
      <c r="AU9" s="1"/>
      <c r="AV9" s="1"/>
      <c r="AW9" s="1"/>
      <c r="AX9" s="1"/>
      <c r="AY9" s="1"/>
      <c r="AZ9" s="1"/>
      <c r="BA9" s="1"/>
    </row>
    <row r="10" spans="1:53" ht="14.4">
      <c r="A10" s="1"/>
      <c r="B10" s="313" t="s">
        <v>1490</v>
      </c>
      <c r="C10" s="1512"/>
      <c r="D10" s="261"/>
      <c r="E10" s="1674"/>
      <c r="F10" s="261"/>
      <c r="G10" s="49"/>
      <c r="H10" s="261"/>
      <c r="I10" s="51"/>
      <c r="J10" s="261"/>
      <c r="K10" s="1081"/>
      <c r="L10" s="261"/>
      <c r="M10" s="314"/>
      <c r="N10" s="1"/>
      <c r="O10" s="1"/>
      <c r="P10" s="1"/>
      <c r="Q10" s="1"/>
      <c r="R10" s="1"/>
      <c r="U10" s="1"/>
      <c r="V10" s="1"/>
      <c r="W10" s="1"/>
      <c r="X10" s="1"/>
      <c r="Y10" s="53"/>
      <c r="Z10" s="54"/>
      <c r="AA10" s="1"/>
      <c r="AB10" s="1"/>
      <c r="AC10" s="1"/>
      <c r="AD10" s="1"/>
      <c r="AE10" s="1"/>
      <c r="AH10" s="1"/>
      <c r="AI10" s="1"/>
      <c r="AJ10" s="1"/>
      <c r="AK10" s="1"/>
      <c r="AL10" s="1"/>
      <c r="AM10" s="1"/>
      <c r="AN10" s="1"/>
      <c r="AO10" s="1"/>
      <c r="AP10" s="1"/>
      <c r="AQ10" s="1"/>
      <c r="AR10" s="1"/>
      <c r="AS10" s="1"/>
      <c r="AT10" s="1"/>
      <c r="AU10" s="1"/>
      <c r="AV10" s="1"/>
      <c r="AW10" s="1"/>
      <c r="AX10" s="1"/>
      <c r="AY10" s="1"/>
      <c r="AZ10" s="1"/>
      <c r="BA10" s="1"/>
    </row>
    <row r="11" spans="1:53" ht="14.4">
      <c r="A11" s="1"/>
      <c r="B11" s="922" t="s">
        <v>1491</v>
      </c>
      <c r="C11" s="1755">
        <v>42</v>
      </c>
      <c r="D11" s="261" t="s">
        <v>77</v>
      </c>
      <c r="E11" s="1674">
        <v>94.374200790000003</v>
      </c>
      <c r="F11" s="261" t="s">
        <v>78</v>
      </c>
      <c r="G11" s="49">
        <f t="shared" ref="G11:G19" si="3">C11*E11*1000</f>
        <v>3963716.4331800002</v>
      </c>
      <c r="H11" s="261" t="s">
        <v>78</v>
      </c>
      <c r="I11" s="51">
        <f t="shared" ref="I11:I19" si="4">G11/1000*10^-6</f>
        <v>3.9637164331799996E-3</v>
      </c>
      <c r="J11" s="261" t="s">
        <v>78</v>
      </c>
      <c r="K11" s="1081">
        <f t="shared" ref="K11:K19" si="5">(I11*$Z$7)*(12/44)</f>
        <v>3.0268380035192725E-2</v>
      </c>
      <c r="L11" s="261" t="s">
        <v>78</v>
      </c>
      <c r="M11" s="314">
        <f t="shared" ref="M11:M19" si="6">K11/(12/44)</f>
        <v>0.11098406012904</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row>
    <row r="12" spans="1:53" ht="14.4">
      <c r="A12" s="1"/>
      <c r="B12" s="922" t="s">
        <v>1492</v>
      </c>
      <c r="C12" s="1755">
        <v>10</v>
      </c>
      <c r="D12" s="261" t="s">
        <v>77</v>
      </c>
      <c r="E12" s="1674">
        <v>66.696864169999998</v>
      </c>
      <c r="F12" s="261" t="s">
        <v>78</v>
      </c>
      <c r="G12" s="49">
        <f t="shared" si="3"/>
        <v>666968.64170000004</v>
      </c>
      <c r="H12" s="261" t="s">
        <v>78</v>
      </c>
      <c r="I12" s="51">
        <f t="shared" si="4"/>
        <v>6.6696864169999998E-4</v>
      </c>
      <c r="J12" s="261" t="s">
        <v>78</v>
      </c>
      <c r="K12" s="1081">
        <f t="shared" si="5"/>
        <v>5.093215082072727E-3</v>
      </c>
      <c r="L12" s="261" t="s">
        <v>78</v>
      </c>
      <c r="M12" s="314">
        <f t="shared" si="6"/>
        <v>1.86751219676E-2</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row>
    <row r="13" spans="1:53" ht="14.4">
      <c r="A13" s="1"/>
      <c r="B13" s="922" t="s">
        <v>1488</v>
      </c>
      <c r="C13" s="1755">
        <v>0</v>
      </c>
      <c r="D13" s="261" t="s">
        <v>77</v>
      </c>
      <c r="E13" s="1674">
        <v>60.030499669999998</v>
      </c>
      <c r="F13" s="261" t="s">
        <v>78</v>
      </c>
      <c r="G13" s="49">
        <f t="shared" si="3"/>
        <v>0</v>
      </c>
      <c r="H13" s="261" t="s">
        <v>78</v>
      </c>
      <c r="I13" s="51">
        <f t="shared" si="4"/>
        <v>0</v>
      </c>
      <c r="J13" s="261" t="s">
        <v>78</v>
      </c>
      <c r="K13" s="1081">
        <f t="shared" si="5"/>
        <v>0</v>
      </c>
      <c r="L13" s="261" t="s">
        <v>78</v>
      </c>
      <c r="M13" s="314">
        <f t="shared" si="6"/>
        <v>0</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row>
    <row r="14" spans="1:53" ht="14.4">
      <c r="A14" s="1"/>
      <c r="B14" s="922" t="s">
        <v>1489</v>
      </c>
      <c r="C14" s="1755">
        <v>0</v>
      </c>
      <c r="D14" s="261" t="s">
        <v>77</v>
      </c>
      <c r="E14" s="1674">
        <v>69.411475499999995</v>
      </c>
      <c r="F14" s="261" t="s">
        <v>78</v>
      </c>
      <c r="G14" s="49">
        <f t="shared" si="3"/>
        <v>0</v>
      </c>
      <c r="H14" s="261" t="s">
        <v>78</v>
      </c>
      <c r="I14" s="51">
        <f t="shared" si="4"/>
        <v>0</v>
      </c>
      <c r="J14" s="261" t="s">
        <v>78</v>
      </c>
      <c r="K14" s="1081">
        <f t="shared" si="5"/>
        <v>0</v>
      </c>
      <c r="L14" s="261" t="s">
        <v>78</v>
      </c>
      <c r="M14" s="314">
        <f t="shared" si="6"/>
        <v>0</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row>
    <row r="15" spans="1:53" ht="14.4">
      <c r="A15" s="1"/>
      <c r="B15" s="922" t="s">
        <v>1493</v>
      </c>
      <c r="C15" s="1755">
        <v>7</v>
      </c>
      <c r="D15" s="261" t="s">
        <v>77</v>
      </c>
      <c r="E15" s="1674">
        <v>59.813174429999997</v>
      </c>
      <c r="F15" s="261" t="s">
        <v>78</v>
      </c>
      <c r="G15" s="49">
        <f t="shared" si="3"/>
        <v>418692.22100999998</v>
      </c>
      <c r="H15" s="261" t="s">
        <v>78</v>
      </c>
      <c r="I15" s="51">
        <f t="shared" si="4"/>
        <v>4.1869222100999993E-4</v>
      </c>
      <c r="J15" s="261" t="s">
        <v>78</v>
      </c>
      <c r="K15" s="1081">
        <f t="shared" si="5"/>
        <v>3.19728605134909E-3</v>
      </c>
      <c r="L15" s="261" t="s">
        <v>78</v>
      </c>
      <c r="M15" s="314">
        <f t="shared" si="6"/>
        <v>1.1723382188279998E-2</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row>
    <row r="16" spans="1:53" ht="14.4">
      <c r="A16" s="1"/>
      <c r="B16" s="922" t="s">
        <v>1494</v>
      </c>
      <c r="C16" s="1755">
        <v>15</v>
      </c>
      <c r="D16" s="261" t="s">
        <v>77</v>
      </c>
      <c r="E16" s="1674">
        <v>57.866542279999997</v>
      </c>
      <c r="F16" s="261" t="s">
        <v>78</v>
      </c>
      <c r="G16" s="49">
        <f t="shared" si="3"/>
        <v>867998.13419999997</v>
      </c>
      <c r="H16" s="261" t="s">
        <v>78</v>
      </c>
      <c r="I16" s="51">
        <f t="shared" si="4"/>
        <v>8.679981342E-4</v>
      </c>
      <c r="J16" s="261" t="s">
        <v>78</v>
      </c>
      <c r="K16" s="1081">
        <f t="shared" si="5"/>
        <v>6.6283493884363633E-3</v>
      </c>
      <c r="L16" s="261" t="s">
        <v>78</v>
      </c>
      <c r="M16" s="314">
        <f t="shared" si="6"/>
        <v>2.4303947757599999E-2</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row>
    <row r="17" spans="1:53" ht="14.4">
      <c r="A17" s="1"/>
      <c r="B17" s="922" t="s">
        <v>1495</v>
      </c>
      <c r="C17" s="1756">
        <v>3.9119999999999999</v>
      </c>
      <c r="D17" s="261" t="s">
        <v>77</v>
      </c>
      <c r="E17" s="1674">
        <v>43.159728520000002</v>
      </c>
      <c r="F17" s="261" t="s">
        <v>78</v>
      </c>
      <c r="G17" s="49">
        <f t="shared" si="3"/>
        <v>168840.85797024</v>
      </c>
      <c r="H17" s="261" t="s">
        <v>78</v>
      </c>
      <c r="I17" s="51">
        <f t="shared" si="4"/>
        <v>1.6884085797023998E-4</v>
      </c>
      <c r="J17" s="261" t="s">
        <v>78</v>
      </c>
      <c r="K17" s="1081">
        <f t="shared" si="5"/>
        <v>1.289330188136378E-3</v>
      </c>
      <c r="L17" s="261" t="s">
        <v>78</v>
      </c>
      <c r="M17" s="314">
        <f t="shared" si="6"/>
        <v>4.7275440231667196E-3</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row>
    <row r="18" spans="1:53" ht="14.4">
      <c r="A18" s="1"/>
      <c r="B18" s="922" t="s">
        <v>1496</v>
      </c>
      <c r="C18" s="1756">
        <v>7.3949999999999996</v>
      </c>
      <c r="D18" s="261" t="s">
        <v>77</v>
      </c>
      <c r="E18" s="1674">
        <v>41.996092650000001</v>
      </c>
      <c r="F18" s="261" t="s">
        <v>78</v>
      </c>
      <c r="G18" s="49">
        <f t="shared" si="3"/>
        <v>310561.10514674999</v>
      </c>
      <c r="H18" s="261" t="s">
        <v>78</v>
      </c>
      <c r="I18" s="51">
        <f t="shared" si="4"/>
        <v>3.1056110514674997E-4</v>
      </c>
      <c r="J18" s="261" t="s">
        <v>78</v>
      </c>
      <c r="K18" s="1081">
        <f t="shared" si="5"/>
        <v>2.3715575302115451E-3</v>
      </c>
      <c r="L18" s="261" t="s">
        <v>78</v>
      </c>
      <c r="M18" s="314">
        <f t="shared" si="6"/>
        <v>8.6957109441089999E-3</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row>
    <row r="19" spans="1:53" ht="14.4">
      <c r="A19" s="1"/>
      <c r="B19" s="922" t="s">
        <v>1497</v>
      </c>
      <c r="C19" s="1755">
        <v>4</v>
      </c>
      <c r="D19" s="261" t="s">
        <v>77</v>
      </c>
      <c r="E19" s="1674">
        <v>97.583393290000004</v>
      </c>
      <c r="F19" s="261" t="s">
        <v>78</v>
      </c>
      <c r="G19" s="49">
        <f t="shared" si="3"/>
        <v>390333.57316000003</v>
      </c>
      <c r="H19" s="261" t="s">
        <v>78</v>
      </c>
      <c r="I19" s="51">
        <f t="shared" si="4"/>
        <v>3.9033357316000002E-4</v>
      </c>
      <c r="J19" s="261" t="s">
        <v>78</v>
      </c>
      <c r="K19" s="1081">
        <f t="shared" si="5"/>
        <v>2.9807291041309089E-3</v>
      </c>
      <c r="L19" s="261" t="s">
        <v>78</v>
      </c>
      <c r="M19" s="314">
        <f t="shared" si="6"/>
        <v>1.092934004848E-2</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row>
    <row r="20" spans="1:53" ht="14.4">
      <c r="A20" s="1"/>
      <c r="B20" s="313" t="s">
        <v>785</v>
      </c>
      <c r="C20" s="1757"/>
      <c r="D20" s="261"/>
      <c r="E20" s="1674"/>
      <c r="F20" s="261"/>
      <c r="G20" s="49"/>
      <c r="H20" s="261"/>
      <c r="I20" s="51"/>
      <c r="J20" s="261"/>
      <c r="K20" s="1081"/>
      <c r="L20" s="261"/>
      <c r="M20" s="314"/>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row>
    <row r="21" spans="1:53" ht="15.75" customHeight="1">
      <c r="A21" s="1"/>
      <c r="B21" s="922" t="s">
        <v>1498</v>
      </c>
      <c r="C21" s="1756">
        <v>24</v>
      </c>
      <c r="D21" s="261" t="s">
        <v>77</v>
      </c>
      <c r="E21" s="1674">
        <v>8</v>
      </c>
      <c r="F21" s="261" t="s">
        <v>78</v>
      </c>
      <c r="G21" s="49">
        <f t="shared" ref="G21:G24" si="7">C21*E21*1000</f>
        <v>192000</v>
      </c>
      <c r="H21" s="261" t="s">
        <v>78</v>
      </c>
      <c r="I21" s="51">
        <f t="shared" ref="I21:I24" si="8">G21/1000*10^-6</f>
        <v>1.92E-4</v>
      </c>
      <c r="J21" s="261" t="s">
        <v>78</v>
      </c>
      <c r="K21" s="1081">
        <f>(I21*$Z$7)*(12/44)</f>
        <v>1.4661818181818183E-3</v>
      </c>
      <c r="L21" s="261" t="s">
        <v>78</v>
      </c>
      <c r="M21" s="314">
        <f t="shared" ref="M21:M24" si="9">K21/(12/44)</f>
        <v>5.3760000000000006E-3</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row>
    <row r="22" spans="1:53" ht="15.75" customHeight="1">
      <c r="A22" s="1"/>
      <c r="B22" s="922" t="s">
        <v>1499</v>
      </c>
      <c r="C22" s="1755">
        <v>12</v>
      </c>
      <c r="D22" s="261" t="s">
        <v>77</v>
      </c>
      <c r="E22" s="1674">
        <v>5</v>
      </c>
      <c r="F22" s="261" t="s">
        <v>78</v>
      </c>
      <c r="G22" s="49">
        <f t="shared" si="7"/>
        <v>60000</v>
      </c>
      <c r="H22" s="261" t="s">
        <v>78</v>
      </c>
      <c r="I22" s="51">
        <f t="shared" si="8"/>
        <v>5.9999999999999995E-5</v>
      </c>
      <c r="J22" s="261" t="s">
        <v>78</v>
      </c>
      <c r="K22" s="1081">
        <f>(I22*$Z$7)*(12/44)</f>
        <v>4.5818181818181808E-4</v>
      </c>
      <c r="L22" s="261" t="s">
        <v>78</v>
      </c>
      <c r="M22" s="314">
        <f t="shared" si="9"/>
        <v>1.6799999999999999E-3</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row>
    <row r="23" spans="1:53" ht="15.75" customHeight="1">
      <c r="A23" s="1"/>
      <c r="B23" s="922" t="s">
        <v>1500</v>
      </c>
      <c r="C23" s="1755">
        <v>23</v>
      </c>
      <c r="D23" s="261" t="s">
        <v>77</v>
      </c>
      <c r="E23" s="1674">
        <v>1.5</v>
      </c>
      <c r="F23" s="261" t="s">
        <v>78</v>
      </c>
      <c r="G23" s="49">
        <f t="shared" si="7"/>
        <v>34500</v>
      </c>
      <c r="H23" s="261" t="s">
        <v>78</v>
      </c>
      <c r="I23" s="51">
        <f t="shared" si="8"/>
        <v>3.4499999999999998E-5</v>
      </c>
      <c r="J23" s="261" t="s">
        <v>78</v>
      </c>
      <c r="K23" s="1081">
        <f>(I23*$Z$7)*(12/44)</f>
        <v>2.634545454545454E-4</v>
      </c>
      <c r="L23" s="261" t="s">
        <v>78</v>
      </c>
      <c r="M23" s="314">
        <f t="shared" si="9"/>
        <v>9.6599999999999984E-4</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row>
    <row r="24" spans="1:53" ht="15.75" customHeight="1">
      <c r="A24" s="1"/>
      <c r="B24" s="922" t="s">
        <v>1501</v>
      </c>
      <c r="C24" s="1756">
        <v>79.099999999999994</v>
      </c>
      <c r="D24" s="261" t="s">
        <v>77</v>
      </c>
      <c r="E24" s="1674">
        <v>18</v>
      </c>
      <c r="F24" s="261" t="s">
        <v>78</v>
      </c>
      <c r="G24" s="49">
        <f t="shared" si="7"/>
        <v>1423800</v>
      </c>
      <c r="H24" s="261" t="s">
        <v>78</v>
      </c>
      <c r="I24" s="51">
        <f t="shared" si="8"/>
        <v>1.4237999999999998E-3</v>
      </c>
      <c r="J24" s="261" t="s">
        <v>78</v>
      </c>
      <c r="K24" s="1081">
        <f>(I24*$Z$7)*(12/44)</f>
        <v>1.0872654545454543E-2</v>
      </c>
      <c r="L24" s="261" t="s">
        <v>78</v>
      </c>
      <c r="M24" s="314">
        <f t="shared" si="9"/>
        <v>3.9866399999999996E-2</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row>
    <row r="25" spans="1:53" ht="15.75" customHeight="1">
      <c r="A25" s="1"/>
      <c r="B25" s="1758" t="s">
        <v>1502</v>
      </c>
      <c r="C25" s="1759"/>
      <c r="D25" s="1759"/>
      <c r="E25" s="1759"/>
      <c r="F25" s="1759"/>
      <c r="G25" s="1760">
        <f>SUM(G6:G24)</f>
        <v>17708077.107326992</v>
      </c>
      <c r="H25" s="1761"/>
      <c r="I25" s="1762">
        <f>SUM(I6:I24)</f>
        <v>1.7708077107326994E-2</v>
      </c>
      <c r="J25" s="1761"/>
      <c r="K25" s="1763">
        <f>SUM(K6:K24)</f>
        <v>0.13522531609231517</v>
      </c>
      <c r="L25" s="1764"/>
      <c r="M25" s="1765">
        <f>SUM(M6:M24)</f>
        <v>0.4958261590051557</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row>
    <row r="26" spans="1:53" ht="15.75" customHeight="1">
      <c r="A26" s="1"/>
      <c r="B26" s="41"/>
      <c r="C26" s="50"/>
      <c r="D26" s="50"/>
      <c r="E26" s="50"/>
      <c r="F26" s="50"/>
      <c r="G26" s="683"/>
      <c r="H26" s="46"/>
      <c r="I26" s="1184"/>
      <c r="J26" s="46"/>
      <c r="K26" s="1183"/>
      <c r="L26" s="1"/>
      <c r="M26" s="1183"/>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row>
    <row r="27" spans="1:53" ht="15.75" customHeight="1">
      <c r="A27" s="1"/>
      <c r="B27" s="41"/>
      <c r="C27" s="50"/>
      <c r="D27" s="50"/>
      <c r="E27" s="50"/>
      <c r="F27" s="50"/>
      <c r="G27" s="683"/>
      <c r="H27" s="46"/>
      <c r="I27" s="1184"/>
      <c r="J27" s="46"/>
      <c r="K27" s="1183"/>
      <c r="L27" s="1"/>
      <c r="M27" s="1183"/>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row>
    <row r="28" spans="1:53" ht="15.75" customHeight="1">
      <c r="A28" s="1"/>
      <c r="B28" s="1744"/>
      <c r="C28" s="1648"/>
      <c r="D28" s="1648"/>
      <c r="E28" s="1648"/>
      <c r="F28" s="1648"/>
      <c r="G28" s="1766"/>
      <c r="H28" s="1272"/>
      <c r="I28" s="1767"/>
      <c r="J28" s="1272"/>
      <c r="K28" s="1768"/>
      <c r="L28" s="39"/>
      <c r="M28" s="1768"/>
      <c r="N28" s="39"/>
      <c r="O28" s="39"/>
      <c r="P28" s="39"/>
      <c r="Q28" s="39"/>
      <c r="R28" s="39"/>
      <c r="S28" s="39"/>
      <c r="T28" s="39"/>
      <c r="U28" s="39"/>
      <c r="V28" s="39"/>
      <c r="W28" s="39"/>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row>
    <row r="29" spans="1:53" ht="15.75" customHeight="1">
      <c r="A29" s="1"/>
      <c r="B29" s="1749" t="s">
        <v>1503</v>
      </c>
      <c r="C29" s="1769"/>
      <c r="D29" s="1769"/>
      <c r="E29" s="1769"/>
      <c r="F29" s="1769"/>
      <c r="G29" s="1770"/>
      <c r="H29" s="1771"/>
      <c r="I29" s="1772"/>
      <c r="J29" s="1771"/>
      <c r="K29" s="1773"/>
      <c r="L29" s="1750"/>
      <c r="M29" s="1773"/>
      <c r="N29" s="1750"/>
      <c r="O29" s="1750"/>
      <c r="P29" s="1750"/>
      <c r="Q29" s="1750"/>
      <c r="R29" s="1750"/>
      <c r="S29" s="1750"/>
      <c r="T29" s="1750"/>
      <c r="U29" s="1750"/>
      <c r="V29" s="1750"/>
      <c r="W29" s="175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row>
    <row r="30" spans="1:53" ht="75" customHeight="1">
      <c r="A30" s="1"/>
      <c r="B30" s="1476"/>
      <c r="C30" s="1774" t="s">
        <v>1504</v>
      </c>
      <c r="D30" s="1775"/>
      <c r="E30" s="1774" t="s">
        <v>1505</v>
      </c>
      <c r="F30" s="1774"/>
      <c r="G30" s="1776" t="s">
        <v>1506</v>
      </c>
      <c r="H30" s="1776"/>
      <c r="I30" s="1774" t="s">
        <v>1507</v>
      </c>
      <c r="J30" s="1761"/>
      <c r="K30" s="1774" t="s">
        <v>1508</v>
      </c>
      <c r="L30" s="1774"/>
      <c r="M30" s="1774" t="s">
        <v>1509</v>
      </c>
      <c r="N30" s="1774"/>
      <c r="O30" s="1774" t="s">
        <v>1510</v>
      </c>
      <c r="P30" s="1774"/>
      <c r="Q30" s="1774" t="s">
        <v>1511</v>
      </c>
      <c r="R30" s="1774"/>
      <c r="S30" s="1774" t="s">
        <v>1512</v>
      </c>
      <c r="T30" s="1774"/>
      <c r="U30" s="1774" t="s">
        <v>1513</v>
      </c>
      <c r="V30" s="1774"/>
      <c r="W30" s="1777" t="s">
        <v>1514</v>
      </c>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row>
    <row r="31" spans="1:53" ht="15.75" customHeight="1">
      <c r="A31" s="1"/>
      <c r="B31" s="1778" t="s">
        <v>1485</v>
      </c>
      <c r="C31" s="1779"/>
      <c r="D31" s="1780"/>
      <c r="E31" s="1781"/>
      <c r="F31" s="1780"/>
      <c r="G31" s="1780"/>
      <c r="H31" s="1780"/>
      <c r="I31" s="1779"/>
      <c r="J31" s="1779"/>
      <c r="K31" s="1779"/>
      <c r="L31" s="1779"/>
      <c r="M31" s="1782"/>
      <c r="N31" s="1779"/>
      <c r="O31" s="1783"/>
      <c r="P31" s="1784"/>
      <c r="Q31" s="1782"/>
      <c r="R31" s="1779"/>
      <c r="S31" s="1779"/>
      <c r="T31" s="1779"/>
      <c r="U31" s="1779"/>
      <c r="V31" s="1779"/>
      <c r="W31" s="1785"/>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row>
    <row r="32" spans="1:53" ht="15.75" customHeight="1">
      <c r="A32" s="1"/>
      <c r="B32" s="922" t="s">
        <v>1486</v>
      </c>
      <c r="C32" s="1755">
        <v>53</v>
      </c>
      <c r="D32" s="261" t="s">
        <v>77</v>
      </c>
      <c r="E32" s="1512">
        <v>680</v>
      </c>
      <c r="F32" s="261" t="s">
        <v>77</v>
      </c>
      <c r="G32" s="1674">
        <v>9.9951580009000001</v>
      </c>
      <c r="H32" s="261" t="s">
        <v>78</v>
      </c>
      <c r="I32" s="1676">
        <f t="shared" ref="I32:I33" si="10">C32*E32*G32*365</f>
        <v>131482305.43863913</v>
      </c>
      <c r="J32" s="261" t="s">
        <v>77</v>
      </c>
      <c r="K32" s="1252">
        <v>0.24</v>
      </c>
      <c r="L32" s="1786" t="s">
        <v>77</v>
      </c>
      <c r="M32" s="1787">
        <v>0.11818290022824871</v>
      </c>
      <c r="N32" s="1786" t="s">
        <v>78</v>
      </c>
      <c r="O32" s="1676">
        <f t="shared" ref="O32:O33" si="11">(I32*K32)*M32</f>
        <v>3729350.4445043546</v>
      </c>
      <c r="P32" s="261" t="s">
        <v>78</v>
      </c>
      <c r="Q32" s="1676">
        <f t="shared" ref="Q32:Q33" si="12">O32*0.000662</f>
        <v>2468.8299942618828</v>
      </c>
      <c r="R32" s="261" t="s">
        <v>78</v>
      </c>
      <c r="S32" s="1788">
        <f t="shared" ref="S32:S33" si="13">Q32/1000000</f>
        <v>2.468829994261883E-3</v>
      </c>
      <c r="T32" s="261" t="s">
        <v>78</v>
      </c>
      <c r="U32" s="1788">
        <f>(S32*$Z$7)*12/44</f>
        <v>1.8852883592545288E-2</v>
      </c>
      <c r="V32" s="261" t="s">
        <v>78</v>
      </c>
      <c r="W32" s="1789">
        <f t="shared" ref="W32:W33" si="14">U32/(12/44)</f>
        <v>6.9127239839332721E-2</v>
      </c>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row>
    <row r="33" spans="1:53" ht="15.75" customHeight="1">
      <c r="A33" s="1"/>
      <c r="B33" s="922" t="s">
        <v>1487</v>
      </c>
      <c r="C33" s="1755">
        <v>28</v>
      </c>
      <c r="D33" s="261" t="s">
        <v>77</v>
      </c>
      <c r="E33" s="1512">
        <v>476</v>
      </c>
      <c r="F33" s="261" t="s">
        <v>77</v>
      </c>
      <c r="G33" s="1674">
        <v>8.4220347966000002</v>
      </c>
      <c r="H33" s="261" t="s">
        <v>78</v>
      </c>
      <c r="I33" s="1676">
        <f t="shared" si="10"/>
        <v>40970841.115715951</v>
      </c>
      <c r="J33" s="261" t="s">
        <v>77</v>
      </c>
      <c r="K33" s="1252">
        <v>0.17</v>
      </c>
      <c r="L33" s="1786" t="s">
        <v>77</v>
      </c>
      <c r="M33" s="1787">
        <v>1.2467660091668786E-2</v>
      </c>
      <c r="N33" s="1786" t="s">
        <v>78</v>
      </c>
      <c r="O33" s="1676">
        <f t="shared" si="11"/>
        <v>86837.788519087451</v>
      </c>
      <c r="P33" s="261" t="s">
        <v>78</v>
      </c>
      <c r="Q33" s="1676">
        <f t="shared" si="12"/>
        <v>57.486615999635895</v>
      </c>
      <c r="R33" s="261" t="s">
        <v>78</v>
      </c>
      <c r="S33" s="1788">
        <f t="shared" si="13"/>
        <v>5.7486615999635894E-5</v>
      </c>
      <c r="T33" s="261" t="s">
        <v>78</v>
      </c>
      <c r="U33" s="1788">
        <f>(S33*$Z$7)*12/44</f>
        <v>4.3898870399721959E-4</v>
      </c>
      <c r="V33" s="261" t="s">
        <v>78</v>
      </c>
      <c r="W33" s="1789">
        <f t="shared" si="14"/>
        <v>1.6096252479898053E-3</v>
      </c>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row>
    <row r="34" spans="1:53" ht="15.75" customHeight="1">
      <c r="A34" s="1"/>
      <c r="B34" s="313" t="s">
        <v>1490</v>
      </c>
      <c r="C34" s="1790"/>
      <c r="D34" s="261"/>
      <c r="E34" s="1512"/>
      <c r="F34" s="261"/>
      <c r="G34" s="1674"/>
      <c r="H34" s="261"/>
      <c r="I34" s="1676"/>
      <c r="J34" s="261"/>
      <c r="K34" s="1252"/>
      <c r="L34" s="261"/>
      <c r="M34" s="261"/>
      <c r="N34" s="261"/>
      <c r="O34" s="1676"/>
      <c r="P34" s="261"/>
      <c r="Q34" s="1676"/>
      <c r="R34" s="261"/>
      <c r="S34" s="1788"/>
      <c r="T34" s="261"/>
      <c r="U34" s="1788"/>
      <c r="V34" s="261"/>
      <c r="W34" s="1789"/>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row>
    <row r="35" spans="1:53" ht="15.75" customHeight="1">
      <c r="A35" s="1"/>
      <c r="B35" s="922" t="s">
        <v>1495</v>
      </c>
      <c r="C35" s="1756">
        <v>3.9119999999999999</v>
      </c>
      <c r="D35" s="261" t="s">
        <v>77</v>
      </c>
      <c r="E35" s="1512">
        <v>420</v>
      </c>
      <c r="F35" s="261" t="s">
        <v>77</v>
      </c>
      <c r="G35" s="1674">
        <v>4.3514669688999996</v>
      </c>
      <c r="H35" s="261" t="s">
        <v>78</v>
      </c>
      <c r="I35" s="1676">
        <f t="shared" ref="I35:I42" si="15">C35*E35*G35*365</f>
        <v>2609616.5153322313</v>
      </c>
      <c r="J35" s="261" t="s">
        <v>77</v>
      </c>
      <c r="K35" s="1252">
        <v>0.33</v>
      </c>
      <c r="L35" s="261" t="s">
        <v>77</v>
      </c>
      <c r="M35" s="1787">
        <v>1.3123459123854105E-2</v>
      </c>
      <c r="N35" s="261" t="s">
        <v>78</v>
      </c>
      <c r="O35" s="1676">
        <f t="shared" ref="O35:O42" si="16">(I35*K35)*M35</f>
        <v>11301.574570406052</v>
      </c>
      <c r="P35" s="261" t="s">
        <v>78</v>
      </c>
      <c r="Q35" s="1676">
        <f t="shared" ref="Q35:Q42" si="17">O35*0.000662</f>
        <v>7.4816423656088071</v>
      </c>
      <c r="R35" s="1791" t="s">
        <v>78</v>
      </c>
      <c r="S35" s="1788">
        <f t="shared" ref="S35:S42" si="18">Q35/1000000</f>
        <v>7.4816423656088074E-6</v>
      </c>
      <c r="T35" s="1791" t="s">
        <v>78</v>
      </c>
      <c r="U35" s="1788">
        <f t="shared" ref="U35:U42" si="19">(S35*$Z$7)*12/44</f>
        <v>5.7132541701012708E-5</v>
      </c>
      <c r="V35" s="1791" t="s">
        <v>78</v>
      </c>
      <c r="W35" s="1789">
        <f t="shared" ref="W35:W42" si="20">U35/(12/44)</f>
        <v>2.0948598623704662E-4</v>
      </c>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row>
    <row r="36" spans="1:53" ht="15.75" customHeight="1">
      <c r="A36" s="1"/>
      <c r="B36" s="922" t="s">
        <v>1496</v>
      </c>
      <c r="C36" s="1756">
        <v>7.3949999999999996</v>
      </c>
      <c r="D36" s="261" t="s">
        <v>77</v>
      </c>
      <c r="E36" s="1512">
        <v>420</v>
      </c>
      <c r="F36" s="261" t="s">
        <v>77</v>
      </c>
      <c r="G36" s="1674">
        <v>3.9703541463000001</v>
      </c>
      <c r="H36" s="261" t="s">
        <v>78</v>
      </c>
      <c r="I36" s="1676">
        <f t="shared" si="15"/>
        <v>4501005.8741925061</v>
      </c>
      <c r="J36" s="261" t="s">
        <v>77</v>
      </c>
      <c r="K36" s="1252">
        <v>0.33</v>
      </c>
      <c r="L36" s="261" t="s">
        <v>77</v>
      </c>
      <c r="M36" s="1787">
        <v>1.2974017738876182E-2</v>
      </c>
      <c r="N36" s="261" t="s">
        <v>78</v>
      </c>
      <c r="O36" s="1676">
        <f t="shared" si="16"/>
        <v>19270.722918004627</v>
      </c>
      <c r="P36" s="261" t="s">
        <v>78</v>
      </c>
      <c r="Q36" s="1676">
        <f t="shared" si="17"/>
        <v>12.757218571719063</v>
      </c>
      <c r="R36" s="1791" t="s">
        <v>78</v>
      </c>
      <c r="S36" s="1788">
        <f t="shared" si="18"/>
        <v>1.2757218571719063E-5</v>
      </c>
      <c r="T36" s="1791" t="s">
        <v>78</v>
      </c>
      <c r="U36" s="1788">
        <f t="shared" si="19"/>
        <v>9.7418760002218312E-5</v>
      </c>
      <c r="V36" s="1791" t="s">
        <v>78</v>
      </c>
      <c r="W36" s="1789">
        <f t="shared" si="20"/>
        <v>3.5720212000813384E-4</v>
      </c>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row>
    <row r="37" spans="1:53" ht="15.75" customHeight="1">
      <c r="A37" s="1"/>
      <c r="B37" s="922" t="s">
        <v>1497</v>
      </c>
      <c r="C37" s="1755">
        <v>4</v>
      </c>
      <c r="D37" s="261" t="s">
        <v>77</v>
      </c>
      <c r="E37" s="1512">
        <v>750</v>
      </c>
      <c r="F37" s="261" t="s">
        <v>77</v>
      </c>
      <c r="G37" s="1674">
        <v>5.1662194931999998</v>
      </c>
      <c r="H37" s="261" t="s">
        <v>78</v>
      </c>
      <c r="I37" s="1676">
        <f t="shared" si="15"/>
        <v>5657010.3450539997</v>
      </c>
      <c r="J37" s="261" t="s">
        <v>77</v>
      </c>
      <c r="K37" s="1252">
        <v>0.17</v>
      </c>
      <c r="L37" s="261" t="s">
        <v>77</v>
      </c>
      <c r="M37" s="1787">
        <v>1.0999999999999999E-2</v>
      </c>
      <c r="N37" s="261" t="s">
        <v>78</v>
      </c>
      <c r="O37" s="1676">
        <f t="shared" si="16"/>
        <v>10578.609345250979</v>
      </c>
      <c r="P37" s="261" t="s">
        <v>78</v>
      </c>
      <c r="Q37" s="1676">
        <f t="shared" si="17"/>
        <v>7.0030393865561491</v>
      </c>
      <c r="R37" s="1791" t="s">
        <v>78</v>
      </c>
      <c r="S37" s="1788">
        <f t="shared" si="18"/>
        <v>7.0030393865561492E-6</v>
      </c>
      <c r="T37" s="1791" t="s">
        <v>78</v>
      </c>
      <c r="U37" s="1788">
        <f t="shared" si="19"/>
        <v>5.347775531551968E-5</v>
      </c>
      <c r="V37" s="1791" t="s">
        <v>78</v>
      </c>
      <c r="W37" s="1789">
        <f t="shared" si="20"/>
        <v>1.9608510282357217E-4</v>
      </c>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row>
    <row r="38" spans="1:53" ht="15.75" customHeight="1">
      <c r="A38" s="1"/>
      <c r="B38" s="922" t="s">
        <v>1515</v>
      </c>
      <c r="C38" s="1755">
        <v>36.1</v>
      </c>
      <c r="D38" s="261" t="s">
        <v>77</v>
      </c>
      <c r="E38" s="1512">
        <v>118</v>
      </c>
      <c r="F38" s="261" t="s">
        <v>77</v>
      </c>
      <c r="G38" s="1674">
        <v>6.41</v>
      </c>
      <c r="H38" s="261" t="s">
        <v>78</v>
      </c>
      <c r="I38" s="1676">
        <f t="shared" si="15"/>
        <v>9966441.0700000003</v>
      </c>
      <c r="J38" s="261" t="s">
        <v>77</v>
      </c>
      <c r="K38" s="1252">
        <v>0.17</v>
      </c>
      <c r="L38" s="261" t="s">
        <v>77</v>
      </c>
      <c r="M38" s="1787">
        <v>1.0999999999999999E-2</v>
      </c>
      <c r="N38" s="261" t="s">
        <v>78</v>
      </c>
      <c r="O38" s="1676">
        <f t="shared" si="16"/>
        <v>18637.2448009</v>
      </c>
      <c r="P38" s="261" t="s">
        <v>78</v>
      </c>
      <c r="Q38" s="1676">
        <f t="shared" si="17"/>
        <v>12.337856058195801</v>
      </c>
      <c r="R38" s="1791" t="s">
        <v>78</v>
      </c>
      <c r="S38" s="1788">
        <f t="shared" si="18"/>
        <v>1.2337856058195801E-5</v>
      </c>
      <c r="T38" s="1791" t="s">
        <v>78</v>
      </c>
      <c r="U38" s="1788">
        <f t="shared" si="19"/>
        <v>9.4216355353495199E-5</v>
      </c>
      <c r="V38" s="1791" t="s">
        <v>78</v>
      </c>
      <c r="W38" s="1789">
        <f t="shared" si="20"/>
        <v>3.4545996962948245E-4</v>
      </c>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row>
    <row r="39" spans="1:53" ht="15.75" customHeight="1">
      <c r="A39" s="1"/>
      <c r="B39" s="922" t="s">
        <v>1491</v>
      </c>
      <c r="C39" s="1755">
        <v>42</v>
      </c>
      <c r="D39" s="261" t="s">
        <v>77</v>
      </c>
      <c r="E39" s="1512">
        <v>533</v>
      </c>
      <c r="F39" s="261" t="s">
        <v>77</v>
      </c>
      <c r="G39" s="1674">
        <v>7.4944796348701379</v>
      </c>
      <c r="H39" s="261" t="s">
        <v>78</v>
      </c>
      <c r="I39" s="1676">
        <f t="shared" si="15"/>
        <v>61236568.703764059</v>
      </c>
      <c r="J39" s="261" t="s">
        <v>77</v>
      </c>
      <c r="K39" s="1252">
        <v>0.17</v>
      </c>
      <c r="L39" s="261" t="s">
        <v>77</v>
      </c>
      <c r="M39" s="1787">
        <v>1.0999999999999999E-2</v>
      </c>
      <c r="N39" s="261" t="s">
        <v>78</v>
      </c>
      <c r="O39" s="1676">
        <f t="shared" si="16"/>
        <v>114512.3834760388</v>
      </c>
      <c r="P39" s="261" t="s">
        <v>78</v>
      </c>
      <c r="Q39" s="1676">
        <f t="shared" si="17"/>
        <v>75.807197861137695</v>
      </c>
      <c r="R39" s="1791" t="s">
        <v>78</v>
      </c>
      <c r="S39" s="1788">
        <f t="shared" si="18"/>
        <v>7.5807197861137699E-5</v>
      </c>
      <c r="T39" s="1791" t="s">
        <v>78</v>
      </c>
      <c r="U39" s="1788">
        <f t="shared" si="19"/>
        <v>5.7889132912141512E-4</v>
      </c>
      <c r="V39" s="1791" t="s">
        <v>78</v>
      </c>
      <c r="W39" s="1789">
        <f t="shared" si="20"/>
        <v>2.1226015401118554E-3</v>
      </c>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row>
    <row r="40" spans="1:53" ht="15.75" customHeight="1">
      <c r="A40" s="1"/>
      <c r="B40" s="922" t="s">
        <v>1492</v>
      </c>
      <c r="C40" s="1755">
        <v>10</v>
      </c>
      <c r="D40" s="261" t="s">
        <v>77</v>
      </c>
      <c r="E40" s="1512">
        <v>420</v>
      </c>
      <c r="F40" s="261" t="s">
        <v>77</v>
      </c>
      <c r="G40" s="1674">
        <v>7.5819828136999998</v>
      </c>
      <c r="H40" s="261" t="s">
        <v>78</v>
      </c>
      <c r="I40" s="1676">
        <f t="shared" si="15"/>
        <v>11623179.653402101</v>
      </c>
      <c r="J40" s="261" t="s">
        <v>77</v>
      </c>
      <c r="K40" s="1252">
        <v>0.17</v>
      </c>
      <c r="L40" s="261" t="s">
        <v>77</v>
      </c>
      <c r="M40" s="1787">
        <v>1.0999999999999999E-2</v>
      </c>
      <c r="N40" s="261" t="s">
        <v>78</v>
      </c>
      <c r="O40" s="1676">
        <f t="shared" si="16"/>
        <v>21735.345951861927</v>
      </c>
      <c r="P40" s="261" t="s">
        <v>78</v>
      </c>
      <c r="Q40" s="1676">
        <f t="shared" si="17"/>
        <v>14.388799020132597</v>
      </c>
      <c r="R40" s="1791" t="s">
        <v>78</v>
      </c>
      <c r="S40" s="1788">
        <f t="shared" si="18"/>
        <v>1.4388799020132597E-5</v>
      </c>
      <c r="T40" s="1791" t="s">
        <v>78</v>
      </c>
      <c r="U40" s="1788">
        <f t="shared" si="19"/>
        <v>1.0987810160828527E-4</v>
      </c>
      <c r="V40" s="1791" t="s">
        <v>78</v>
      </c>
      <c r="W40" s="1789">
        <f t="shared" si="20"/>
        <v>4.0288637256371266E-4</v>
      </c>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row>
    <row r="41" spans="1:53" ht="15.75" customHeight="1">
      <c r="A41" s="1"/>
      <c r="B41" s="922" t="s">
        <v>1494</v>
      </c>
      <c r="C41" s="1755">
        <v>15</v>
      </c>
      <c r="D41" s="261" t="s">
        <v>77</v>
      </c>
      <c r="E41" s="1512">
        <v>318</v>
      </c>
      <c r="F41" s="261" t="s">
        <v>77</v>
      </c>
      <c r="G41" s="1674">
        <v>8.1348401876</v>
      </c>
      <c r="H41" s="261" t="s">
        <v>78</v>
      </c>
      <c r="I41" s="1676">
        <f t="shared" si="15"/>
        <v>14163163.508620979</v>
      </c>
      <c r="J41" s="261" t="s">
        <v>77</v>
      </c>
      <c r="K41" s="1252">
        <v>0.17</v>
      </c>
      <c r="L41" s="261" t="s">
        <v>77</v>
      </c>
      <c r="M41" s="1787">
        <v>1.0999999999999999E-2</v>
      </c>
      <c r="N41" s="261" t="s">
        <v>78</v>
      </c>
      <c r="O41" s="1676">
        <f t="shared" si="16"/>
        <v>26485.115761121233</v>
      </c>
      <c r="P41" s="1791" t="s">
        <v>78</v>
      </c>
      <c r="Q41" s="1676">
        <f t="shared" si="17"/>
        <v>17.533146633862259</v>
      </c>
      <c r="R41" s="1791" t="s">
        <v>78</v>
      </c>
      <c r="S41" s="1788">
        <f t="shared" si="18"/>
        <v>1.7533146633862258E-5</v>
      </c>
      <c r="T41" s="1791" t="s">
        <v>78</v>
      </c>
      <c r="U41" s="1788">
        <f t="shared" si="19"/>
        <v>1.3388948338585727E-4</v>
      </c>
      <c r="V41" s="1791" t="s">
        <v>78</v>
      </c>
      <c r="W41" s="1789">
        <f t="shared" si="20"/>
        <v>4.9092810574814338E-4</v>
      </c>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row>
    <row r="42" spans="1:53" ht="15.75" customHeight="1">
      <c r="A42" s="1"/>
      <c r="B42" s="922" t="s">
        <v>1493</v>
      </c>
      <c r="C42" s="1755">
        <v>7</v>
      </c>
      <c r="D42" s="261" t="s">
        <v>77</v>
      </c>
      <c r="E42" s="1512">
        <v>420</v>
      </c>
      <c r="F42" s="261" t="s">
        <v>77</v>
      </c>
      <c r="G42" s="1674">
        <v>8.5573471290000001</v>
      </c>
      <c r="H42" s="261" t="s">
        <v>78</v>
      </c>
      <c r="I42" s="1676">
        <f t="shared" si="15"/>
        <v>9182889.2041299008</v>
      </c>
      <c r="J42" s="261" t="s">
        <v>77</v>
      </c>
      <c r="K42" s="1252">
        <v>0.17</v>
      </c>
      <c r="L42" s="261" t="s">
        <v>77</v>
      </c>
      <c r="M42" s="1787">
        <v>1.0999999999999999E-2</v>
      </c>
      <c r="N42" s="261" t="s">
        <v>78</v>
      </c>
      <c r="O42" s="1676">
        <f t="shared" si="16"/>
        <v>17172.002811722916</v>
      </c>
      <c r="P42" s="261" t="s">
        <v>78</v>
      </c>
      <c r="Q42" s="1676">
        <f t="shared" si="17"/>
        <v>11.367865861360571</v>
      </c>
      <c r="R42" s="1791" t="s">
        <v>78</v>
      </c>
      <c r="S42" s="1788">
        <f t="shared" si="18"/>
        <v>1.136786586136057E-5</v>
      </c>
      <c r="T42" s="1791" t="s">
        <v>78</v>
      </c>
      <c r="U42" s="1788">
        <f t="shared" si="19"/>
        <v>8.6809157486753444E-5</v>
      </c>
      <c r="V42" s="1791" t="s">
        <v>78</v>
      </c>
      <c r="W42" s="1789">
        <f t="shared" si="20"/>
        <v>3.18300244118096E-4</v>
      </c>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row>
    <row r="43" spans="1:53" ht="15.75" customHeight="1">
      <c r="A43" s="1"/>
      <c r="B43" s="313" t="s">
        <v>1500</v>
      </c>
      <c r="C43" s="1790"/>
      <c r="D43" s="261"/>
      <c r="E43" s="1512"/>
      <c r="F43" s="261"/>
      <c r="G43" s="1674"/>
      <c r="H43" s="261"/>
      <c r="I43" s="1676"/>
      <c r="J43" s="261"/>
      <c r="K43" s="1252"/>
      <c r="L43" s="261"/>
      <c r="M43" s="261"/>
      <c r="N43" s="261"/>
      <c r="O43" s="1676"/>
      <c r="P43" s="261"/>
      <c r="Q43" s="1676"/>
      <c r="R43" s="1791"/>
      <c r="S43" s="1788"/>
      <c r="T43" s="1791"/>
      <c r="U43" s="1788"/>
      <c r="V43" s="1791"/>
      <c r="W43" s="1789"/>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row>
    <row r="44" spans="1:53" ht="15.75" customHeight="1">
      <c r="A44" s="1"/>
      <c r="B44" s="922" t="s">
        <v>1516</v>
      </c>
      <c r="C44" s="1755">
        <v>2</v>
      </c>
      <c r="D44" s="261" t="s">
        <v>77</v>
      </c>
      <c r="E44" s="1512">
        <v>198</v>
      </c>
      <c r="F44" s="261" t="s">
        <v>77</v>
      </c>
      <c r="G44" s="1674">
        <v>2.6</v>
      </c>
      <c r="H44" s="261" t="s">
        <v>78</v>
      </c>
      <c r="I44" s="1676">
        <f t="shared" ref="I44:I48" si="21">C44*E44*G44*365</f>
        <v>375804.00000000006</v>
      </c>
      <c r="J44" s="261" t="s">
        <v>77</v>
      </c>
      <c r="K44" s="1252">
        <v>0.48</v>
      </c>
      <c r="L44" s="261" t="s">
        <v>77</v>
      </c>
      <c r="M44" s="1787">
        <v>0.30060131865467832</v>
      </c>
      <c r="N44" s="261" t="s">
        <v>78</v>
      </c>
      <c r="O44" s="1676">
        <f t="shared" ref="O44:O48" si="22">(I44*K44)*M44</f>
        <v>54224.245418737315</v>
      </c>
      <c r="P44" s="261" t="s">
        <v>78</v>
      </c>
      <c r="Q44" s="1676">
        <f t="shared" ref="Q44:Q48" si="23">O44*0.000662</f>
        <v>35.896450467204104</v>
      </c>
      <c r="R44" s="261" t="s">
        <v>78</v>
      </c>
      <c r="S44" s="1788">
        <f t="shared" ref="S44:S48" si="24">Q44/1000000</f>
        <v>3.5896450467204103E-5</v>
      </c>
      <c r="T44" s="261" t="s">
        <v>78</v>
      </c>
      <c r="U44" s="1788">
        <f>(S44*$Z$7)*12/44</f>
        <v>2.7411834902228585E-4</v>
      </c>
      <c r="V44" s="261" t="s">
        <v>78</v>
      </c>
      <c r="W44" s="1789">
        <f t="shared" ref="W44:W48" si="25">U44/(12/44)</f>
        <v>1.0051006130817148E-3</v>
      </c>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row>
    <row r="45" spans="1:53" ht="15.75" customHeight="1">
      <c r="A45" s="1"/>
      <c r="B45" s="922" t="s">
        <v>1517</v>
      </c>
      <c r="C45" s="1755">
        <v>9</v>
      </c>
      <c r="D45" s="261" t="s">
        <v>77</v>
      </c>
      <c r="E45" s="1512">
        <v>15.88</v>
      </c>
      <c r="F45" s="261" t="s">
        <v>77</v>
      </c>
      <c r="G45" s="1674">
        <v>8.8000000000000007</v>
      </c>
      <c r="H45" s="261" t="s">
        <v>78</v>
      </c>
      <c r="I45" s="1676">
        <f t="shared" si="21"/>
        <v>459059.04000000004</v>
      </c>
      <c r="J45" s="261" t="s">
        <v>77</v>
      </c>
      <c r="K45" s="1252">
        <v>0.48</v>
      </c>
      <c r="L45" s="261" t="s">
        <v>77</v>
      </c>
      <c r="M45" s="1787">
        <v>0.30016800271641908</v>
      </c>
      <c r="N45" s="261" t="s">
        <v>78</v>
      </c>
      <c r="O45" s="1676">
        <f t="shared" si="22"/>
        <v>66141.520879544041</v>
      </c>
      <c r="P45" s="261" t="s">
        <v>78</v>
      </c>
      <c r="Q45" s="1676">
        <f t="shared" si="23"/>
        <v>43.785686822258157</v>
      </c>
      <c r="R45" s="261" t="s">
        <v>78</v>
      </c>
      <c r="S45" s="1788">
        <f t="shared" si="24"/>
        <v>4.378568682225816E-5</v>
      </c>
      <c r="T45" s="261" t="s">
        <v>78</v>
      </c>
      <c r="U45" s="1788">
        <f>(S45*$Z$7)*12/44</f>
        <v>3.3436342664269867E-4</v>
      </c>
      <c r="V45" s="261" t="s">
        <v>78</v>
      </c>
      <c r="W45" s="1789">
        <f t="shared" si="25"/>
        <v>1.2259992310232285E-3</v>
      </c>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row>
    <row r="46" spans="1:53" ht="15.75" customHeight="1">
      <c r="A46" s="1"/>
      <c r="B46" s="922" t="s">
        <v>1518</v>
      </c>
      <c r="C46" s="1756">
        <v>7</v>
      </c>
      <c r="D46" s="261" t="s">
        <v>77</v>
      </c>
      <c r="E46" s="1512">
        <v>40.6</v>
      </c>
      <c r="F46" s="261" t="s">
        <v>77</v>
      </c>
      <c r="G46" s="1674">
        <v>5.4</v>
      </c>
      <c r="H46" s="261" t="s">
        <v>78</v>
      </c>
      <c r="I46" s="1676">
        <f t="shared" si="21"/>
        <v>560158.20000000007</v>
      </c>
      <c r="J46" s="261" t="s">
        <v>77</v>
      </c>
      <c r="K46" s="1252">
        <v>0.48</v>
      </c>
      <c r="L46" s="261" t="s">
        <v>77</v>
      </c>
      <c r="M46" s="1787">
        <v>0.30016800271641908</v>
      </c>
      <c r="N46" s="261" t="s">
        <v>78</v>
      </c>
      <c r="O46" s="1676">
        <f t="shared" si="22"/>
        <v>80707.952687627738</v>
      </c>
      <c r="P46" s="261" t="s">
        <v>78</v>
      </c>
      <c r="Q46" s="1676">
        <f t="shared" si="23"/>
        <v>53.428664679209568</v>
      </c>
      <c r="R46" s="261" t="s">
        <v>78</v>
      </c>
      <c r="S46" s="1788">
        <f t="shared" si="24"/>
        <v>5.3428664679209571E-5</v>
      </c>
      <c r="T46" s="261" t="s">
        <v>78</v>
      </c>
      <c r="U46" s="1788">
        <f>(S46*$Z$7)*12/44</f>
        <v>4.0800071209578219E-4</v>
      </c>
      <c r="V46" s="261" t="s">
        <v>78</v>
      </c>
      <c r="W46" s="1789">
        <f t="shared" si="25"/>
        <v>1.4960026110178682E-3</v>
      </c>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row>
    <row r="47" spans="1:53" ht="15.75" customHeight="1">
      <c r="A47" s="1"/>
      <c r="B47" s="922" t="s">
        <v>1519</v>
      </c>
      <c r="C47" s="1755">
        <v>4</v>
      </c>
      <c r="D47" s="261" t="s">
        <v>77</v>
      </c>
      <c r="E47" s="1512">
        <v>67.819999999999993</v>
      </c>
      <c r="F47" s="261" t="s">
        <v>77</v>
      </c>
      <c r="G47" s="1674">
        <v>5.4</v>
      </c>
      <c r="H47" s="261" t="s">
        <v>78</v>
      </c>
      <c r="I47" s="1676">
        <f t="shared" si="21"/>
        <v>534692.88</v>
      </c>
      <c r="J47" s="261" t="s">
        <v>77</v>
      </c>
      <c r="K47" s="1252">
        <v>0.48</v>
      </c>
      <c r="L47" s="261" t="s">
        <v>77</v>
      </c>
      <c r="M47" s="1787">
        <v>0.30016800271641908</v>
      </c>
      <c r="N47" s="261" t="s">
        <v>78</v>
      </c>
      <c r="O47" s="1676">
        <f t="shared" si="22"/>
        <v>77038.893051019171</v>
      </c>
      <c r="P47" s="261" t="s">
        <v>78</v>
      </c>
      <c r="Q47" s="1676">
        <f t="shared" si="23"/>
        <v>50.999747199774696</v>
      </c>
      <c r="R47" s="261" t="s">
        <v>78</v>
      </c>
      <c r="S47" s="1788">
        <f t="shared" si="24"/>
        <v>5.0999747199774693E-5</v>
      </c>
      <c r="T47" s="261" t="s">
        <v>78</v>
      </c>
      <c r="U47" s="1788">
        <f>(S47*$Z$7)*12/44</f>
        <v>3.8945261498009765E-4</v>
      </c>
      <c r="V47" s="261" t="s">
        <v>78</v>
      </c>
      <c r="W47" s="1789">
        <f t="shared" si="25"/>
        <v>1.4279929215936914E-3</v>
      </c>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row>
    <row r="48" spans="1:53" ht="15.75" customHeight="1">
      <c r="A48" s="1"/>
      <c r="B48" s="922" t="s">
        <v>1520</v>
      </c>
      <c r="C48" s="1755">
        <v>4</v>
      </c>
      <c r="D48" s="261" t="s">
        <v>77</v>
      </c>
      <c r="E48" s="1512">
        <v>90.75</v>
      </c>
      <c r="F48" s="261" t="s">
        <v>77</v>
      </c>
      <c r="G48" s="1674">
        <v>5.4</v>
      </c>
      <c r="H48" s="261" t="s">
        <v>78</v>
      </c>
      <c r="I48" s="1676">
        <f t="shared" si="21"/>
        <v>715473</v>
      </c>
      <c r="J48" s="261" t="s">
        <v>77</v>
      </c>
      <c r="K48" s="1252">
        <v>0.48</v>
      </c>
      <c r="L48" s="261" t="s">
        <v>77</v>
      </c>
      <c r="M48" s="1787">
        <v>0.30016800271641908</v>
      </c>
      <c r="N48" s="261" t="s">
        <v>78</v>
      </c>
      <c r="O48" s="1676">
        <f t="shared" si="22"/>
        <v>103085.80867561176</v>
      </c>
      <c r="P48" s="261" t="s">
        <v>78</v>
      </c>
      <c r="Q48" s="1676">
        <f t="shared" si="23"/>
        <v>68.242805343254986</v>
      </c>
      <c r="R48" s="261" t="s">
        <v>78</v>
      </c>
      <c r="S48" s="1788">
        <f t="shared" si="24"/>
        <v>6.8242805343254989E-5</v>
      </c>
      <c r="T48" s="261" t="s">
        <v>78</v>
      </c>
      <c r="U48" s="1788">
        <f>(S48*$Z$7)*12/44</f>
        <v>5.2112687716667448E-4</v>
      </c>
      <c r="V48" s="261" t="s">
        <v>78</v>
      </c>
      <c r="W48" s="1789">
        <f t="shared" si="25"/>
        <v>1.9107985496111398E-3</v>
      </c>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row>
    <row r="49" spans="1:53" ht="15.75" customHeight="1">
      <c r="A49" s="1"/>
      <c r="B49" s="313" t="s">
        <v>1476</v>
      </c>
      <c r="C49" s="1790"/>
      <c r="D49" s="261"/>
      <c r="E49" s="1512"/>
      <c r="F49" s="261"/>
      <c r="G49" s="261"/>
      <c r="H49" s="261"/>
      <c r="I49" s="1676"/>
      <c r="J49" s="261"/>
      <c r="K49" s="1252"/>
      <c r="L49" s="261"/>
      <c r="M49" s="1792"/>
      <c r="N49" s="261"/>
      <c r="O49" s="1676"/>
      <c r="P49" s="261"/>
      <c r="Q49" s="1676"/>
      <c r="R49" s="261"/>
      <c r="S49" s="1788"/>
      <c r="T49" s="261"/>
      <c r="U49" s="1788"/>
      <c r="V49" s="261"/>
      <c r="W49" s="1789"/>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row>
    <row r="50" spans="1:53" ht="15.75" customHeight="1">
      <c r="A50" s="1"/>
      <c r="B50" s="922" t="s">
        <v>1521</v>
      </c>
      <c r="C50" s="1793"/>
      <c r="D50" s="1794"/>
      <c r="E50" s="1795"/>
      <c r="F50" s="1794"/>
      <c r="G50" s="1794"/>
      <c r="H50" s="1794"/>
      <c r="I50" s="1796"/>
      <c r="J50" s="1794"/>
      <c r="K50" s="1797"/>
      <c r="L50" s="1794"/>
      <c r="M50" s="1798"/>
      <c r="N50" s="1794"/>
      <c r="O50" s="1796"/>
      <c r="P50" s="1794"/>
      <c r="Q50" s="1796"/>
      <c r="R50" s="1794"/>
      <c r="S50" s="1799"/>
      <c r="T50" s="1794"/>
      <c r="U50" s="1788"/>
      <c r="V50" s="1794"/>
      <c r="W50" s="1800"/>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row>
    <row r="51" spans="1:53" ht="15.75" customHeight="1">
      <c r="A51" s="1"/>
      <c r="B51" s="922" t="s">
        <v>1522</v>
      </c>
      <c r="C51" s="1755">
        <v>2292</v>
      </c>
      <c r="D51" s="261" t="s">
        <v>77</v>
      </c>
      <c r="E51" s="1512">
        <v>1.8</v>
      </c>
      <c r="F51" s="261" t="s">
        <v>77</v>
      </c>
      <c r="G51" s="261">
        <v>10.8</v>
      </c>
      <c r="H51" s="261" t="s">
        <v>78</v>
      </c>
      <c r="I51" s="1676">
        <f t="shared" ref="I51:I55" si="26">C51*E51*G51*365</f>
        <v>16263115.200000003</v>
      </c>
      <c r="J51" s="261" t="s">
        <v>77</v>
      </c>
      <c r="K51" s="1252">
        <v>0.39</v>
      </c>
      <c r="L51" s="261" t="s">
        <v>77</v>
      </c>
      <c r="M51" s="1787">
        <v>5.12259842612387E-2</v>
      </c>
      <c r="N51" s="261" t="s">
        <v>78</v>
      </c>
      <c r="O51" s="1676">
        <f t="shared" ref="O51:O55" si="27">(I51*K51)*M51</f>
        <v>324906.69247682567</v>
      </c>
      <c r="P51" s="261" t="s">
        <v>78</v>
      </c>
      <c r="Q51" s="1676">
        <f t="shared" ref="Q51:Q55" si="28">O51*0.000662</f>
        <v>215.0882304196586</v>
      </c>
      <c r="R51" s="261" t="s">
        <v>78</v>
      </c>
      <c r="S51" s="1788">
        <f t="shared" ref="S51:S55" si="29">Q51/1000000</f>
        <v>2.1508823041965861E-4</v>
      </c>
      <c r="T51" s="261" t="s">
        <v>78</v>
      </c>
      <c r="U51" s="1788">
        <f>(S51*$Z$7)*12/44</f>
        <v>1.642491941386484E-3</v>
      </c>
      <c r="V51" s="261" t="s">
        <v>78</v>
      </c>
      <c r="W51" s="1789">
        <f t="shared" ref="W51:W55" si="30">U51/(12/44)</f>
        <v>6.022470451750442E-3</v>
      </c>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row>
    <row r="52" spans="1:53" ht="15.75" customHeight="1">
      <c r="A52" s="1"/>
      <c r="B52" s="922" t="s">
        <v>1523</v>
      </c>
      <c r="C52" s="1755">
        <v>184</v>
      </c>
      <c r="D52" s="261" t="s">
        <v>77</v>
      </c>
      <c r="E52" s="1512">
        <v>1.8</v>
      </c>
      <c r="F52" s="261" t="s">
        <v>77</v>
      </c>
      <c r="G52" s="261">
        <v>9.6999999999999993</v>
      </c>
      <c r="H52" s="261" t="s">
        <v>78</v>
      </c>
      <c r="I52" s="1676">
        <f t="shared" si="26"/>
        <v>1172613.5999999999</v>
      </c>
      <c r="J52" s="261" t="s">
        <v>77</v>
      </c>
      <c r="K52" s="1252">
        <v>0.39</v>
      </c>
      <c r="L52" s="261" t="s">
        <v>77</v>
      </c>
      <c r="M52" s="1787">
        <v>5.12259842612387E-2</v>
      </c>
      <c r="N52" s="261" t="s">
        <v>78</v>
      </c>
      <c r="O52" s="1676">
        <f t="shared" si="27"/>
        <v>23426.631469064632</v>
      </c>
      <c r="P52" s="261" t="s">
        <v>78</v>
      </c>
      <c r="Q52" s="1676">
        <f t="shared" si="28"/>
        <v>15.508430032520788</v>
      </c>
      <c r="R52" s="261" t="s">
        <v>78</v>
      </c>
      <c r="S52" s="1788">
        <f t="shared" si="29"/>
        <v>1.5508430032520787E-5</v>
      </c>
      <c r="T52" s="261" t="s">
        <v>78</v>
      </c>
      <c r="U52" s="1788">
        <f>(S52*$Z$7)*12/44</f>
        <v>1.1842801115743148E-4</v>
      </c>
      <c r="V52" s="261" t="s">
        <v>78</v>
      </c>
      <c r="W52" s="1789">
        <f t="shared" si="30"/>
        <v>4.3423604091058211E-4</v>
      </c>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row>
    <row r="53" spans="1:53" ht="15.75" customHeight="1">
      <c r="A53" s="1"/>
      <c r="B53" s="922" t="s">
        <v>1524</v>
      </c>
      <c r="C53" s="1755">
        <v>12</v>
      </c>
      <c r="D53" s="261" t="s">
        <v>77</v>
      </c>
      <c r="E53" s="1512">
        <v>1.8</v>
      </c>
      <c r="F53" s="261" t="s">
        <v>77</v>
      </c>
      <c r="G53" s="1674">
        <v>10.8</v>
      </c>
      <c r="H53" s="261" t="s">
        <v>78</v>
      </c>
      <c r="I53" s="1676">
        <f t="shared" si="26"/>
        <v>85147.200000000012</v>
      </c>
      <c r="J53" s="261" t="s">
        <v>77</v>
      </c>
      <c r="K53" s="1252">
        <v>0.39</v>
      </c>
      <c r="L53" s="261" t="s">
        <v>77</v>
      </c>
      <c r="M53" s="1787">
        <v>5.12259842612387E-2</v>
      </c>
      <c r="N53" s="261" t="s">
        <v>78</v>
      </c>
      <c r="O53" s="1676">
        <f t="shared" si="27"/>
        <v>1701.0821595645323</v>
      </c>
      <c r="P53" s="261" t="s">
        <v>78</v>
      </c>
      <c r="Q53" s="1676">
        <f t="shared" si="28"/>
        <v>1.1261163896317203</v>
      </c>
      <c r="R53" s="261" t="s">
        <v>78</v>
      </c>
      <c r="S53" s="1788">
        <f t="shared" si="29"/>
        <v>1.1261163896317203E-6</v>
      </c>
      <c r="T53" s="261" t="s">
        <v>78</v>
      </c>
      <c r="U53" s="1788">
        <f>(S53*$Z$7)*12/44</f>
        <v>8.5994342480967743E-6</v>
      </c>
      <c r="V53" s="261" t="s">
        <v>78</v>
      </c>
      <c r="W53" s="1789">
        <f t="shared" si="30"/>
        <v>3.1531258909688177E-5</v>
      </c>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row>
    <row r="54" spans="1:53" ht="15.75" customHeight="1">
      <c r="A54" s="1"/>
      <c r="B54" s="922" t="s">
        <v>1525</v>
      </c>
      <c r="C54" s="1755">
        <v>53072.7</v>
      </c>
      <c r="D54" s="261" t="s">
        <v>77</v>
      </c>
      <c r="E54" s="1512">
        <v>0.9</v>
      </c>
      <c r="F54" s="261" t="s">
        <v>77</v>
      </c>
      <c r="G54" s="261">
        <v>15</v>
      </c>
      <c r="H54" s="261" t="s">
        <v>78</v>
      </c>
      <c r="I54" s="1676">
        <f t="shared" si="26"/>
        <v>261515729.24999997</v>
      </c>
      <c r="J54" s="261" t="s">
        <v>77</v>
      </c>
      <c r="K54" s="1252">
        <v>0.36</v>
      </c>
      <c r="L54" s="261" t="s">
        <v>77</v>
      </c>
      <c r="M54" s="1792">
        <v>1.4999999999999999E-2</v>
      </c>
      <c r="N54" s="261" t="s">
        <v>78</v>
      </c>
      <c r="O54" s="1676">
        <f t="shared" si="27"/>
        <v>1412184.9379499997</v>
      </c>
      <c r="P54" s="261" t="s">
        <v>78</v>
      </c>
      <c r="Q54" s="1676">
        <f t="shared" si="28"/>
        <v>934.8664289228999</v>
      </c>
      <c r="R54" s="261" t="s">
        <v>78</v>
      </c>
      <c r="S54" s="1788">
        <f t="shared" si="29"/>
        <v>9.3486642892289993E-4</v>
      </c>
      <c r="T54" s="261" t="s">
        <v>78</v>
      </c>
      <c r="U54" s="1788">
        <f>(S54*$Z$7)*12/44</f>
        <v>7.1389800026839638E-3</v>
      </c>
      <c r="V54" s="261" t="s">
        <v>78</v>
      </c>
      <c r="W54" s="1789">
        <f t="shared" si="30"/>
        <v>2.6176260009841204E-2</v>
      </c>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row>
    <row r="55" spans="1:53" ht="15.75" customHeight="1">
      <c r="A55" s="1"/>
      <c r="B55" s="922" t="s">
        <v>1526</v>
      </c>
      <c r="C55" s="1755">
        <v>704</v>
      </c>
      <c r="D55" s="261" t="s">
        <v>77</v>
      </c>
      <c r="E55" s="1512">
        <v>6.8</v>
      </c>
      <c r="F55" s="261" t="s">
        <v>77</v>
      </c>
      <c r="G55" s="261">
        <v>9.6999999999999993</v>
      </c>
      <c r="H55" s="261" t="s">
        <v>78</v>
      </c>
      <c r="I55" s="1676">
        <f t="shared" si="26"/>
        <v>16949081.599999998</v>
      </c>
      <c r="J55" s="261" t="s">
        <v>77</v>
      </c>
      <c r="K55" s="1252">
        <v>0.36</v>
      </c>
      <c r="L55" s="261" t="s">
        <v>77</v>
      </c>
      <c r="M55" s="1792">
        <v>1.4999999999999999E-2</v>
      </c>
      <c r="N55" s="261" t="s">
        <v>78</v>
      </c>
      <c r="O55" s="1676">
        <f t="shared" si="27"/>
        <v>91525.040639999992</v>
      </c>
      <c r="P55" s="261" t="s">
        <v>78</v>
      </c>
      <c r="Q55" s="1676">
        <f t="shared" si="28"/>
        <v>60.589576903679998</v>
      </c>
      <c r="R55" s="261" t="s">
        <v>78</v>
      </c>
      <c r="S55" s="1788">
        <f t="shared" si="29"/>
        <v>6.0589576903679998E-5</v>
      </c>
      <c r="T55" s="261" t="s">
        <v>78</v>
      </c>
      <c r="U55" s="1788">
        <f>(S55*$Z$7)*12/44</f>
        <v>4.6268404180991999E-4</v>
      </c>
      <c r="V55" s="261" t="s">
        <v>78</v>
      </c>
      <c r="W55" s="1789">
        <f t="shared" si="30"/>
        <v>1.6965081533030402E-3</v>
      </c>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row>
    <row r="56" spans="1:53" ht="15.75" customHeight="1">
      <c r="A56" s="1"/>
      <c r="B56" s="313" t="s">
        <v>785</v>
      </c>
      <c r="C56" s="1790"/>
      <c r="D56" s="261"/>
      <c r="E56" s="1512"/>
      <c r="F56" s="261"/>
      <c r="G56" s="261"/>
      <c r="H56" s="261"/>
      <c r="I56" s="1676"/>
      <c r="J56" s="261"/>
      <c r="K56" s="1252"/>
      <c r="L56" s="261"/>
      <c r="M56" s="1792"/>
      <c r="N56" s="261"/>
      <c r="O56" s="1676"/>
      <c r="P56" s="261"/>
      <c r="Q56" s="1676"/>
      <c r="R56" s="261"/>
      <c r="S56" s="1788"/>
      <c r="T56" s="261"/>
      <c r="U56" s="1788"/>
      <c r="V56" s="261"/>
      <c r="W56" s="1789"/>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row>
    <row r="57" spans="1:53" ht="15.75" customHeight="1">
      <c r="A57" s="1"/>
      <c r="B57" s="922" t="s">
        <v>1527</v>
      </c>
      <c r="C57" s="1755">
        <v>0</v>
      </c>
      <c r="D57" s="261" t="s">
        <v>77</v>
      </c>
      <c r="E57" s="1512">
        <v>25</v>
      </c>
      <c r="F57" s="261" t="s">
        <v>77</v>
      </c>
      <c r="G57" s="1674">
        <v>9.205479452054794</v>
      </c>
      <c r="H57" s="261" t="s">
        <v>78</v>
      </c>
      <c r="I57" s="1676">
        <f t="shared" ref="I57:I60" si="31">C57*E57*G57*365</f>
        <v>0</v>
      </c>
      <c r="J57" s="261" t="s">
        <v>77</v>
      </c>
      <c r="K57" s="1252">
        <v>0.36056372132540354</v>
      </c>
      <c r="L57" s="261" t="s">
        <v>77</v>
      </c>
      <c r="M57" s="1792">
        <v>1.2E-2</v>
      </c>
      <c r="N57" s="261" t="s">
        <v>78</v>
      </c>
      <c r="O57" s="1676">
        <f t="shared" ref="O57:O60" si="32">(I57*K57)*M57</f>
        <v>0</v>
      </c>
      <c r="P57" s="261" t="s">
        <v>78</v>
      </c>
      <c r="Q57" s="1676">
        <f t="shared" ref="Q57:Q60" si="33">O57*0.000662</f>
        <v>0</v>
      </c>
      <c r="R57" s="261" t="s">
        <v>78</v>
      </c>
      <c r="S57" s="1788">
        <f t="shared" ref="S57:S60" si="34">Q57/1000000</f>
        <v>0</v>
      </c>
      <c r="T57" s="261" t="s">
        <v>78</v>
      </c>
      <c r="U57" s="1788">
        <f>(S57*$Z$7)*12/44</f>
        <v>0</v>
      </c>
      <c r="V57" s="261" t="s">
        <v>78</v>
      </c>
      <c r="W57" s="1789">
        <f t="shared" ref="W57:W60" si="35">U57/(12/44)</f>
        <v>0</v>
      </c>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row>
    <row r="58" spans="1:53" ht="15.75" customHeight="1">
      <c r="A58" s="1"/>
      <c r="B58" s="922" t="s">
        <v>1528</v>
      </c>
      <c r="C58" s="1756">
        <v>24</v>
      </c>
      <c r="D58" s="261" t="s">
        <v>77</v>
      </c>
      <c r="E58" s="1512">
        <v>80</v>
      </c>
      <c r="F58" s="261" t="s">
        <v>77</v>
      </c>
      <c r="G58" s="1674">
        <v>9.205479452054794</v>
      </c>
      <c r="H58" s="261" t="s">
        <v>78</v>
      </c>
      <c r="I58" s="1676">
        <f t="shared" si="31"/>
        <v>6451200</v>
      </c>
      <c r="J58" s="261" t="s">
        <v>77</v>
      </c>
      <c r="K58" s="1252">
        <v>0.1899677145284622</v>
      </c>
      <c r="L58" s="261" t="s">
        <v>77</v>
      </c>
      <c r="M58" s="1792">
        <v>1.0999999999999999E-2</v>
      </c>
      <c r="N58" s="261" t="s">
        <v>78</v>
      </c>
      <c r="O58" s="1676">
        <f t="shared" si="32"/>
        <v>13480.716919626168</v>
      </c>
      <c r="P58" s="261" t="s">
        <v>78</v>
      </c>
      <c r="Q58" s="1676">
        <f t="shared" si="33"/>
        <v>8.9242346007925235</v>
      </c>
      <c r="R58" s="261" t="s">
        <v>78</v>
      </c>
      <c r="S58" s="1788">
        <f t="shared" si="34"/>
        <v>8.924234600792524E-6</v>
      </c>
      <c r="T58" s="261" t="s">
        <v>78</v>
      </c>
      <c r="U58" s="1788">
        <f>(S58*$Z$7)*12/44</f>
        <v>6.8148700587870187E-5</v>
      </c>
      <c r="V58" s="261" t="s">
        <v>78</v>
      </c>
      <c r="W58" s="1789">
        <f t="shared" si="35"/>
        <v>2.4987856882219072E-4</v>
      </c>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row>
    <row r="59" spans="1:53" ht="15.75" customHeight="1">
      <c r="A59" s="1"/>
      <c r="B59" s="922" t="s">
        <v>1499</v>
      </c>
      <c r="C59" s="1755">
        <v>12</v>
      </c>
      <c r="D59" s="261" t="s">
        <v>77</v>
      </c>
      <c r="E59" s="1512">
        <v>64</v>
      </c>
      <c r="F59" s="261" t="s">
        <v>77</v>
      </c>
      <c r="G59" s="1674">
        <v>9.5342465753424666</v>
      </c>
      <c r="H59" s="261" t="s">
        <v>78</v>
      </c>
      <c r="I59" s="1676">
        <f t="shared" si="31"/>
        <v>2672640.0000000005</v>
      </c>
      <c r="J59" s="261" t="s">
        <v>77</v>
      </c>
      <c r="K59" s="1252">
        <v>0.16997111299915041</v>
      </c>
      <c r="L59" s="261" t="s">
        <v>77</v>
      </c>
      <c r="M59" s="1792">
        <v>1.0999999999999999E-2</v>
      </c>
      <c r="N59" s="261" t="s">
        <v>78</v>
      </c>
      <c r="O59" s="1676">
        <f t="shared" si="32"/>
        <v>4996.9875499065429</v>
      </c>
      <c r="P59" s="261" t="s">
        <v>78</v>
      </c>
      <c r="Q59" s="1676">
        <f t="shared" si="33"/>
        <v>3.3080057580381315</v>
      </c>
      <c r="R59" s="261" t="s">
        <v>78</v>
      </c>
      <c r="S59" s="1788">
        <f t="shared" si="34"/>
        <v>3.3080057580381316E-6</v>
      </c>
      <c r="T59" s="261" t="s">
        <v>78</v>
      </c>
      <c r="U59" s="1788">
        <f>(S59*$Z$7)*12/44</f>
        <v>2.5261134879563912E-5</v>
      </c>
      <c r="V59" s="261" t="s">
        <v>78</v>
      </c>
      <c r="W59" s="1789">
        <f t="shared" si="35"/>
        <v>9.2624161225067693E-5</v>
      </c>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row>
    <row r="60" spans="1:53" ht="15.75" customHeight="1">
      <c r="A60" s="1"/>
      <c r="B60" s="922" t="s">
        <v>1501</v>
      </c>
      <c r="C60" s="1756">
        <v>79.099999999999994</v>
      </c>
      <c r="D60" s="261" t="s">
        <v>77</v>
      </c>
      <c r="E60" s="1512">
        <v>450</v>
      </c>
      <c r="F60" s="261" t="s">
        <v>77</v>
      </c>
      <c r="G60" s="261">
        <v>10</v>
      </c>
      <c r="H60" s="261" t="s">
        <v>78</v>
      </c>
      <c r="I60" s="1676">
        <f t="shared" si="31"/>
        <v>129921750</v>
      </c>
      <c r="J60" s="261" t="s">
        <v>77</v>
      </c>
      <c r="K60" s="1252">
        <v>0.33056881903143587</v>
      </c>
      <c r="L60" s="261" t="s">
        <v>77</v>
      </c>
      <c r="M60" s="1792">
        <v>1.0999999999999999E-2</v>
      </c>
      <c r="N60" s="261" t="s">
        <v>78</v>
      </c>
      <c r="O60" s="1676">
        <f t="shared" si="32"/>
        <v>472428.87410397193</v>
      </c>
      <c r="P60" s="261" t="s">
        <v>78</v>
      </c>
      <c r="Q60" s="1676">
        <f t="shared" si="33"/>
        <v>312.74791465682944</v>
      </c>
      <c r="R60" s="261" t="s">
        <v>78</v>
      </c>
      <c r="S60" s="1788">
        <f t="shared" si="34"/>
        <v>3.1274791465682944E-4</v>
      </c>
      <c r="T60" s="261" t="s">
        <v>78</v>
      </c>
      <c r="U60" s="1788">
        <f>(S60*$Z$7)*12/44</f>
        <v>2.3882568028339704E-3</v>
      </c>
      <c r="V60" s="261" t="s">
        <v>78</v>
      </c>
      <c r="W60" s="1789">
        <f t="shared" si="35"/>
        <v>8.7569416103912261E-3</v>
      </c>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row>
    <row r="61" spans="1:53" ht="15.75" customHeight="1">
      <c r="A61" s="1"/>
      <c r="B61" s="1758" t="s">
        <v>1502</v>
      </c>
      <c r="C61" s="1764"/>
      <c r="D61" s="1764"/>
      <c r="E61" s="1759"/>
      <c r="F61" s="1764"/>
      <c r="G61" s="1764"/>
      <c r="H61" s="1764"/>
      <c r="I61" s="1764"/>
      <c r="J61" s="1759"/>
      <c r="K61" s="1759"/>
      <c r="L61" s="1759"/>
      <c r="M61" s="1759"/>
      <c r="N61" s="1759"/>
      <c r="O61" s="1801">
        <f>SUM(O32:O60)</f>
        <v>6781730.6166402474</v>
      </c>
      <c r="P61" s="1759"/>
      <c r="Q61" s="1801">
        <f>SUM(Q32:Q60)</f>
        <v>4489.5056682158438</v>
      </c>
      <c r="R61" s="1759"/>
      <c r="S61" s="1802">
        <f>SUM(S32:S60)</f>
        <v>4.489505668215845E-3</v>
      </c>
      <c r="T61" s="1759"/>
      <c r="U61" s="1802">
        <f>SUM(U32:U60)</f>
        <v>3.4283497830011903E-2</v>
      </c>
      <c r="V61" s="1764"/>
      <c r="W61" s="1803">
        <f>SUM(W32:W60)</f>
        <v>0.12570615871004365</v>
      </c>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row>
    <row r="62" spans="1:53" ht="15.75" customHeight="1">
      <c r="A62" s="1"/>
      <c r="B62" s="41"/>
      <c r="C62" s="1"/>
      <c r="D62" s="1"/>
      <c r="E62" s="50"/>
      <c r="F62" s="1"/>
      <c r="G62" s="1"/>
      <c r="H62" s="1"/>
      <c r="I62" s="1"/>
      <c r="J62" s="50"/>
      <c r="K62" s="50"/>
      <c r="L62" s="50"/>
      <c r="M62" s="50"/>
      <c r="N62" s="50"/>
      <c r="O62" s="1643"/>
      <c r="P62" s="50"/>
      <c r="Q62" s="1643"/>
      <c r="R62" s="50"/>
      <c r="S62" s="1804"/>
      <c r="T62" s="50"/>
      <c r="U62" s="1804"/>
      <c r="V62" s="1"/>
      <c r="W62" s="1804"/>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row>
    <row r="63" spans="1:53" ht="15.75" customHeight="1">
      <c r="A63" s="1"/>
      <c r="B63" s="41"/>
      <c r="C63" s="1"/>
      <c r="D63" s="1"/>
      <c r="E63" s="50"/>
      <c r="F63" s="1"/>
      <c r="G63" s="1"/>
      <c r="H63" s="1"/>
      <c r="I63" s="1"/>
      <c r="J63" s="50"/>
      <c r="K63" s="50"/>
      <c r="L63" s="50"/>
      <c r="M63" s="50"/>
      <c r="N63" s="50"/>
      <c r="O63" s="1643"/>
      <c r="P63" s="50"/>
      <c r="Q63" s="1643"/>
      <c r="R63" s="50"/>
      <c r="S63" s="1804"/>
      <c r="T63" s="50"/>
      <c r="U63" s="1804"/>
      <c r="V63" s="1"/>
      <c r="W63" s="1804"/>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row>
    <row r="64" spans="1:53" ht="15.75" customHeight="1">
      <c r="A64" s="1"/>
      <c r="B64" s="1744"/>
      <c r="C64" s="1648"/>
      <c r="D64" s="1648"/>
      <c r="E64" s="1648"/>
      <c r="F64" s="1648"/>
      <c r="G64" s="1766"/>
      <c r="H64" s="1272"/>
      <c r="I64" s="1767"/>
      <c r="J64" s="1272"/>
      <c r="K64" s="1768"/>
      <c r="L64" s="39"/>
      <c r="M64" s="1768"/>
      <c r="N64" s="39"/>
      <c r="O64" s="39"/>
      <c r="P64" s="39"/>
      <c r="Q64" s="39"/>
      <c r="R64" s="39"/>
      <c r="S64" s="39"/>
      <c r="T64" s="39"/>
      <c r="U64" s="39"/>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1:53" ht="19.5" customHeight="1">
      <c r="A65" s="1"/>
      <c r="B65" s="1749" t="s">
        <v>1529</v>
      </c>
      <c r="C65" s="1769"/>
      <c r="D65" s="1769"/>
      <c r="E65" s="1769"/>
      <c r="F65" s="1769"/>
      <c r="G65" s="1770"/>
      <c r="H65" s="1771"/>
      <c r="I65" s="1772"/>
      <c r="J65" s="1771"/>
      <c r="K65" s="1773"/>
      <c r="L65" s="1750"/>
      <c r="M65" s="1773"/>
      <c r="N65" s="1750"/>
      <c r="O65" s="1750"/>
      <c r="P65" s="1750"/>
      <c r="Q65" s="1750"/>
      <c r="R65" s="1750"/>
      <c r="S65" s="1750"/>
      <c r="T65" s="1750"/>
      <c r="U65" s="1751"/>
      <c r="V65" s="36"/>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row>
    <row r="66" spans="1:53" ht="121.5" customHeight="1">
      <c r="A66" s="1"/>
      <c r="B66" s="84"/>
      <c r="C66" s="1805" t="s">
        <v>1480</v>
      </c>
      <c r="D66" s="1806"/>
      <c r="E66" s="1752" t="s">
        <v>1530</v>
      </c>
      <c r="F66" s="1753"/>
      <c r="G66" s="1752" t="s">
        <v>1531</v>
      </c>
      <c r="H66" s="1752"/>
      <c r="I66" s="1752" t="s">
        <v>1532</v>
      </c>
      <c r="J66" s="1753"/>
      <c r="K66" s="1752" t="s">
        <v>1533</v>
      </c>
      <c r="L66" s="1807"/>
      <c r="M66" s="1752" t="s">
        <v>1534</v>
      </c>
      <c r="N66" s="1753"/>
      <c r="O66" s="1752" t="s">
        <v>1535</v>
      </c>
      <c r="P66" s="1753"/>
      <c r="Q66" s="1752" t="s">
        <v>74</v>
      </c>
      <c r="R66" s="1753"/>
      <c r="S66" s="1752" t="s">
        <v>1422</v>
      </c>
      <c r="T66" s="1753"/>
      <c r="U66" s="1754" t="s">
        <v>1536</v>
      </c>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row>
    <row r="67" spans="1:53" ht="15.75" customHeight="1">
      <c r="A67" s="1"/>
      <c r="B67" s="313" t="s">
        <v>1537</v>
      </c>
      <c r="C67" s="1808"/>
      <c r="D67" s="1809"/>
      <c r="E67" s="260"/>
      <c r="F67" s="75"/>
      <c r="G67" s="75"/>
      <c r="H67" s="75"/>
      <c r="I67" s="260"/>
      <c r="J67" s="75"/>
      <c r="K67" s="75"/>
      <c r="L67" s="261"/>
      <c r="M67" s="75"/>
      <c r="N67" s="75"/>
      <c r="O67" s="75"/>
      <c r="P67" s="75"/>
      <c r="Q67" s="75"/>
      <c r="R67" s="75"/>
      <c r="S67" s="71"/>
      <c r="T67" s="75"/>
      <c r="U67" s="1475"/>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row>
    <row r="68" spans="1:53" ht="15.75" customHeight="1">
      <c r="A68" s="1"/>
      <c r="B68" s="922" t="s">
        <v>1486</v>
      </c>
      <c r="C68" s="1755">
        <v>53</v>
      </c>
      <c r="D68" s="261"/>
      <c r="E68" s="1676">
        <v>5788024</v>
      </c>
      <c r="F68" s="75"/>
      <c r="G68" s="1676">
        <v>1338267.8842689372</v>
      </c>
      <c r="H68" s="49"/>
      <c r="I68" s="1676">
        <v>1499202.3862762167</v>
      </c>
      <c r="J68" s="75"/>
      <c r="K68" s="1676">
        <v>1338.2678842689372</v>
      </c>
      <c r="L68" s="261" t="s">
        <v>1370</v>
      </c>
      <c r="M68" s="1676">
        <v>29984.047725524335</v>
      </c>
      <c r="N68" s="49" t="s">
        <v>78</v>
      </c>
      <c r="O68" s="1676">
        <v>49220.781672532285</v>
      </c>
      <c r="P68" s="49" t="s">
        <v>78</v>
      </c>
      <c r="Q68" s="1676">
        <f>O68/1000*$Z$8*12/44</f>
        <v>3557.3201299693787</v>
      </c>
      <c r="R68" s="49" t="s">
        <v>78</v>
      </c>
      <c r="S68" s="1810">
        <f t="shared" ref="S68:S69" si="36">Q68/10^6</f>
        <v>3.5573201299693787E-3</v>
      </c>
      <c r="T68" s="49" t="s">
        <v>78</v>
      </c>
      <c r="U68" s="1811">
        <f t="shared" ref="U68:U69" si="37">S68/(12/44)</f>
        <v>1.3043507143221056E-2</v>
      </c>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row>
    <row r="69" spans="1:53" ht="15.75" customHeight="1">
      <c r="A69" s="1"/>
      <c r="B69" s="922" t="s">
        <v>1487</v>
      </c>
      <c r="C69" s="1755">
        <v>28</v>
      </c>
      <c r="D69" s="261"/>
      <c r="E69" s="1676">
        <v>1508063.2</v>
      </c>
      <c r="F69" s="75"/>
      <c r="G69" s="1676">
        <v>348684.20518087747</v>
      </c>
      <c r="H69" s="49"/>
      <c r="I69" s="1676">
        <v>739299.71515531605</v>
      </c>
      <c r="J69" s="75"/>
      <c r="K69" s="1676">
        <v>348.68420518087748</v>
      </c>
      <c r="L69" s="261" t="s">
        <v>1370</v>
      </c>
      <c r="M69" s="1676">
        <v>14785.994303106321</v>
      </c>
      <c r="N69" s="49" t="s">
        <v>78</v>
      </c>
      <c r="O69" s="1676">
        <v>23235.133904881361</v>
      </c>
      <c r="P69" s="49" t="s">
        <v>78</v>
      </c>
      <c r="Q69" s="1676">
        <f>O69/1000*$Z$8*12/44</f>
        <v>1679.2664958527894</v>
      </c>
      <c r="R69" s="49" t="s">
        <v>78</v>
      </c>
      <c r="S69" s="1810">
        <f t="shared" si="36"/>
        <v>1.6792664958527894E-3</v>
      </c>
      <c r="T69" s="49" t="s">
        <v>78</v>
      </c>
      <c r="U69" s="1811">
        <f t="shared" si="37"/>
        <v>6.1573104847935612E-3</v>
      </c>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row>
    <row r="70" spans="1:53" ht="15.75" customHeight="1">
      <c r="A70" s="1"/>
      <c r="B70" s="313" t="s">
        <v>1490</v>
      </c>
      <c r="C70" s="1757"/>
      <c r="D70" s="261"/>
      <c r="E70" s="1676"/>
      <c r="F70" s="75"/>
      <c r="G70" s="1676"/>
      <c r="H70" s="49"/>
      <c r="I70" s="1676"/>
      <c r="J70" s="75"/>
      <c r="K70" s="1676" t="s">
        <v>1538</v>
      </c>
      <c r="L70" s="261"/>
      <c r="M70" s="1676"/>
      <c r="N70" s="49"/>
      <c r="O70" s="1676"/>
      <c r="P70" s="49"/>
      <c r="Q70" s="1676"/>
      <c r="R70" s="49"/>
      <c r="S70" s="1676"/>
      <c r="T70" s="49"/>
      <c r="U70" s="1812"/>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row>
    <row r="71" spans="1:53" ht="15.75" customHeight="1">
      <c r="A71" s="1"/>
      <c r="B71" s="922" t="s">
        <v>1495</v>
      </c>
      <c r="C71" s="1756">
        <v>3.9119999999999999</v>
      </c>
      <c r="D71" s="261"/>
      <c r="E71" s="1676">
        <v>179361</v>
      </c>
      <c r="F71" s="75"/>
      <c r="G71" s="1676" t="s">
        <v>1007</v>
      </c>
      <c r="H71" s="49"/>
      <c r="I71" s="1676">
        <v>179361</v>
      </c>
      <c r="J71" s="75"/>
      <c r="K71" s="1676" t="s">
        <v>1007</v>
      </c>
      <c r="L71" s="261" t="s">
        <v>1370</v>
      </c>
      <c r="M71" s="1676">
        <v>3587.22</v>
      </c>
      <c r="N71" s="49" t="s">
        <v>78</v>
      </c>
      <c r="O71" s="1676">
        <v>5637.06</v>
      </c>
      <c r="P71" s="49" t="s">
        <v>78</v>
      </c>
      <c r="Q71" s="1676">
        <f>O71/1000*$Z$8*12/44</f>
        <v>407.40570000000002</v>
      </c>
      <c r="R71" s="49" t="s">
        <v>78</v>
      </c>
      <c r="S71" s="1810">
        <f t="shared" ref="S71:S72" si="38">Q71/10^6</f>
        <v>4.0740570000000003E-4</v>
      </c>
      <c r="T71" s="49" t="s">
        <v>78</v>
      </c>
      <c r="U71" s="1811">
        <f t="shared" ref="U71:U72" si="39">S71/(12/44)</f>
        <v>1.4938209000000002E-3</v>
      </c>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row>
    <row r="72" spans="1:53" ht="15.75" customHeight="1">
      <c r="A72" s="1"/>
      <c r="B72" s="922" t="s">
        <v>1496</v>
      </c>
      <c r="C72" s="1756">
        <v>7.3949999999999996</v>
      </c>
      <c r="D72" s="261"/>
      <c r="E72" s="1676">
        <v>340326</v>
      </c>
      <c r="F72" s="75"/>
      <c r="G72" s="1676" t="s">
        <v>1007</v>
      </c>
      <c r="H72" s="49"/>
      <c r="I72" s="1676">
        <v>340326</v>
      </c>
      <c r="J72" s="75"/>
      <c r="K72" s="1676" t="s">
        <v>1007</v>
      </c>
      <c r="L72" s="261" t="s">
        <v>1370</v>
      </c>
      <c r="M72" s="1676">
        <v>6806.52</v>
      </c>
      <c r="N72" s="49" t="s">
        <v>78</v>
      </c>
      <c r="O72" s="1676">
        <v>10695.96</v>
      </c>
      <c r="P72" s="49" t="s">
        <v>78</v>
      </c>
      <c r="Q72" s="1676">
        <f>O72/1000*$Z$8*12/44</f>
        <v>773.0261999999999</v>
      </c>
      <c r="R72" s="49" t="s">
        <v>78</v>
      </c>
      <c r="S72" s="1810">
        <f t="shared" si="38"/>
        <v>7.7302619999999986E-4</v>
      </c>
      <c r="T72" s="49" t="s">
        <v>78</v>
      </c>
      <c r="U72" s="1811">
        <f t="shared" si="39"/>
        <v>2.8344293999999996E-3</v>
      </c>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1:53" ht="15.75" customHeight="1">
      <c r="A73" s="1"/>
      <c r="B73" s="313" t="s">
        <v>1500</v>
      </c>
      <c r="C73" s="1757"/>
      <c r="D73" s="261"/>
      <c r="E73" s="1810"/>
      <c r="F73" s="75"/>
      <c r="G73" s="1810"/>
      <c r="H73" s="49"/>
      <c r="I73" s="1676"/>
      <c r="J73" s="75"/>
      <c r="K73" s="1676" t="s">
        <v>1538</v>
      </c>
      <c r="L73" s="261"/>
      <c r="M73" s="1676"/>
      <c r="N73" s="49"/>
      <c r="O73" s="1676"/>
      <c r="P73" s="49"/>
      <c r="Q73" s="1676"/>
      <c r="R73" s="49"/>
      <c r="S73" s="1676"/>
      <c r="T73" s="49"/>
      <c r="U73" s="1812"/>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1:53" ht="15.75" customHeight="1">
      <c r="A74" s="1"/>
      <c r="B74" s="922" t="s">
        <v>1516</v>
      </c>
      <c r="C74" s="1755">
        <v>2</v>
      </c>
      <c r="D74" s="261"/>
      <c r="E74" s="1676">
        <v>33966.9</v>
      </c>
      <c r="F74" s="75"/>
      <c r="G74" s="1676">
        <v>25508.812421069997</v>
      </c>
      <c r="H74" s="49"/>
      <c r="I74" s="1676">
        <v>1277.2541478113997</v>
      </c>
      <c r="J74" s="75"/>
      <c r="K74" s="1676">
        <v>25.508812421069997</v>
      </c>
      <c r="L74" s="261" t="s">
        <v>1370</v>
      </c>
      <c r="M74" s="1676">
        <v>25.545082956227994</v>
      </c>
      <c r="N74" s="49" t="s">
        <v>78</v>
      </c>
      <c r="O74" s="1676">
        <v>80.227549878611129</v>
      </c>
      <c r="P74" s="49" t="s">
        <v>78</v>
      </c>
      <c r="Q74" s="1676">
        <f>O74/1000*$Z$8*12/44</f>
        <v>5.7982638321359863</v>
      </c>
      <c r="R74" s="49" t="s">
        <v>78</v>
      </c>
      <c r="S74" s="1810">
        <f t="shared" ref="S74:S78" si="40">Q74/10^6</f>
        <v>5.7982638321359862E-6</v>
      </c>
      <c r="T74" s="49" t="s">
        <v>78</v>
      </c>
      <c r="U74" s="1811">
        <f t="shared" ref="U74:U78" si="41">S74/(12/44)</f>
        <v>2.1260300717831949E-5</v>
      </c>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1:53" ht="15.75" customHeight="1">
      <c r="A75" s="1"/>
      <c r="B75" s="922" t="s">
        <v>1517</v>
      </c>
      <c r="C75" s="1755">
        <v>9</v>
      </c>
      <c r="D75" s="261"/>
      <c r="E75" s="1676">
        <v>31299.48</v>
      </c>
      <c r="F75" s="75"/>
      <c r="G75" s="1676">
        <v>23505.605875044002</v>
      </c>
      <c r="H75" s="49"/>
      <c r="I75" s="1676">
        <v>1176.95140428888</v>
      </c>
      <c r="J75" s="75"/>
      <c r="K75" s="1676">
        <v>23.505605875044004</v>
      </c>
      <c r="L75" s="261" t="s">
        <v>1370</v>
      </c>
      <c r="M75" s="1676">
        <v>23.539028085777598</v>
      </c>
      <c r="N75" s="49" t="s">
        <v>78</v>
      </c>
      <c r="O75" s="1676">
        <v>73.927281938433936</v>
      </c>
      <c r="P75" s="49" t="s">
        <v>78</v>
      </c>
      <c r="Q75" s="1676">
        <f>O75/1000*$Z$8*12/44</f>
        <v>5.3429262855504529</v>
      </c>
      <c r="R75" s="49" t="s">
        <v>78</v>
      </c>
      <c r="S75" s="1810">
        <f t="shared" si="40"/>
        <v>5.3429262855504525E-6</v>
      </c>
      <c r="T75" s="49" t="s">
        <v>78</v>
      </c>
      <c r="U75" s="1811">
        <f t="shared" si="41"/>
        <v>1.9590729713684996E-5</v>
      </c>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1:53" ht="15.75" customHeight="1">
      <c r="A76" s="1"/>
      <c r="B76" s="922" t="s">
        <v>1518</v>
      </c>
      <c r="C76" s="1756">
        <v>7</v>
      </c>
      <c r="D76" s="261"/>
      <c r="E76" s="1676">
        <v>43567.86</v>
      </c>
      <c r="F76" s="75"/>
      <c r="G76" s="1676">
        <v>32719.040251757993</v>
      </c>
      <c r="H76" s="49"/>
      <c r="I76" s="1676">
        <v>1638.2781442011596</v>
      </c>
      <c r="J76" s="75"/>
      <c r="K76" s="1676">
        <v>32.719040251757995</v>
      </c>
      <c r="L76" s="261" t="s">
        <v>1370</v>
      </c>
      <c r="M76" s="1676">
        <v>32.765562884023197</v>
      </c>
      <c r="N76" s="49" t="s">
        <v>78</v>
      </c>
      <c r="O76" s="1676">
        <v>102.90437635622757</v>
      </c>
      <c r="P76" s="49" t="s">
        <v>78</v>
      </c>
      <c r="Q76" s="1676">
        <f>O76/1000*$Z$8*12/44</f>
        <v>7.4371799275637196</v>
      </c>
      <c r="R76" s="49" t="s">
        <v>78</v>
      </c>
      <c r="S76" s="1810">
        <f t="shared" si="40"/>
        <v>7.4371799275637193E-6</v>
      </c>
      <c r="T76" s="49" t="s">
        <v>78</v>
      </c>
      <c r="U76" s="1811">
        <f t="shared" si="41"/>
        <v>2.7269659734400305E-5</v>
      </c>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1:53" ht="15.75" customHeight="1">
      <c r="A77" s="1"/>
      <c r="B77" s="922" t="s">
        <v>1519</v>
      </c>
      <c r="C77" s="1755">
        <v>4</v>
      </c>
      <c r="D77" s="261"/>
      <c r="E77" s="1676">
        <v>41587.223999999995</v>
      </c>
      <c r="F77" s="75"/>
      <c r="G77" s="1676">
        <v>31231.601827927196</v>
      </c>
      <c r="H77" s="49"/>
      <c r="I77" s="1676">
        <v>1563.8004748729438</v>
      </c>
      <c r="J77" s="75"/>
      <c r="K77" s="1676">
        <v>31.231601827927197</v>
      </c>
      <c r="L77" s="261" t="s">
        <v>1370</v>
      </c>
      <c r="M77" s="1676">
        <v>31.276009497458876</v>
      </c>
      <c r="N77" s="49" t="s">
        <v>78</v>
      </c>
      <c r="O77" s="1676">
        <v>98.226246368463833</v>
      </c>
      <c r="P77" s="49" t="s">
        <v>78</v>
      </c>
      <c r="Q77" s="1676">
        <f>O77/1000*$Z$8*12/44</f>
        <v>7.0990787148117045</v>
      </c>
      <c r="R77" s="49" t="s">
        <v>78</v>
      </c>
      <c r="S77" s="1810">
        <f t="shared" si="40"/>
        <v>7.0990787148117049E-6</v>
      </c>
      <c r="T77" s="49" t="s">
        <v>78</v>
      </c>
      <c r="U77" s="1811">
        <f t="shared" si="41"/>
        <v>2.6029955287642919E-5</v>
      </c>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1:53" ht="15.75" customHeight="1">
      <c r="A78" s="1"/>
      <c r="B78" s="922" t="s">
        <v>1520</v>
      </c>
      <c r="C78" s="1755">
        <v>4</v>
      </c>
      <c r="D78" s="261"/>
      <c r="E78" s="1676">
        <v>55647.9</v>
      </c>
      <c r="F78" s="75"/>
      <c r="G78" s="1676">
        <v>41791.033115370003</v>
      </c>
      <c r="H78" s="49"/>
      <c r="I78" s="1676">
        <v>2092.5227527973998</v>
      </c>
      <c r="J78" s="75"/>
      <c r="K78" s="1676">
        <v>41.791033115370006</v>
      </c>
      <c r="L78" s="261" t="s">
        <v>1370</v>
      </c>
      <c r="M78" s="1676">
        <v>41.850455055947997</v>
      </c>
      <c r="N78" s="49" t="s">
        <v>78</v>
      </c>
      <c r="O78" s="1676">
        <v>131.43662426921401</v>
      </c>
      <c r="P78" s="49" t="s">
        <v>78</v>
      </c>
      <c r="Q78" s="1676">
        <f>O78/1000*$Z$8*12/44</f>
        <v>9.499283299456831</v>
      </c>
      <c r="R78" s="49" t="s">
        <v>78</v>
      </c>
      <c r="S78" s="1810">
        <f t="shared" si="40"/>
        <v>9.4992832994568306E-6</v>
      </c>
      <c r="T78" s="49" t="s">
        <v>78</v>
      </c>
      <c r="U78" s="1811">
        <f t="shared" si="41"/>
        <v>3.4830705431341715E-5</v>
      </c>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1:53" ht="15.75" customHeight="1">
      <c r="A79" s="1"/>
      <c r="B79" s="313" t="s">
        <v>1476</v>
      </c>
      <c r="C79" s="1757"/>
      <c r="D79" s="261"/>
      <c r="E79" s="1676"/>
      <c r="F79" s="75"/>
      <c r="G79" s="1676"/>
      <c r="H79" s="49"/>
      <c r="I79" s="1676"/>
      <c r="J79" s="75"/>
      <c r="K79" s="1676" t="s">
        <v>1538</v>
      </c>
      <c r="L79" s="261"/>
      <c r="M79" s="1676"/>
      <c r="N79" s="49"/>
      <c r="O79" s="1676"/>
      <c r="P79" s="49"/>
      <c r="Q79" s="1676"/>
      <c r="R79" s="49"/>
      <c r="S79" s="1676"/>
      <c r="T79" s="49"/>
      <c r="U79" s="1812"/>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1:53" ht="15.75" customHeight="1">
      <c r="A80" s="1"/>
      <c r="B80" s="922" t="s">
        <v>1521</v>
      </c>
      <c r="C80" s="1813"/>
      <c r="D80" s="1794"/>
      <c r="E80" s="1796"/>
      <c r="F80" s="1814"/>
      <c r="G80" s="1796"/>
      <c r="H80" s="1815"/>
      <c r="I80" s="1796"/>
      <c r="J80" s="1814"/>
      <c r="K80" s="1796"/>
      <c r="L80" s="1794"/>
      <c r="M80" s="1796"/>
      <c r="N80" s="1815"/>
      <c r="O80" s="1796"/>
      <c r="P80" s="1815"/>
      <c r="Q80" s="1676"/>
      <c r="R80" s="1815"/>
      <c r="S80" s="1796"/>
      <c r="T80" s="1815"/>
      <c r="U80" s="1816"/>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1:53" ht="15.75" customHeight="1">
      <c r="A81" s="1"/>
      <c r="B81" s="922" t="s">
        <v>1522</v>
      </c>
      <c r="C81" s="1755">
        <v>2292</v>
      </c>
      <c r="D81" s="261"/>
      <c r="E81" s="1676">
        <v>1249850.52</v>
      </c>
      <c r="F81" s="75"/>
      <c r="G81" s="1676">
        <v>62492.526000000005</v>
      </c>
      <c r="H81" s="49"/>
      <c r="I81" s="1676">
        <v>1187357.9939999999</v>
      </c>
      <c r="J81" s="75"/>
      <c r="K81" s="1676">
        <v>62.492526000000005</v>
      </c>
      <c r="L81" s="261" t="s">
        <v>1370</v>
      </c>
      <c r="M81" s="1676">
        <v>5936.7899699999998</v>
      </c>
      <c r="N81" s="49" t="s">
        <v>78</v>
      </c>
      <c r="O81" s="1676">
        <v>9427.4439222857145</v>
      </c>
      <c r="P81" s="49" t="s">
        <v>78</v>
      </c>
      <c r="Q81" s="1676">
        <f>O81/1000*$Z$8*12/44</f>
        <v>681.3470834742858</v>
      </c>
      <c r="R81" s="49" t="s">
        <v>78</v>
      </c>
      <c r="S81" s="1810">
        <f t="shared" ref="S81:S85" si="42">Q81/10^6</f>
        <v>6.8134708347428576E-4</v>
      </c>
      <c r="T81" s="49" t="s">
        <v>78</v>
      </c>
      <c r="U81" s="1811">
        <f t="shared" ref="U81:U85" si="43">S81/(12/44)</f>
        <v>2.4982726394057147E-3</v>
      </c>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row r="82" spans="1:53" ht="15.75" customHeight="1">
      <c r="A82" s="1"/>
      <c r="B82" s="922" t="s">
        <v>1523</v>
      </c>
      <c r="C82" s="1755">
        <v>184</v>
      </c>
      <c r="D82" s="261"/>
      <c r="E82" s="1676">
        <v>74950.559999999998</v>
      </c>
      <c r="F82" s="75"/>
      <c r="G82" s="1676">
        <v>3747.5280000000002</v>
      </c>
      <c r="H82" s="49"/>
      <c r="I82" s="1676">
        <v>71203.031999999992</v>
      </c>
      <c r="J82" s="75"/>
      <c r="K82" s="1676">
        <v>3.7475280000000004</v>
      </c>
      <c r="L82" s="261" t="s">
        <v>1370</v>
      </c>
      <c r="M82" s="1676">
        <v>356.01515999999998</v>
      </c>
      <c r="N82" s="49" t="s">
        <v>78</v>
      </c>
      <c r="O82" s="1676">
        <v>565.34136685714282</v>
      </c>
      <c r="P82" s="49" t="s">
        <v>78</v>
      </c>
      <c r="Q82" s="1676">
        <f>O82/1000*$Z$8*12/44</f>
        <v>40.85876242285714</v>
      </c>
      <c r="R82" s="49" t="s">
        <v>78</v>
      </c>
      <c r="S82" s="1810">
        <f t="shared" si="42"/>
        <v>4.0858762422857142E-5</v>
      </c>
      <c r="T82" s="49" t="s">
        <v>78</v>
      </c>
      <c r="U82" s="1811">
        <f t="shared" si="43"/>
        <v>1.4981546221714287E-4</v>
      </c>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row>
    <row r="83" spans="1:53" ht="15.75" customHeight="1">
      <c r="A83" s="1"/>
      <c r="B83" s="922" t="s">
        <v>1524</v>
      </c>
      <c r="C83" s="1755">
        <v>12</v>
      </c>
      <c r="D83" s="261"/>
      <c r="E83" s="1676">
        <v>6543.72</v>
      </c>
      <c r="F83" s="75"/>
      <c r="G83" s="1676">
        <v>327.18600000000004</v>
      </c>
      <c r="H83" s="49"/>
      <c r="I83" s="1676">
        <v>6216.5339999999997</v>
      </c>
      <c r="J83" s="75"/>
      <c r="K83" s="1676">
        <v>0.32718600000000003</v>
      </c>
      <c r="L83" s="261" t="s">
        <v>1370</v>
      </c>
      <c r="M83" s="1676">
        <v>31.08267</v>
      </c>
      <c r="N83" s="49" t="s">
        <v>78</v>
      </c>
      <c r="O83" s="1676">
        <v>49.358345142857146</v>
      </c>
      <c r="P83" s="49" t="s">
        <v>78</v>
      </c>
      <c r="Q83" s="1676">
        <f>O83/1000*$Z$8*12/44</f>
        <v>3.5672622171428574</v>
      </c>
      <c r="R83" s="49" t="s">
        <v>78</v>
      </c>
      <c r="S83" s="1810">
        <f t="shared" si="42"/>
        <v>3.5672622171428574E-6</v>
      </c>
      <c r="T83" s="49" t="s">
        <v>78</v>
      </c>
      <c r="U83" s="1811">
        <f t="shared" si="43"/>
        <v>1.3079961462857144E-5</v>
      </c>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row>
    <row r="84" spans="1:53" ht="15.75" customHeight="1">
      <c r="A84" s="1"/>
      <c r="B84" s="922" t="s">
        <v>1525</v>
      </c>
      <c r="C84" s="1755">
        <v>53072.7</v>
      </c>
      <c r="D84" s="261"/>
      <c r="E84" s="1676">
        <v>19177820.145000003</v>
      </c>
      <c r="F84" s="75"/>
      <c r="G84" s="1676" t="s">
        <v>1007</v>
      </c>
      <c r="H84" s="49"/>
      <c r="I84" s="1676">
        <v>19177820.145000003</v>
      </c>
      <c r="J84" s="75"/>
      <c r="K84" s="1676" t="s">
        <v>1007</v>
      </c>
      <c r="L84" s="261" t="s">
        <v>1370</v>
      </c>
      <c r="M84" s="1676">
        <v>383556.40290000004</v>
      </c>
      <c r="N84" s="49" t="s">
        <v>78</v>
      </c>
      <c r="O84" s="1676">
        <v>602731.4902714286</v>
      </c>
      <c r="P84" s="49" t="s">
        <v>78</v>
      </c>
      <c r="Q84" s="1676">
        <f>O84/1000*$Z$8*12/44</f>
        <v>43561.048615071428</v>
      </c>
      <c r="R84" s="49" t="s">
        <v>78</v>
      </c>
      <c r="S84" s="1810">
        <f t="shared" si="42"/>
        <v>4.3561048615071429E-2</v>
      </c>
      <c r="T84" s="49" t="s">
        <v>78</v>
      </c>
      <c r="U84" s="1811">
        <f t="shared" si="43"/>
        <v>0.15972384492192859</v>
      </c>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row>
    <row r="85" spans="1:53" ht="15.75" customHeight="1">
      <c r="A85" s="1"/>
      <c r="B85" s="922" t="s">
        <v>1526</v>
      </c>
      <c r="C85" s="1755">
        <v>704</v>
      </c>
      <c r="D85" s="261"/>
      <c r="E85" s="1676">
        <v>1293022.72</v>
      </c>
      <c r="F85" s="75"/>
      <c r="G85" s="1676" t="s">
        <v>1007</v>
      </c>
      <c r="H85" s="49"/>
      <c r="I85" s="1676">
        <v>1293022.72</v>
      </c>
      <c r="J85" s="75"/>
      <c r="K85" s="1676" t="s">
        <v>1007</v>
      </c>
      <c r="L85" s="261" t="s">
        <v>1370</v>
      </c>
      <c r="M85" s="1676">
        <v>25860.454399999999</v>
      </c>
      <c r="N85" s="49" t="s">
        <v>78</v>
      </c>
      <c r="O85" s="1676">
        <v>40637.856914285709</v>
      </c>
      <c r="P85" s="49" t="s">
        <v>78</v>
      </c>
      <c r="Q85" s="1676">
        <f>O85/1000*$Z$8*12/44</f>
        <v>2937.0087497142854</v>
      </c>
      <c r="R85" s="49" t="s">
        <v>78</v>
      </c>
      <c r="S85" s="1810">
        <f t="shared" si="42"/>
        <v>2.9370087497142855E-3</v>
      </c>
      <c r="T85" s="49" t="s">
        <v>78</v>
      </c>
      <c r="U85" s="1811">
        <f t="shared" si="43"/>
        <v>1.0769032082285714E-2</v>
      </c>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row>
    <row r="86" spans="1:53" ht="15.75" customHeight="1">
      <c r="A86" s="1"/>
      <c r="B86" s="313" t="s">
        <v>785</v>
      </c>
      <c r="C86" s="1757"/>
      <c r="D86" s="261"/>
      <c r="E86" s="1676"/>
      <c r="F86" s="75"/>
      <c r="G86" s="1676"/>
      <c r="H86" s="49"/>
      <c r="I86" s="1676"/>
      <c r="J86" s="75"/>
      <c r="K86" s="1676" t="s">
        <v>1538</v>
      </c>
      <c r="L86" s="261"/>
      <c r="M86" s="1676"/>
      <c r="N86" s="49"/>
      <c r="O86" s="1676"/>
      <c r="P86" s="49"/>
      <c r="Q86" s="1676"/>
      <c r="R86" s="49"/>
      <c r="S86" s="1676"/>
      <c r="T86" s="49"/>
      <c r="U86" s="1812"/>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row>
    <row r="87" spans="1:53" ht="15.75" customHeight="1">
      <c r="A87" s="1"/>
      <c r="B87" s="922" t="s">
        <v>1527</v>
      </c>
      <c r="C87" s="1755">
        <v>0</v>
      </c>
      <c r="D87" s="261"/>
      <c r="E87" s="1676">
        <v>0</v>
      </c>
      <c r="F87" s="75"/>
      <c r="G87" s="1676" t="s">
        <v>1007</v>
      </c>
      <c r="H87" s="49"/>
      <c r="I87" s="1676">
        <v>0</v>
      </c>
      <c r="J87" s="75"/>
      <c r="K87" s="1676" t="s">
        <v>1007</v>
      </c>
      <c r="L87" s="261" t="s">
        <v>1370</v>
      </c>
      <c r="M87" s="1676">
        <v>0</v>
      </c>
      <c r="N87" s="49" t="s">
        <v>78</v>
      </c>
      <c r="O87" s="1676">
        <v>0</v>
      </c>
      <c r="P87" s="49" t="s">
        <v>78</v>
      </c>
      <c r="Q87" s="1676">
        <f>O87/1000*$Z$8*12/44</f>
        <v>0</v>
      </c>
      <c r="R87" s="49" t="s">
        <v>78</v>
      </c>
      <c r="S87" s="1810">
        <f t="shared" ref="S87:S89" si="44">Q87/10^6</f>
        <v>0</v>
      </c>
      <c r="T87" s="49" t="s">
        <v>78</v>
      </c>
      <c r="U87" s="1811">
        <f t="shared" ref="U87:U89" si="45">S87/(12/44)</f>
        <v>0</v>
      </c>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row>
    <row r="88" spans="1:53" ht="15.75" customHeight="1">
      <c r="A88" s="1"/>
      <c r="B88" s="922" t="s">
        <v>1528</v>
      </c>
      <c r="C88" s="1756">
        <v>24</v>
      </c>
      <c r="D88" s="261"/>
      <c r="E88" s="1676">
        <v>294336</v>
      </c>
      <c r="F88" s="75"/>
      <c r="G88" s="1676" t="s">
        <v>1007</v>
      </c>
      <c r="H88" s="49"/>
      <c r="I88" s="1676">
        <v>0</v>
      </c>
      <c r="J88" s="75"/>
      <c r="K88" s="1676" t="s">
        <v>1007</v>
      </c>
      <c r="L88" s="261" t="s">
        <v>1370</v>
      </c>
      <c r="M88" s="1676">
        <v>0</v>
      </c>
      <c r="N88" s="49" t="s">
        <v>78</v>
      </c>
      <c r="O88" s="1676">
        <v>0</v>
      </c>
      <c r="P88" s="49" t="s">
        <v>78</v>
      </c>
      <c r="Q88" s="1676">
        <f>O88/1000*$Z$8*12/44</f>
        <v>0</v>
      </c>
      <c r="R88" s="49" t="s">
        <v>78</v>
      </c>
      <c r="S88" s="1810">
        <f t="shared" si="44"/>
        <v>0</v>
      </c>
      <c r="T88" s="49" t="s">
        <v>78</v>
      </c>
      <c r="U88" s="1811">
        <f t="shared" si="45"/>
        <v>0</v>
      </c>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row>
    <row r="89" spans="1:53" ht="15.75" customHeight="1">
      <c r="A89" s="1"/>
      <c r="B89" s="1474" t="s">
        <v>1502</v>
      </c>
      <c r="C89" s="1817" t="s">
        <v>1538</v>
      </c>
      <c r="D89" s="706"/>
      <c r="E89" s="1818">
        <v>30118367.229000006</v>
      </c>
      <c r="F89" s="706"/>
      <c r="G89" s="1818">
        <v>1908275.4229409834</v>
      </c>
      <c r="H89" s="706"/>
      <c r="I89" s="1818">
        <v>24501558.333355505</v>
      </c>
      <c r="J89" s="1587"/>
      <c r="K89" s="1818">
        <v>1908.2754229409841</v>
      </c>
      <c r="L89" s="1819"/>
      <c r="M89" s="1818">
        <v>471059.50326711009</v>
      </c>
      <c r="N89" s="1587"/>
      <c r="O89" s="1818">
        <v>742687.14847622463</v>
      </c>
      <c r="P89" s="1587"/>
      <c r="Q89" s="1818">
        <f>SUM(Q68:Q88)</f>
        <v>53676.025730781694</v>
      </c>
      <c r="R89" s="1587"/>
      <c r="S89" s="1820">
        <f t="shared" si="44"/>
        <v>5.3676025730781694E-2</v>
      </c>
      <c r="T89" s="1587"/>
      <c r="U89" s="1821">
        <f t="shared" si="45"/>
        <v>0.19681209434619956</v>
      </c>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row>
    <row r="90" spans="1:53" ht="15.75" customHeight="1">
      <c r="A90" s="39"/>
      <c r="B90" s="1476"/>
      <c r="C90" s="1822"/>
      <c r="D90" s="1822"/>
      <c r="E90" s="1822"/>
      <c r="F90" s="1822"/>
      <c r="G90" s="1823"/>
      <c r="H90" s="316"/>
      <c r="I90" s="1824"/>
      <c r="J90" s="316"/>
      <c r="K90" s="1825"/>
      <c r="L90" s="263"/>
      <c r="M90" s="1825"/>
      <c r="N90" s="263"/>
      <c r="O90" s="263"/>
      <c r="P90" s="263"/>
      <c r="Q90" s="263"/>
      <c r="R90" s="263"/>
      <c r="S90" s="263"/>
      <c r="T90" s="263"/>
      <c r="U90" s="265"/>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row>
    <row r="91" spans="1:53" ht="15.75" customHeight="1">
      <c r="A91" s="1"/>
      <c r="B91" s="41"/>
      <c r="C91" s="50"/>
      <c r="D91" s="50"/>
      <c r="E91" s="50"/>
      <c r="F91" s="50"/>
      <c r="G91" s="683"/>
      <c r="H91" s="46"/>
      <c r="I91" s="1184"/>
      <c r="J91" s="46"/>
      <c r="K91" s="1183"/>
      <c r="L91" s="1"/>
      <c r="M91" s="1183"/>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row>
    <row r="92" spans="1:53" ht="15.75" customHeight="1">
      <c r="A92" s="1"/>
      <c r="B92" s="41"/>
      <c r="C92" s="50"/>
      <c r="D92" s="50"/>
      <c r="E92" s="50"/>
      <c r="F92" s="50"/>
      <c r="G92" s="683"/>
      <c r="H92" s="46"/>
      <c r="I92" s="1184"/>
      <c r="J92" s="46"/>
      <c r="K92" s="1183"/>
      <c r="L92" s="1"/>
      <c r="M92" s="1183"/>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row>
    <row r="93" spans="1:53" ht="15.75" customHeight="1">
      <c r="A93" s="1"/>
      <c r="B93" s="1826" t="s">
        <v>1539</v>
      </c>
      <c r="C93" s="1827"/>
      <c r="D93" s="1827"/>
      <c r="E93" s="1827"/>
      <c r="F93" s="1828"/>
      <c r="G93" s="1829"/>
      <c r="H93" s="1830"/>
      <c r="I93" s="1831"/>
      <c r="J93" s="1830"/>
      <c r="K93" s="1832"/>
      <c r="L93" s="1833"/>
      <c r="M93" s="1832"/>
      <c r="N93" s="1833"/>
      <c r="O93" s="1833"/>
      <c r="P93" s="1833"/>
      <c r="Q93" s="1833"/>
      <c r="R93" s="1833"/>
      <c r="S93" s="1833"/>
      <c r="T93" s="1833"/>
      <c r="U93" s="1833"/>
      <c r="V93" s="1833"/>
      <c r="W93" s="1833"/>
      <c r="X93" s="1833"/>
      <c r="Y93" s="1833"/>
      <c r="Z93" s="1833"/>
      <c r="AA93" s="1833"/>
      <c r="AB93" s="1833"/>
      <c r="AC93" s="1833"/>
      <c r="AD93" s="1833"/>
      <c r="AE93" s="1834"/>
      <c r="AF93" s="1"/>
      <c r="AG93" s="1"/>
      <c r="AH93" s="1"/>
      <c r="AI93" s="1"/>
      <c r="AJ93" s="1"/>
      <c r="AK93" s="1"/>
      <c r="AL93" s="1"/>
      <c r="AM93" s="1"/>
      <c r="AN93" s="1"/>
      <c r="AO93" s="1"/>
      <c r="AP93" s="1"/>
      <c r="AQ93" s="1"/>
      <c r="AR93" s="1"/>
      <c r="AS93" s="1"/>
      <c r="AT93" s="1"/>
      <c r="AU93" s="1"/>
      <c r="AV93" s="1"/>
      <c r="AW93" s="1"/>
      <c r="AX93" s="1"/>
      <c r="AY93" s="1"/>
      <c r="AZ93" s="1"/>
      <c r="BA93" s="1"/>
    </row>
    <row r="94" spans="1:53" ht="15.75" customHeight="1">
      <c r="A94" s="1"/>
      <c r="B94" s="744" t="s">
        <v>1540</v>
      </c>
      <c r="C94" s="1"/>
      <c r="D94" s="1"/>
      <c r="E94" s="1"/>
      <c r="F94" s="1"/>
      <c r="G94" s="39"/>
      <c r="H94" s="39"/>
      <c r="I94" s="39"/>
      <c r="J94" s="39"/>
      <c r="K94" s="39"/>
      <c r="L94" s="39"/>
      <c r="M94" s="1045"/>
      <c r="N94" s="39"/>
      <c r="O94" s="39"/>
      <c r="P94" s="1835"/>
      <c r="Q94" s="39"/>
      <c r="R94" s="39"/>
      <c r="S94" s="39"/>
      <c r="T94" s="39"/>
      <c r="U94" s="39"/>
      <c r="V94" s="39"/>
      <c r="W94" s="39"/>
      <c r="X94" s="39"/>
      <c r="Y94" s="39"/>
      <c r="Z94" s="39"/>
      <c r="AA94" s="39"/>
      <c r="AB94" s="39"/>
      <c r="AC94" s="39"/>
      <c r="AD94" s="39"/>
      <c r="AE94" s="56"/>
      <c r="AF94" s="1"/>
      <c r="AG94" s="1"/>
      <c r="AH94" s="1"/>
      <c r="AI94" s="1"/>
      <c r="AJ94" s="1"/>
      <c r="AK94" s="1"/>
      <c r="AL94" s="1"/>
      <c r="AM94" s="1"/>
      <c r="AN94" s="1"/>
      <c r="AO94" s="1"/>
      <c r="AP94" s="1"/>
      <c r="AQ94" s="1"/>
      <c r="AR94" s="1"/>
      <c r="AS94" s="1"/>
      <c r="AT94" s="1"/>
      <c r="AU94" s="1"/>
      <c r="AV94" s="1"/>
      <c r="AW94" s="1"/>
      <c r="AX94" s="1"/>
      <c r="AY94" s="1"/>
      <c r="AZ94" s="1"/>
      <c r="BA94" s="1"/>
    </row>
    <row r="95" spans="1:53" ht="60" customHeight="1">
      <c r="A95" s="1"/>
      <c r="B95" s="1836"/>
      <c r="C95" s="1837" t="s">
        <v>726</v>
      </c>
      <c r="D95" s="1837"/>
      <c r="E95" s="1837" t="s">
        <v>1541</v>
      </c>
      <c r="F95" s="1837"/>
      <c r="G95" s="1837" t="s">
        <v>1542</v>
      </c>
      <c r="H95" s="1838"/>
      <c r="I95" s="1837" t="s">
        <v>1543</v>
      </c>
      <c r="J95" s="1838"/>
      <c r="K95" s="1837" t="s">
        <v>1544</v>
      </c>
      <c r="L95" s="1837"/>
      <c r="M95" s="1837" t="s">
        <v>1545</v>
      </c>
      <c r="N95" s="1839"/>
      <c r="O95" s="1837" t="s">
        <v>1546</v>
      </c>
      <c r="P95" s="1837"/>
      <c r="Q95" s="1837" t="s">
        <v>1547</v>
      </c>
      <c r="R95" s="1838"/>
      <c r="S95" s="1837" t="s">
        <v>1548</v>
      </c>
      <c r="T95" s="1837"/>
      <c r="U95" s="1837" t="s">
        <v>1549</v>
      </c>
      <c r="V95" s="1838"/>
      <c r="W95" s="1837" t="s">
        <v>1550</v>
      </c>
      <c r="X95" s="1409"/>
      <c r="Y95" s="797"/>
      <c r="Z95" s="1840" t="s">
        <v>1551</v>
      </c>
      <c r="AA95" s="1837" t="s">
        <v>1552</v>
      </c>
      <c r="AB95" s="797"/>
      <c r="AC95" s="1841" t="s">
        <v>1553</v>
      </c>
      <c r="AD95" s="797"/>
      <c r="AE95" s="1842" t="s">
        <v>1554</v>
      </c>
      <c r="AF95" s="1"/>
      <c r="AG95" s="1"/>
      <c r="AH95" s="1"/>
      <c r="AI95" s="1"/>
      <c r="AJ95" s="1"/>
      <c r="AK95" s="1"/>
      <c r="AL95" s="1"/>
      <c r="AM95" s="1"/>
      <c r="AN95" s="1"/>
      <c r="AO95" s="1"/>
      <c r="AP95" s="1"/>
      <c r="AQ95" s="1"/>
      <c r="AR95" s="1"/>
      <c r="AS95" s="1"/>
      <c r="AT95" s="1"/>
      <c r="AU95" s="1"/>
      <c r="AV95" s="1"/>
      <c r="AW95" s="1"/>
      <c r="AX95" s="1"/>
      <c r="AY95" s="1"/>
      <c r="AZ95" s="1"/>
      <c r="BA95" s="1"/>
    </row>
    <row r="96" spans="1:53" ht="15.75" customHeight="1">
      <c r="A96" s="1"/>
      <c r="B96" s="1843" t="s">
        <v>1555</v>
      </c>
      <c r="C96" s="1844" t="s">
        <v>1556</v>
      </c>
      <c r="D96" s="1665"/>
      <c r="E96" s="1845">
        <v>140</v>
      </c>
      <c r="F96" s="1846"/>
      <c r="G96" s="1847" t="s">
        <v>1007</v>
      </c>
      <c r="H96" s="256"/>
      <c r="I96" s="256">
        <v>0</v>
      </c>
      <c r="J96" s="256"/>
      <c r="K96" s="1848">
        <f>E96*0.9072*1000</f>
        <v>127008</v>
      </c>
      <c r="L96" s="1849"/>
      <c r="M96" s="256">
        <v>0.85</v>
      </c>
      <c r="N96" s="256"/>
      <c r="O96" s="256">
        <v>0</v>
      </c>
      <c r="P96" s="256"/>
      <c r="Q96" s="256" t="s">
        <v>1007</v>
      </c>
      <c r="R96" s="256"/>
      <c r="S96" s="1848" t="s">
        <v>1007</v>
      </c>
      <c r="T96" s="311"/>
      <c r="U96" s="256">
        <v>0.03</v>
      </c>
      <c r="V96" s="256"/>
      <c r="W96" s="1848">
        <f>(K96*1000)*(1+I96)*M96*U96</f>
        <v>3238704</v>
      </c>
      <c r="X96" s="256"/>
      <c r="Y96" s="1850" t="s">
        <v>1557</v>
      </c>
      <c r="Z96" s="311">
        <v>0.01</v>
      </c>
      <c r="AA96" s="1851">
        <f>S117/1000*Z96*44/28</f>
        <v>422.23715421701729</v>
      </c>
      <c r="AB96" s="256"/>
      <c r="AC96" s="1852">
        <f>AA96*$Z$8*12/44*10^-6</f>
        <v>3.0516230691138971E-2</v>
      </c>
      <c r="AD96" s="256"/>
      <c r="AE96" s="1853">
        <f t="shared" ref="AE96:AE97" si="46">AC96/(12/44)</f>
        <v>0.11189284586750957</v>
      </c>
      <c r="AF96" s="1"/>
      <c r="AG96" s="1"/>
      <c r="AH96" s="1"/>
      <c r="AI96" s="1"/>
      <c r="AJ96" s="1"/>
      <c r="AK96" s="1"/>
      <c r="AL96" s="1"/>
      <c r="AM96" s="1"/>
      <c r="AN96" s="1"/>
      <c r="AO96" s="1"/>
      <c r="AP96" s="1"/>
      <c r="AQ96" s="1"/>
      <c r="AR96" s="1"/>
      <c r="AS96" s="1"/>
      <c r="AT96" s="1"/>
      <c r="AU96" s="1"/>
      <c r="AV96" s="1"/>
      <c r="AW96" s="1"/>
      <c r="AX96" s="1"/>
      <c r="AY96" s="1"/>
      <c r="AZ96" s="1"/>
      <c r="BA96" s="1"/>
    </row>
    <row r="97" spans="1:53" ht="15.75" customHeight="1">
      <c r="A97" s="1"/>
      <c r="B97" s="84" t="s">
        <v>1558</v>
      </c>
      <c r="C97" s="1854" t="s">
        <v>1559</v>
      </c>
      <c r="D97" s="1854"/>
      <c r="E97" s="1855">
        <v>46870</v>
      </c>
      <c r="F97" s="75"/>
      <c r="G97" s="51">
        <v>2.5401147108E-2</v>
      </c>
      <c r="H97" s="75"/>
      <c r="I97" s="75">
        <v>1</v>
      </c>
      <c r="J97" s="75"/>
      <c r="K97" s="1676">
        <f t="shared" ref="K97:K103" si="47">E97*1000*G97</f>
        <v>1190551.76495196</v>
      </c>
      <c r="L97" s="1676"/>
      <c r="M97" s="75">
        <v>0.91</v>
      </c>
      <c r="N97" s="75"/>
      <c r="O97" s="75">
        <v>0.9</v>
      </c>
      <c r="P97" s="75"/>
      <c r="Q97" s="75">
        <v>5.7999999999999996E-3</v>
      </c>
      <c r="R97" s="75"/>
      <c r="S97" s="1676">
        <f t="shared" ref="S97:S111" si="48">(K97*1000)*I97*M97*O97*Q97</f>
        <v>5655358.9938747985</v>
      </c>
      <c r="T97" s="261"/>
      <c r="U97" s="75">
        <v>0.03</v>
      </c>
      <c r="V97" s="75"/>
      <c r="W97" s="1676" t="s">
        <v>1007</v>
      </c>
      <c r="X97" s="75"/>
      <c r="Y97" s="1856" t="s">
        <v>1560</v>
      </c>
      <c r="Z97" s="261">
        <v>0.01</v>
      </c>
      <c r="AA97" s="1857">
        <f>W117/1000*Z97*44/28</f>
        <v>670.39496110002494</v>
      </c>
      <c r="AB97" s="75"/>
      <c r="AC97" s="1298">
        <f>AA97*$Z$8*12/44*10^-6</f>
        <v>4.8451272188592708E-2</v>
      </c>
      <c r="AD97" s="75"/>
      <c r="AE97" s="1858">
        <f t="shared" si="46"/>
        <v>0.17765466469150662</v>
      </c>
      <c r="AF97" s="1"/>
      <c r="AG97" s="1"/>
      <c r="AH97" s="1"/>
      <c r="AI97" s="1"/>
      <c r="AJ97" s="1"/>
      <c r="AK97" s="1"/>
      <c r="AL97" s="1"/>
      <c r="AM97" s="1"/>
      <c r="AN97" s="1"/>
      <c r="AO97" s="1"/>
      <c r="AP97" s="1"/>
      <c r="AQ97" s="1"/>
      <c r="AR97" s="1"/>
      <c r="AS97" s="1"/>
      <c r="AT97" s="1"/>
      <c r="AU97" s="1"/>
      <c r="AV97" s="1"/>
      <c r="AW97" s="1"/>
      <c r="AX97" s="1"/>
      <c r="AY97" s="1"/>
      <c r="AZ97" s="1"/>
      <c r="BA97" s="1"/>
    </row>
    <row r="98" spans="1:53" ht="15.75" customHeight="1">
      <c r="A98" s="1"/>
      <c r="B98" s="84" t="s">
        <v>1561</v>
      </c>
      <c r="C98" s="1854" t="s">
        <v>1559</v>
      </c>
      <c r="D98" s="1854"/>
      <c r="E98" s="1855">
        <v>12540</v>
      </c>
      <c r="F98" s="75"/>
      <c r="G98" s="51">
        <v>2.7215442853E-2</v>
      </c>
      <c r="H98" s="75"/>
      <c r="I98" s="75">
        <v>1.3</v>
      </c>
      <c r="J98" s="75"/>
      <c r="K98" s="1676">
        <f t="shared" si="47"/>
        <v>341281.65337661997</v>
      </c>
      <c r="L98" s="1676"/>
      <c r="M98" s="75">
        <v>0.93</v>
      </c>
      <c r="N98" s="75"/>
      <c r="O98" s="75">
        <v>0.9</v>
      </c>
      <c r="P98" s="75"/>
      <c r="Q98" s="75">
        <v>6.1999999999999998E-3</v>
      </c>
      <c r="R98" s="75"/>
      <c r="S98" s="1676">
        <f t="shared" si="48"/>
        <v>2302361.1156424214</v>
      </c>
      <c r="T98" s="261"/>
      <c r="U98" s="75">
        <v>0.03</v>
      </c>
      <c r="V98" s="75"/>
      <c r="W98" s="1676" t="s">
        <v>1007</v>
      </c>
      <c r="X98" s="75"/>
      <c r="Y98" s="260"/>
      <c r="Z98" s="1583"/>
      <c r="AA98" s="75"/>
      <c r="AB98" s="75"/>
      <c r="AC98" s="75"/>
      <c r="AD98" s="75"/>
      <c r="AE98" s="85"/>
      <c r="AF98" s="1"/>
      <c r="AG98" s="1"/>
      <c r="AH98" s="1"/>
      <c r="AI98" s="1"/>
      <c r="AJ98" s="1"/>
      <c r="AK98" s="1"/>
      <c r="AL98" s="1"/>
      <c r="AM98" s="1"/>
      <c r="AN98" s="1"/>
      <c r="AO98" s="1"/>
      <c r="AP98" s="1"/>
      <c r="AQ98" s="1"/>
      <c r="AR98" s="1"/>
      <c r="AS98" s="1"/>
      <c r="AT98" s="1"/>
      <c r="AU98" s="1"/>
      <c r="AV98" s="1"/>
      <c r="AW98" s="1"/>
      <c r="AX98" s="1"/>
      <c r="AY98" s="1"/>
      <c r="AZ98" s="1"/>
      <c r="BA98" s="1"/>
    </row>
    <row r="99" spans="1:53" ht="15.75" customHeight="1">
      <c r="A99" s="1"/>
      <c r="B99" s="84" t="s">
        <v>1562</v>
      </c>
      <c r="C99" s="1854" t="s">
        <v>1559</v>
      </c>
      <c r="D99" s="1854"/>
      <c r="E99" s="1855">
        <v>2880</v>
      </c>
      <c r="F99" s="75"/>
      <c r="G99" s="51">
        <v>2.1772E-2</v>
      </c>
      <c r="H99" s="75"/>
      <c r="I99" s="75">
        <v>1.2</v>
      </c>
      <c r="J99" s="75"/>
      <c r="K99" s="1676">
        <f t="shared" si="47"/>
        <v>62703.360000000001</v>
      </c>
      <c r="L99" s="1676"/>
      <c r="M99" s="75">
        <v>0.93</v>
      </c>
      <c r="N99" s="75"/>
      <c r="O99" s="75">
        <v>0.9</v>
      </c>
      <c r="P99" s="75"/>
      <c r="Q99" s="75">
        <v>7.7000000000000002E-3</v>
      </c>
      <c r="R99" s="75"/>
      <c r="S99" s="1676">
        <f t="shared" si="48"/>
        <v>484940.26183680008</v>
      </c>
      <c r="T99" s="261"/>
      <c r="U99" s="75">
        <v>0.03</v>
      </c>
      <c r="V99" s="75"/>
      <c r="W99" s="1676" t="s">
        <v>1007</v>
      </c>
      <c r="X99" s="75"/>
      <c r="Y99" s="75"/>
      <c r="Z99" s="1583"/>
      <c r="AA99" s="75"/>
      <c r="AB99" s="75"/>
      <c r="AC99" s="75"/>
      <c r="AD99" s="75"/>
      <c r="AE99" s="85"/>
      <c r="AF99" s="1"/>
      <c r="AG99" s="1"/>
      <c r="AH99" s="1"/>
      <c r="AI99" s="1"/>
      <c r="AJ99" s="1"/>
      <c r="AK99" s="1"/>
      <c r="AL99" s="1"/>
      <c r="AM99" s="1"/>
      <c r="AN99" s="1"/>
      <c r="AO99" s="1"/>
      <c r="AP99" s="1"/>
      <c r="AQ99" s="1"/>
      <c r="AR99" s="1"/>
      <c r="AS99" s="1"/>
      <c r="AT99" s="1"/>
      <c r="AU99" s="1"/>
      <c r="AV99" s="1"/>
      <c r="AW99" s="1"/>
      <c r="AX99" s="1"/>
      <c r="AY99" s="1"/>
      <c r="AZ99" s="1"/>
      <c r="BA99" s="1"/>
    </row>
    <row r="100" spans="1:53" ht="15.75" customHeight="1">
      <c r="A100" s="1"/>
      <c r="B100" s="84" t="s">
        <v>1563</v>
      </c>
      <c r="C100" s="1854" t="s">
        <v>1559</v>
      </c>
      <c r="D100" s="1854"/>
      <c r="E100" s="1855">
        <v>0</v>
      </c>
      <c r="F100" s="75"/>
      <c r="G100" s="51">
        <v>2.5401169512752383E-2</v>
      </c>
      <c r="H100" s="75"/>
      <c r="I100" s="75">
        <v>1.4</v>
      </c>
      <c r="J100" s="75"/>
      <c r="K100" s="1676">
        <f t="shared" si="47"/>
        <v>0</v>
      </c>
      <c r="L100" s="1676"/>
      <c r="M100" s="75">
        <v>0.91</v>
      </c>
      <c r="N100" s="75"/>
      <c r="O100" s="75">
        <v>0.9</v>
      </c>
      <c r="P100" s="75"/>
      <c r="Q100" s="75">
        <v>1.0800000000000001E-2</v>
      </c>
      <c r="R100" s="75"/>
      <c r="S100" s="1676">
        <f t="shared" si="48"/>
        <v>0</v>
      </c>
      <c r="T100" s="261"/>
      <c r="U100" s="75">
        <v>0.03</v>
      </c>
      <c r="V100" s="75"/>
      <c r="W100" s="1676" t="s">
        <v>1007</v>
      </c>
      <c r="X100" s="75"/>
      <c r="Y100" s="75"/>
      <c r="Z100" s="1583"/>
      <c r="AA100" s="75"/>
      <c r="AB100" s="75"/>
      <c r="AC100" s="75"/>
      <c r="AD100" s="75"/>
      <c r="AE100" s="85"/>
      <c r="AF100" s="1"/>
      <c r="AG100" s="1"/>
      <c r="AH100" s="1"/>
      <c r="AI100" s="1"/>
      <c r="AJ100" s="1"/>
      <c r="AK100" s="1"/>
      <c r="AL100" s="1"/>
      <c r="AM100" s="1"/>
      <c r="AN100" s="1"/>
      <c r="AO100" s="1"/>
      <c r="AP100" s="1"/>
      <c r="AQ100" s="1"/>
      <c r="AR100" s="1"/>
      <c r="AS100" s="1"/>
      <c r="AT100" s="1"/>
      <c r="AU100" s="1"/>
      <c r="AV100" s="1"/>
      <c r="AW100" s="1"/>
      <c r="AX100" s="1"/>
      <c r="AY100" s="1"/>
      <c r="AZ100" s="1"/>
      <c r="BA100" s="1"/>
    </row>
    <row r="101" spans="1:53" ht="15.75" customHeight="1">
      <c r="A101" s="1"/>
      <c r="B101" s="84" t="s">
        <v>1564</v>
      </c>
      <c r="C101" s="1854" t="s">
        <v>1559</v>
      </c>
      <c r="D101" s="1854"/>
      <c r="E101" s="1855">
        <v>0</v>
      </c>
      <c r="F101" s="75"/>
      <c r="G101" s="51">
        <v>1.4514959222223263E-2</v>
      </c>
      <c r="H101" s="75"/>
      <c r="I101" s="75">
        <v>1.3</v>
      </c>
      <c r="J101" s="75"/>
      <c r="K101" s="1676">
        <f t="shared" si="47"/>
        <v>0</v>
      </c>
      <c r="L101" s="1676"/>
      <c r="M101" s="75">
        <v>0.92</v>
      </c>
      <c r="N101" s="75"/>
      <c r="O101" s="75">
        <v>0.9</v>
      </c>
      <c r="P101" s="75"/>
      <c r="Q101" s="75">
        <v>7.0000000000000001E-3</v>
      </c>
      <c r="R101" s="75"/>
      <c r="S101" s="1676">
        <f t="shared" si="48"/>
        <v>0</v>
      </c>
      <c r="T101" s="261"/>
      <c r="U101" s="75">
        <v>0.03</v>
      </c>
      <c r="V101" s="75"/>
      <c r="W101" s="1676" t="s">
        <v>1007</v>
      </c>
      <c r="X101" s="75"/>
      <c r="Y101" s="75"/>
      <c r="Z101" s="1583"/>
      <c r="AA101" s="75"/>
      <c r="AB101" s="75"/>
      <c r="AC101" s="75"/>
      <c r="AD101" s="75"/>
      <c r="AE101" s="85"/>
      <c r="AF101" s="1"/>
      <c r="AG101" s="1"/>
      <c r="AH101" s="1"/>
      <c r="AI101" s="1"/>
      <c r="AJ101" s="1"/>
      <c r="AK101" s="1"/>
      <c r="AL101" s="1"/>
      <c r="AM101" s="1"/>
      <c r="AN101" s="1"/>
      <c r="AO101" s="1"/>
      <c r="AP101" s="1"/>
      <c r="AQ101" s="1"/>
      <c r="AR101" s="1"/>
      <c r="AS101" s="1"/>
      <c r="AT101" s="1"/>
      <c r="AU101" s="1"/>
      <c r="AV101" s="1"/>
      <c r="AW101" s="1"/>
      <c r="AX101" s="1"/>
      <c r="AY101" s="1"/>
      <c r="AZ101" s="1"/>
      <c r="BA101" s="1"/>
    </row>
    <row r="102" spans="1:53" ht="15.75" customHeight="1">
      <c r="A102" s="1"/>
      <c r="B102" s="84" t="s">
        <v>1565</v>
      </c>
      <c r="C102" s="1854" t="s">
        <v>1559</v>
      </c>
      <c r="D102" s="1854"/>
      <c r="E102" s="1855">
        <v>0</v>
      </c>
      <c r="F102" s="75"/>
      <c r="G102" s="51">
        <v>2.5401046494036766E-2</v>
      </c>
      <c r="H102" s="75"/>
      <c r="I102" s="75">
        <v>1.6</v>
      </c>
      <c r="J102" s="75"/>
      <c r="K102" s="1676">
        <f t="shared" si="47"/>
        <v>0</v>
      </c>
      <c r="L102" s="1676"/>
      <c r="M102" s="75">
        <v>0.9</v>
      </c>
      <c r="N102" s="75"/>
      <c r="O102" s="75">
        <v>0.9</v>
      </c>
      <c r="P102" s="75"/>
      <c r="Q102" s="75">
        <v>4.7999999999999996E-3</v>
      </c>
      <c r="R102" s="75"/>
      <c r="S102" s="1676">
        <f t="shared" si="48"/>
        <v>0</v>
      </c>
      <c r="T102" s="261"/>
      <c r="U102" s="75">
        <v>0.03</v>
      </c>
      <c r="V102" s="75"/>
      <c r="W102" s="1676" t="s">
        <v>1007</v>
      </c>
      <c r="X102" s="75"/>
      <c r="Y102" s="75"/>
      <c r="Z102" s="1583"/>
      <c r="AA102" s="75"/>
      <c r="AB102" s="75"/>
      <c r="AC102" s="75"/>
      <c r="AD102" s="75"/>
      <c r="AE102" s="85"/>
      <c r="AF102" s="1"/>
      <c r="AG102" s="1"/>
      <c r="AH102" s="1"/>
      <c r="AI102" s="1"/>
      <c r="AJ102" s="1"/>
      <c r="AK102" s="1"/>
      <c r="AL102" s="1"/>
      <c r="AM102" s="1"/>
      <c r="AN102" s="1"/>
      <c r="AO102" s="1"/>
      <c r="AP102" s="1"/>
      <c r="AQ102" s="1"/>
      <c r="AR102" s="1"/>
      <c r="AS102" s="1"/>
      <c r="AT102" s="1"/>
      <c r="AU102" s="1"/>
      <c r="AV102" s="1"/>
      <c r="AW102" s="1"/>
      <c r="AX102" s="1"/>
      <c r="AY102" s="1"/>
      <c r="AZ102" s="1"/>
      <c r="BA102" s="1"/>
    </row>
    <row r="103" spans="1:53" ht="15.75" customHeight="1">
      <c r="A103" s="1"/>
      <c r="B103" s="84" t="s">
        <v>1566</v>
      </c>
      <c r="C103" s="1854" t="s">
        <v>1559</v>
      </c>
      <c r="D103" s="1854"/>
      <c r="E103" s="1859">
        <v>0</v>
      </c>
      <c r="F103" s="75"/>
      <c r="G103" s="51">
        <v>2.7215E-2</v>
      </c>
      <c r="H103" s="75"/>
      <c r="I103" s="75">
        <v>1.4</v>
      </c>
      <c r="J103" s="75"/>
      <c r="K103" s="1676">
        <f t="shared" si="47"/>
        <v>0</v>
      </c>
      <c r="L103" s="261"/>
      <c r="M103" s="75">
        <v>0.89</v>
      </c>
      <c r="N103" s="75"/>
      <c r="O103" s="75">
        <v>0.89</v>
      </c>
      <c r="P103" s="75"/>
      <c r="Q103" s="75">
        <v>7.0000000000000001E-3</v>
      </c>
      <c r="R103" s="75"/>
      <c r="S103" s="1676">
        <f t="shared" si="48"/>
        <v>0</v>
      </c>
      <c r="T103" s="261"/>
      <c r="U103" s="75">
        <v>0.03</v>
      </c>
      <c r="V103" s="75"/>
      <c r="W103" s="1676" t="s">
        <v>1007</v>
      </c>
      <c r="X103" s="75"/>
      <c r="Y103" s="75"/>
      <c r="Z103" s="1173"/>
      <c r="AA103" s="75"/>
      <c r="AB103" s="75"/>
      <c r="AC103" s="75"/>
      <c r="AD103" s="75"/>
      <c r="AE103" s="85"/>
      <c r="AF103" s="1"/>
      <c r="AG103" s="1"/>
      <c r="AH103" s="1"/>
      <c r="AI103" s="1"/>
      <c r="AJ103" s="1"/>
      <c r="AK103" s="1"/>
      <c r="AL103" s="1"/>
      <c r="AM103" s="1"/>
      <c r="AN103" s="1"/>
      <c r="AO103" s="1"/>
      <c r="AP103" s="1"/>
      <c r="AQ103" s="1"/>
      <c r="AR103" s="1"/>
      <c r="AS103" s="1"/>
      <c r="AT103" s="1"/>
      <c r="AU103" s="1"/>
      <c r="AV103" s="1"/>
      <c r="AW103" s="1"/>
      <c r="AX103" s="1"/>
      <c r="AY103" s="1"/>
      <c r="AZ103" s="1"/>
      <c r="BA103" s="1"/>
    </row>
    <row r="104" spans="1:53" ht="30" customHeight="1">
      <c r="A104" s="1"/>
      <c r="B104" s="84" t="s">
        <v>1567</v>
      </c>
      <c r="C104" s="1854" t="s">
        <v>1568</v>
      </c>
      <c r="D104" s="1854"/>
      <c r="E104" s="1855">
        <v>0</v>
      </c>
      <c r="F104" s="75"/>
      <c r="G104" s="51" t="s">
        <v>1007</v>
      </c>
      <c r="H104" s="75"/>
      <c r="I104" s="75">
        <v>1.4</v>
      </c>
      <c r="J104" s="75"/>
      <c r="K104" s="1676">
        <f>(E104*0.454)*100</f>
        <v>0</v>
      </c>
      <c r="L104" s="1676"/>
      <c r="M104" s="75">
        <v>0.91</v>
      </c>
      <c r="N104" s="75"/>
      <c r="O104" s="75">
        <v>1</v>
      </c>
      <c r="P104" s="75"/>
      <c r="Q104" s="75">
        <v>7.1999999999999998E-3</v>
      </c>
      <c r="R104" s="75"/>
      <c r="S104" s="1676">
        <f t="shared" si="48"/>
        <v>0</v>
      </c>
      <c r="T104" s="261"/>
      <c r="U104" s="75">
        <v>0.03</v>
      </c>
      <c r="V104" s="75"/>
      <c r="W104" s="1676" t="s">
        <v>1007</v>
      </c>
      <c r="X104" s="75"/>
      <c r="Y104" s="75"/>
      <c r="Z104" s="1583"/>
      <c r="AA104" s="75"/>
      <c r="AB104" s="75"/>
      <c r="AC104" s="75"/>
      <c r="AD104" s="75"/>
      <c r="AE104" s="85"/>
      <c r="AF104" s="1"/>
      <c r="AG104" s="1"/>
      <c r="AH104" s="1"/>
      <c r="AI104" s="1"/>
      <c r="AJ104" s="1"/>
      <c r="AK104" s="1"/>
      <c r="AL104" s="1"/>
      <c r="AM104" s="1"/>
      <c r="AN104" s="1"/>
      <c r="AO104" s="1"/>
      <c r="AP104" s="1"/>
      <c r="AQ104" s="1"/>
      <c r="AR104" s="1"/>
      <c r="AS104" s="1"/>
      <c r="AT104" s="1"/>
      <c r="AU104" s="1"/>
      <c r="AV104" s="1"/>
      <c r="AW104" s="1"/>
      <c r="AX104" s="1"/>
      <c r="AY104" s="1"/>
      <c r="AZ104" s="1"/>
      <c r="BA104" s="1"/>
    </row>
    <row r="105" spans="1:53" ht="15.75" customHeight="1">
      <c r="A105" s="1"/>
      <c r="B105" s="84" t="s">
        <v>1569</v>
      </c>
      <c r="C105" s="1854" t="s">
        <v>1559</v>
      </c>
      <c r="D105" s="1854"/>
      <c r="E105" s="1855">
        <v>17903</v>
      </c>
      <c r="F105" s="75"/>
      <c r="G105" s="51">
        <v>2.7215692074999999E-2</v>
      </c>
      <c r="H105" s="75"/>
      <c r="I105" s="75">
        <v>2.1</v>
      </c>
      <c r="J105" s="75"/>
      <c r="K105" s="1676">
        <f>E105*1000*G105</f>
        <v>487242.53521872498</v>
      </c>
      <c r="L105" s="1676"/>
      <c r="M105" s="75">
        <v>0.87</v>
      </c>
      <c r="N105" s="75"/>
      <c r="O105" s="75">
        <v>0.9</v>
      </c>
      <c r="P105" s="75"/>
      <c r="Q105" s="75">
        <v>2.3E-2</v>
      </c>
      <c r="R105" s="75"/>
      <c r="S105" s="1676">
        <f t="shared" si="48"/>
        <v>18426976.715183441</v>
      </c>
      <c r="T105" s="261"/>
      <c r="U105" s="75">
        <v>0.03</v>
      </c>
      <c r="V105" s="75"/>
      <c r="W105" s="1676">
        <f t="shared" ref="W105:W116" si="49">(K105*1000)*(1+I105)*M105*U105</f>
        <v>39422793.524547033</v>
      </c>
      <c r="X105" s="75"/>
      <c r="Y105" s="75"/>
      <c r="Z105" s="1583"/>
      <c r="AA105" s="75"/>
      <c r="AB105" s="75"/>
      <c r="AC105" s="75"/>
      <c r="AD105" s="75"/>
      <c r="AE105" s="85"/>
      <c r="AF105" s="1"/>
      <c r="AG105" s="1"/>
      <c r="AH105" s="1"/>
      <c r="AI105" s="1"/>
      <c r="AJ105" s="1"/>
      <c r="AK105" s="1"/>
      <c r="AL105" s="1"/>
      <c r="AM105" s="1"/>
      <c r="AN105" s="1"/>
      <c r="AO105" s="1"/>
      <c r="AP105" s="1"/>
      <c r="AQ105" s="1"/>
      <c r="AR105" s="1"/>
      <c r="AS105" s="1"/>
      <c r="AT105" s="1"/>
      <c r="AU105" s="1"/>
      <c r="AV105" s="1"/>
      <c r="AW105" s="1"/>
      <c r="AX105" s="1"/>
      <c r="AY105" s="1"/>
      <c r="AZ105" s="1"/>
      <c r="BA105" s="1"/>
    </row>
    <row r="106" spans="1:53" ht="15.75" customHeight="1">
      <c r="A106" s="1"/>
      <c r="B106" s="84" t="s">
        <v>1570</v>
      </c>
      <c r="C106" s="1854" t="s">
        <v>1571</v>
      </c>
      <c r="D106" s="1854"/>
      <c r="E106" s="1855">
        <v>0</v>
      </c>
      <c r="F106" s="75"/>
      <c r="G106" s="51" t="s">
        <v>1007</v>
      </c>
      <c r="H106" s="75"/>
      <c r="I106" s="75">
        <v>1</v>
      </c>
      <c r="J106" s="75"/>
      <c r="K106" s="1676">
        <f>(E106*1000/2000*0.9072)</f>
        <v>0</v>
      </c>
      <c r="L106" s="1676"/>
      <c r="M106" s="75">
        <v>0.86</v>
      </c>
      <c r="N106" s="75"/>
      <c r="O106" s="75">
        <v>0.9</v>
      </c>
      <c r="P106" s="75"/>
      <c r="Q106" s="75">
        <v>1.06E-2</v>
      </c>
      <c r="R106" s="75"/>
      <c r="S106" s="1676">
        <f t="shared" si="48"/>
        <v>0</v>
      </c>
      <c r="T106" s="261"/>
      <c r="U106" s="75">
        <v>0.03</v>
      </c>
      <c r="V106" s="75"/>
      <c r="W106" s="1676">
        <f t="shared" si="49"/>
        <v>0</v>
      </c>
      <c r="X106" s="75"/>
      <c r="Y106" s="75"/>
      <c r="Z106" s="1583"/>
      <c r="AA106" s="75"/>
      <c r="AB106" s="75"/>
      <c r="AC106" s="75"/>
      <c r="AD106" s="75"/>
      <c r="AE106" s="85"/>
      <c r="AF106" s="1"/>
      <c r="AG106" s="1"/>
      <c r="AH106" s="1"/>
      <c r="AI106" s="1"/>
      <c r="AJ106" s="1"/>
      <c r="AK106" s="1"/>
      <c r="AL106" s="1"/>
      <c r="AM106" s="1"/>
      <c r="AN106" s="1"/>
      <c r="AO106" s="1"/>
      <c r="AP106" s="1"/>
      <c r="AQ106" s="1"/>
      <c r="AR106" s="1"/>
      <c r="AS106" s="1"/>
      <c r="AT106" s="1"/>
      <c r="AU106" s="1"/>
      <c r="AV106" s="1"/>
      <c r="AW106" s="1"/>
      <c r="AX106" s="1"/>
      <c r="AY106" s="1"/>
      <c r="AZ106" s="1"/>
      <c r="BA106" s="1"/>
    </row>
    <row r="107" spans="1:53" ht="30" customHeight="1">
      <c r="A107" s="1"/>
      <c r="B107" s="84" t="s">
        <v>1572</v>
      </c>
      <c r="C107" s="1854" t="s">
        <v>1568</v>
      </c>
      <c r="D107" s="1854"/>
      <c r="E107" s="1855">
        <v>0</v>
      </c>
      <c r="F107" s="75"/>
      <c r="G107" s="51" t="s">
        <v>1007</v>
      </c>
      <c r="H107" s="75"/>
      <c r="I107" s="75">
        <v>2.1</v>
      </c>
      <c r="J107" s="75"/>
      <c r="K107" s="1676">
        <f t="shared" ref="K107:K111" si="50">(E107*0.454)*100</f>
        <v>0</v>
      </c>
      <c r="L107" s="1676"/>
      <c r="M107" s="75">
        <v>0.87</v>
      </c>
      <c r="N107" s="75"/>
      <c r="O107" s="75">
        <v>1.55</v>
      </c>
      <c r="P107" s="75"/>
      <c r="Q107" s="75">
        <v>1.6799999999999999E-2</v>
      </c>
      <c r="R107" s="75"/>
      <c r="S107" s="1676">
        <f t="shared" si="48"/>
        <v>0</v>
      </c>
      <c r="T107" s="261"/>
      <c r="U107" s="75">
        <v>0.03</v>
      </c>
      <c r="V107" s="75"/>
      <c r="W107" s="1676">
        <f t="shared" si="49"/>
        <v>0</v>
      </c>
      <c r="X107" s="75"/>
      <c r="Y107" s="75"/>
      <c r="Z107" s="1583"/>
      <c r="AA107" s="75"/>
      <c r="AB107" s="75"/>
      <c r="AC107" s="75"/>
      <c r="AD107" s="75"/>
      <c r="AE107" s="85"/>
      <c r="AF107" s="1"/>
      <c r="AG107" s="1"/>
      <c r="AH107" s="1"/>
      <c r="AI107" s="1"/>
      <c r="AJ107" s="1"/>
      <c r="AK107" s="1"/>
      <c r="AL107" s="1"/>
      <c r="AM107" s="1"/>
      <c r="AN107" s="1"/>
      <c r="AO107" s="1"/>
      <c r="AP107" s="1"/>
      <c r="AQ107" s="1"/>
      <c r="AR107" s="1"/>
      <c r="AS107" s="1"/>
      <c r="AT107" s="1"/>
      <c r="AU107" s="1"/>
      <c r="AV107" s="1"/>
      <c r="AW107" s="1"/>
      <c r="AX107" s="1"/>
      <c r="AY107" s="1"/>
      <c r="AZ107" s="1"/>
      <c r="BA107" s="1"/>
    </row>
    <row r="108" spans="1:53" ht="30" customHeight="1">
      <c r="A108" s="1"/>
      <c r="B108" s="84" t="s">
        <v>1573</v>
      </c>
      <c r="C108" s="1854" t="s">
        <v>1568</v>
      </c>
      <c r="D108" s="1854"/>
      <c r="E108" s="1855">
        <v>0</v>
      </c>
      <c r="F108" s="75"/>
      <c r="G108" s="51" t="s">
        <v>1007</v>
      </c>
      <c r="H108" s="75"/>
      <c r="I108" s="75">
        <v>1.5</v>
      </c>
      <c r="J108" s="75"/>
      <c r="K108" s="1676">
        <f t="shared" si="50"/>
        <v>0</v>
      </c>
      <c r="L108" s="1676"/>
      <c r="M108" s="75">
        <v>0.87</v>
      </c>
      <c r="N108" s="75"/>
      <c r="O108" s="75">
        <v>0.9</v>
      </c>
      <c r="P108" s="75"/>
      <c r="Q108" s="75">
        <v>1.6799999999999999E-2</v>
      </c>
      <c r="R108" s="75"/>
      <c r="S108" s="1676">
        <f t="shared" si="48"/>
        <v>0</v>
      </c>
      <c r="T108" s="261"/>
      <c r="U108" s="75">
        <v>0.03</v>
      </c>
      <c r="V108" s="75"/>
      <c r="W108" s="1676">
        <f t="shared" si="49"/>
        <v>0</v>
      </c>
      <c r="X108" s="75"/>
      <c r="Y108" s="75"/>
      <c r="Z108" s="1583"/>
      <c r="AA108" s="75"/>
      <c r="AB108" s="75"/>
      <c r="AC108" s="75"/>
      <c r="AD108" s="75"/>
      <c r="AE108" s="85"/>
      <c r="AF108" s="1"/>
      <c r="AG108" s="1"/>
      <c r="AH108" s="1"/>
      <c r="AI108" s="1"/>
      <c r="AJ108" s="1"/>
      <c r="AK108" s="1"/>
      <c r="AL108" s="1"/>
      <c r="AM108" s="1"/>
      <c r="AN108" s="1"/>
      <c r="AO108" s="1"/>
      <c r="AP108" s="1"/>
      <c r="AQ108" s="1"/>
      <c r="AR108" s="1"/>
      <c r="AS108" s="1"/>
      <c r="AT108" s="1"/>
      <c r="AU108" s="1"/>
      <c r="AV108" s="1"/>
      <c r="AW108" s="1"/>
      <c r="AX108" s="1"/>
      <c r="AY108" s="1"/>
      <c r="AZ108" s="1"/>
      <c r="BA108" s="1"/>
    </row>
    <row r="109" spans="1:53" ht="30" customHeight="1">
      <c r="A109" s="1"/>
      <c r="B109" s="1860" t="s">
        <v>1574</v>
      </c>
      <c r="C109" s="1854" t="s">
        <v>1568</v>
      </c>
      <c r="D109" s="1854"/>
      <c r="E109" s="1855">
        <v>0</v>
      </c>
      <c r="F109" s="75"/>
      <c r="G109" s="51" t="s">
        <v>1007</v>
      </c>
      <c r="H109" s="75"/>
      <c r="I109" s="75">
        <v>1.5</v>
      </c>
      <c r="J109" s="75"/>
      <c r="K109" s="1676">
        <f t="shared" si="50"/>
        <v>0</v>
      </c>
      <c r="L109" s="1676"/>
      <c r="M109" s="75">
        <v>0.87</v>
      </c>
      <c r="N109" s="75"/>
      <c r="O109" s="75">
        <v>0.9</v>
      </c>
      <c r="P109" s="75"/>
      <c r="Q109" s="75">
        <v>1.6799999999999999E-2</v>
      </c>
      <c r="R109" s="75"/>
      <c r="S109" s="1676">
        <f t="shared" si="48"/>
        <v>0</v>
      </c>
      <c r="T109" s="261"/>
      <c r="U109" s="75">
        <v>0.03</v>
      </c>
      <c r="V109" s="75"/>
      <c r="W109" s="1676">
        <f t="shared" si="49"/>
        <v>0</v>
      </c>
      <c r="X109" s="75"/>
      <c r="Y109" s="75"/>
      <c r="Z109" s="1583"/>
      <c r="AA109" s="75"/>
      <c r="AB109" s="75"/>
      <c r="AC109" s="75"/>
      <c r="AD109" s="75"/>
      <c r="AE109" s="85"/>
      <c r="AF109" s="1"/>
      <c r="AG109" s="1"/>
      <c r="AH109" s="1"/>
      <c r="AI109" s="1"/>
      <c r="AJ109" s="1"/>
      <c r="AK109" s="1"/>
      <c r="AL109" s="1"/>
      <c r="AM109" s="1"/>
      <c r="AN109" s="1"/>
      <c r="AO109" s="1"/>
      <c r="AP109" s="1"/>
      <c r="AQ109" s="1"/>
      <c r="AR109" s="1"/>
      <c r="AS109" s="1"/>
      <c r="AT109" s="1"/>
      <c r="AU109" s="1"/>
      <c r="AV109" s="1"/>
      <c r="AW109" s="1"/>
      <c r="AX109" s="1"/>
      <c r="AY109" s="1"/>
      <c r="AZ109" s="1"/>
      <c r="BA109" s="1"/>
    </row>
    <row r="110" spans="1:53" ht="30" customHeight="1">
      <c r="A110" s="1"/>
      <c r="B110" s="1860" t="s">
        <v>1575</v>
      </c>
      <c r="C110" s="1854" t="s">
        <v>1568</v>
      </c>
      <c r="D110" s="1854"/>
      <c r="E110" s="1855">
        <v>0</v>
      </c>
      <c r="F110" s="75"/>
      <c r="G110" s="51" t="s">
        <v>1007</v>
      </c>
      <c r="H110" s="75"/>
      <c r="I110" s="75">
        <v>2.1</v>
      </c>
      <c r="J110" s="75"/>
      <c r="K110" s="1676">
        <f t="shared" si="50"/>
        <v>0</v>
      </c>
      <c r="L110" s="1676"/>
      <c r="M110" s="75">
        <v>0.87</v>
      </c>
      <c r="N110" s="75"/>
      <c r="O110" s="75">
        <v>1.55</v>
      </c>
      <c r="P110" s="75"/>
      <c r="Q110" s="75">
        <v>1.6799999999999999E-2</v>
      </c>
      <c r="R110" s="75"/>
      <c r="S110" s="1676">
        <f t="shared" si="48"/>
        <v>0</v>
      </c>
      <c r="T110" s="261"/>
      <c r="U110" s="75">
        <v>0.03</v>
      </c>
      <c r="V110" s="75"/>
      <c r="W110" s="1676">
        <f t="shared" si="49"/>
        <v>0</v>
      </c>
      <c r="X110" s="75"/>
      <c r="Y110" s="1861"/>
      <c r="Z110" s="1583"/>
      <c r="AA110" s="75"/>
      <c r="AB110" s="75"/>
      <c r="AC110" s="75"/>
      <c r="AD110" s="75"/>
      <c r="AE110" s="85"/>
      <c r="AF110" s="1"/>
      <c r="AG110" s="1"/>
      <c r="AH110" s="1"/>
      <c r="AI110" s="1"/>
      <c r="AJ110" s="1"/>
      <c r="AK110" s="1"/>
      <c r="AL110" s="1"/>
      <c r="AM110" s="1"/>
      <c r="AN110" s="1"/>
      <c r="AO110" s="1"/>
      <c r="AP110" s="1"/>
      <c r="AQ110" s="1"/>
      <c r="AR110" s="1"/>
      <c r="AS110" s="1"/>
      <c r="AT110" s="1"/>
      <c r="AU110" s="1"/>
      <c r="AV110" s="1"/>
      <c r="AW110" s="1"/>
      <c r="AX110" s="1"/>
      <c r="AY110" s="1"/>
      <c r="AZ110" s="1"/>
      <c r="BA110" s="1"/>
    </row>
    <row r="111" spans="1:53" ht="30" customHeight="1">
      <c r="A111" s="1"/>
      <c r="B111" s="1860" t="s">
        <v>1576</v>
      </c>
      <c r="C111" s="1854" t="s">
        <v>1568</v>
      </c>
      <c r="D111" s="1854"/>
      <c r="E111" s="1855">
        <v>0</v>
      </c>
      <c r="F111" s="75"/>
      <c r="G111" s="51" t="s">
        <v>1007</v>
      </c>
      <c r="H111" s="75"/>
      <c r="I111" s="75">
        <v>1.5</v>
      </c>
      <c r="J111" s="75"/>
      <c r="K111" s="1676">
        <f t="shared" si="50"/>
        <v>0</v>
      </c>
      <c r="L111" s="1676"/>
      <c r="M111" s="75">
        <v>0.87</v>
      </c>
      <c r="N111" s="75"/>
      <c r="O111" s="75">
        <v>0.9</v>
      </c>
      <c r="P111" s="75"/>
      <c r="Q111" s="75">
        <v>1.6799999999999999E-2</v>
      </c>
      <c r="R111" s="75"/>
      <c r="S111" s="1676">
        <f t="shared" si="48"/>
        <v>0</v>
      </c>
      <c r="T111" s="261"/>
      <c r="U111" s="75">
        <v>0.03</v>
      </c>
      <c r="V111" s="75"/>
      <c r="W111" s="1676">
        <f t="shared" si="49"/>
        <v>0</v>
      </c>
      <c r="X111" s="75"/>
      <c r="Y111" s="1861"/>
      <c r="Z111" s="1583"/>
      <c r="AA111" s="75"/>
      <c r="AB111" s="75"/>
      <c r="AC111" s="75"/>
      <c r="AD111" s="75"/>
      <c r="AE111" s="85"/>
      <c r="AF111" s="1"/>
      <c r="AG111" s="1"/>
      <c r="AH111" s="1"/>
      <c r="AI111" s="1"/>
      <c r="AJ111" s="1"/>
      <c r="AK111" s="1"/>
      <c r="AL111" s="1"/>
      <c r="AM111" s="1"/>
      <c r="AN111" s="1"/>
      <c r="AO111" s="1"/>
      <c r="AP111" s="1"/>
      <c r="AQ111" s="1"/>
      <c r="AR111" s="1"/>
      <c r="AS111" s="1"/>
      <c r="AT111" s="1"/>
      <c r="AU111" s="1"/>
      <c r="AV111" s="1"/>
      <c r="AW111" s="1"/>
      <c r="AX111" s="1"/>
      <c r="AY111" s="1"/>
      <c r="AZ111" s="1"/>
      <c r="BA111" s="1"/>
    </row>
    <row r="112" spans="1:53" ht="15.75" customHeight="1">
      <c r="A112" s="1"/>
      <c r="B112" s="1860" t="s">
        <v>1577</v>
      </c>
      <c r="C112" s="1854" t="s">
        <v>1032</v>
      </c>
      <c r="D112" s="1854"/>
      <c r="E112" s="1859"/>
      <c r="F112" s="75"/>
      <c r="G112" s="51" t="s">
        <v>1007</v>
      </c>
      <c r="H112" s="75"/>
      <c r="I112" s="75"/>
      <c r="J112" s="75"/>
      <c r="K112" s="1676">
        <f t="shared" ref="K112:K116" si="51">E112</f>
        <v>0</v>
      </c>
      <c r="L112" s="261"/>
      <c r="M112" s="75"/>
      <c r="N112" s="75"/>
      <c r="O112" s="75"/>
      <c r="P112" s="75"/>
      <c r="Q112" s="75"/>
      <c r="R112" s="75"/>
      <c r="S112" s="1676" t="s">
        <v>1007</v>
      </c>
      <c r="T112" s="261"/>
      <c r="U112" s="75">
        <v>0.03</v>
      </c>
      <c r="V112" s="75"/>
      <c r="W112" s="1676">
        <f t="shared" si="49"/>
        <v>0</v>
      </c>
      <c r="X112" s="75"/>
      <c r="Y112" s="1861"/>
      <c r="Z112" s="1583"/>
      <c r="AA112" s="75"/>
      <c r="AB112" s="75"/>
      <c r="AC112" s="75"/>
      <c r="AD112" s="75"/>
      <c r="AE112" s="85"/>
      <c r="AF112" s="1"/>
      <c r="AG112" s="1"/>
      <c r="AH112" s="1"/>
      <c r="AI112" s="1"/>
      <c r="AJ112" s="1"/>
      <c r="AK112" s="1"/>
      <c r="AL112" s="1"/>
      <c r="AM112" s="1"/>
      <c r="AN112" s="1"/>
      <c r="AO112" s="1"/>
      <c r="AP112" s="1"/>
      <c r="AQ112" s="1"/>
      <c r="AR112" s="1"/>
      <c r="AS112" s="1"/>
      <c r="AT112" s="1"/>
      <c r="AU112" s="1"/>
      <c r="AV112" s="1"/>
      <c r="AW112" s="1"/>
      <c r="AX112" s="1"/>
      <c r="AY112" s="1"/>
      <c r="AZ112" s="1"/>
      <c r="BA112" s="1"/>
    </row>
    <row r="113" spans="1:53" ht="15.75" customHeight="1">
      <c r="A113" s="1"/>
      <c r="B113" s="1860" t="s">
        <v>1578</v>
      </c>
      <c r="C113" s="1854" t="s">
        <v>1032</v>
      </c>
      <c r="D113" s="1854"/>
      <c r="E113" s="1859"/>
      <c r="F113" s="75"/>
      <c r="G113" s="51" t="s">
        <v>1007</v>
      </c>
      <c r="H113" s="75"/>
      <c r="I113" s="75"/>
      <c r="J113" s="75"/>
      <c r="K113" s="1676">
        <f t="shared" si="51"/>
        <v>0</v>
      </c>
      <c r="L113" s="261"/>
      <c r="M113" s="75"/>
      <c r="N113" s="75"/>
      <c r="O113" s="75"/>
      <c r="P113" s="75"/>
      <c r="Q113" s="75"/>
      <c r="R113" s="75"/>
      <c r="S113" s="1676" t="s">
        <v>1007</v>
      </c>
      <c r="T113" s="261"/>
      <c r="U113" s="75">
        <v>0.03</v>
      </c>
      <c r="V113" s="75"/>
      <c r="W113" s="1676">
        <f t="shared" si="49"/>
        <v>0</v>
      </c>
      <c r="X113" s="75"/>
      <c r="Y113" s="1861"/>
      <c r="Z113" s="1583"/>
      <c r="AA113" s="75"/>
      <c r="AB113" s="75"/>
      <c r="AC113" s="75"/>
      <c r="AD113" s="75"/>
      <c r="AE113" s="85"/>
      <c r="AF113" s="1"/>
      <c r="AG113" s="1"/>
      <c r="AH113" s="1"/>
      <c r="AI113" s="1"/>
      <c r="AJ113" s="1"/>
      <c r="AK113" s="1"/>
      <c r="AL113" s="1"/>
      <c r="AM113" s="1"/>
      <c r="AN113" s="1"/>
      <c r="AO113" s="1"/>
      <c r="AP113" s="1"/>
      <c r="AQ113" s="1"/>
      <c r="AR113" s="1"/>
      <c r="AS113" s="1"/>
      <c r="AT113" s="1"/>
      <c r="AU113" s="1"/>
      <c r="AV113" s="1"/>
      <c r="AW113" s="1"/>
      <c r="AX113" s="1"/>
      <c r="AY113" s="1"/>
      <c r="AZ113" s="1"/>
      <c r="BA113" s="1"/>
    </row>
    <row r="114" spans="1:53" ht="15.75" customHeight="1">
      <c r="A114" s="1"/>
      <c r="B114" s="1860" t="s">
        <v>1579</v>
      </c>
      <c r="C114" s="1854" t="s">
        <v>1032</v>
      </c>
      <c r="D114" s="1854"/>
      <c r="E114" s="1859"/>
      <c r="F114" s="75"/>
      <c r="G114" s="51" t="s">
        <v>1007</v>
      </c>
      <c r="H114" s="75"/>
      <c r="I114" s="75"/>
      <c r="J114" s="75"/>
      <c r="K114" s="1676">
        <f t="shared" si="51"/>
        <v>0</v>
      </c>
      <c r="L114" s="261"/>
      <c r="M114" s="75"/>
      <c r="N114" s="75"/>
      <c r="O114" s="75"/>
      <c r="P114" s="75"/>
      <c r="Q114" s="75"/>
      <c r="R114" s="75"/>
      <c r="S114" s="1676" t="s">
        <v>1007</v>
      </c>
      <c r="T114" s="261"/>
      <c r="U114" s="75">
        <v>0.03</v>
      </c>
      <c r="V114" s="75"/>
      <c r="W114" s="1676">
        <f t="shared" si="49"/>
        <v>0</v>
      </c>
      <c r="X114" s="75"/>
      <c r="Y114" s="1861"/>
      <c r="Z114" s="1583"/>
      <c r="AA114" s="75"/>
      <c r="AB114" s="75"/>
      <c r="AC114" s="75"/>
      <c r="AD114" s="75"/>
      <c r="AE114" s="85"/>
      <c r="AF114" s="1"/>
      <c r="AG114" s="1"/>
      <c r="AH114" s="1"/>
      <c r="AI114" s="1"/>
      <c r="AJ114" s="1"/>
      <c r="AK114" s="1"/>
      <c r="AL114" s="1"/>
      <c r="AM114" s="1"/>
      <c r="AN114" s="1"/>
      <c r="AO114" s="1"/>
      <c r="AP114" s="1"/>
      <c r="AQ114" s="1"/>
      <c r="AR114" s="1"/>
      <c r="AS114" s="1"/>
      <c r="AT114" s="1"/>
      <c r="AU114" s="1"/>
      <c r="AV114" s="1"/>
      <c r="AW114" s="1"/>
      <c r="AX114" s="1"/>
      <c r="AY114" s="1"/>
      <c r="AZ114" s="1"/>
      <c r="BA114" s="1"/>
    </row>
    <row r="115" spans="1:53" ht="15.75" customHeight="1">
      <c r="A115" s="1"/>
      <c r="B115" s="1860" t="s">
        <v>1580</v>
      </c>
      <c r="C115" s="1854" t="s">
        <v>1032</v>
      </c>
      <c r="D115" s="1854"/>
      <c r="E115" s="1859"/>
      <c r="F115" s="75"/>
      <c r="G115" s="51" t="s">
        <v>1007</v>
      </c>
      <c r="H115" s="75"/>
      <c r="I115" s="75"/>
      <c r="J115" s="75"/>
      <c r="K115" s="1676">
        <f t="shared" si="51"/>
        <v>0</v>
      </c>
      <c r="L115" s="261"/>
      <c r="M115" s="75"/>
      <c r="N115" s="75"/>
      <c r="O115" s="75"/>
      <c r="P115" s="75"/>
      <c r="Q115" s="75"/>
      <c r="R115" s="75"/>
      <c r="S115" s="1676" t="s">
        <v>1007</v>
      </c>
      <c r="T115" s="261"/>
      <c r="U115" s="75">
        <v>0.03</v>
      </c>
      <c r="V115" s="75"/>
      <c r="W115" s="1676">
        <f t="shared" si="49"/>
        <v>0</v>
      </c>
      <c r="X115" s="75"/>
      <c r="Y115" s="1861"/>
      <c r="Z115" s="1583"/>
      <c r="AA115" s="75"/>
      <c r="AB115" s="75"/>
      <c r="AC115" s="75"/>
      <c r="AD115" s="75"/>
      <c r="AE115" s="85"/>
      <c r="AF115" s="1"/>
      <c r="AG115" s="1"/>
      <c r="AH115" s="1"/>
      <c r="AI115" s="1"/>
      <c r="AJ115" s="1"/>
      <c r="AK115" s="1"/>
      <c r="AL115" s="1"/>
      <c r="AM115" s="1"/>
      <c r="AN115" s="1"/>
      <c r="AO115" s="1"/>
      <c r="AP115" s="1"/>
      <c r="AQ115" s="1"/>
      <c r="AR115" s="1"/>
      <c r="AS115" s="1"/>
      <c r="AT115" s="1"/>
      <c r="AU115" s="1"/>
      <c r="AV115" s="1"/>
      <c r="AW115" s="1"/>
      <c r="AX115" s="1"/>
      <c r="AY115" s="1"/>
      <c r="AZ115" s="1"/>
      <c r="BA115" s="1"/>
    </row>
    <row r="116" spans="1:53" ht="15.75" customHeight="1">
      <c r="A116" s="1"/>
      <c r="B116" s="1860" t="s">
        <v>1581</v>
      </c>
      <c r="C116" s="1854" t="s">
        <v>1032</v>
      </c>
      <c r="D116" s="1854"/>
      <c r="E116" s="1859"/>
      <c r="F116" s="75"/>
      <c r="G116" s="51" t="s">
        <v>1007</v>
      </c>
      <c r="H116" s="75"/>
      <c r="I116" s="75"/>
      <c r="J116" s="75"/>
      <c r="K116" s="1676">
        <f t="shared" si="51"/>
        <v>0</v>
      </c>
      <c r="L116" s="261"/>
      <c r="M116" s="75"/>
      <c r="N116" s="75"/>
      <c r="O116" s="75"/>
      <c r="P116" s="75"/>
      <c r="Q116" s="75"/>
      <c r="R116" s="75"/>
      <c r="S116" s="1676" t="s">
        <v>1007</v>
      </c>
      <c r="T116" s="261"/>
      <c r="U116" s="75">
        <v>0.03</v>
      </c>
      <c r="V116" s="75"/>
      <c r="W116" s="1676">
        <f t="shared" si="49"/>
        <v>0</v>
      </c>
      <c r="X116" s="75"/>
      <c r="Y116" s="1861"/>
      <c r="Z116" s="1583"/>
      <c r="AA116" s="75"/>
      <c r="AB116" s="75"/>
      <c r="AC116" s="75"/>
      <c r="AD116" s="75"/>
      <c r="AE116" s="85"/>
      <c r="AF116" s="1"/>
      <c r="AG116" s="1"/>
      <c r="AH116" s="1"/>
      <c r="AI116" s="1"/>
      <c r="AJ116" s="1"/>
      <c r="AK116" s="1"/>
      <c r="AL116" s="1"/>
      <c r="AM116" s="1"/>
      <c r="AN116" s="1"/>
      <c r="AO116" s="1"/>
      <c r="AP116" s="1"/>
      <c r="AQ116" s="1"/>
      <c r="AR116" s="1"/>
      <c r="AS116" s="1"/>
      <c r="AT116" s="1"/>
      <c r="AU116" s="1"/>
      <c r="AV116" s="1"/>
      <c r="AW116" s="1"/>
      <c r="AX116" s="1"/>
      <c r="AY116" s="1"/>
      <c r="AZ116" s="1"/>
      <c r="BA116" s="1"/>
    </row>
    <row r="117" spans="1:53" ht="15.75" customHeight="1">
      <c r="A117" s="1"/>
      <c r="B117" s="1758" t="s">
        <v>1502</v>
      </c>
      <c r="C117" s="1862"/>
      <c r="D117" s="1862"/>
      <c r="E117" s="1764"/>
      <c r="F117" s="1764"/>
      <c r="G117" s="1764"/>
      <c r="H117" s="1764"/>
      <c r="I117" s="1764"/>
      <c r="J117" s="1764"/>
      <c r="K117" s="1863">
        <f>SUM(K96:K116)</f>
        <v>2208787.3135473048</v>
      </c>
      <c r="L117" s="1863"/>
      <c r="M117" s="1763"/>
      <c r="N117" s="1764"/>
      <c r="O117" s="1764"/>
      <c r="P117" s="1764"/>
      <c r="Q117" s="1764"/>
      <c r="R117" s="1764"/>
      <c r="S117" s="1863">
        <f>SUM(S96:S111)</f>
        <v>26869637.086537462</v>
      </c>
      <c r="T117" s="1864"/>
      <c r="U117" s="1764"/>
      <c r="V117" s="1764"/>
      <c r="W117" s="1865">
        <f>SUM(W96:W116)</f>
        <v>42661497.524547033</v>
      </c>
      <c r="X117" s="1764"/>
      <c r="Y117" s="1764"/>
      <c r="Z117" s="1866"/>
      <c r="AA117" s="1764"/>
      <c r="AB117" s="1764"/>
      <c r="AC117" s="1764"/>
      <c r="AD117" s="1764"/>
      <c r="AE117" s="1867"/>
      <c r="AF117" s="1"/>
      <c r="AG117" s="1"/>
      <c r="AH117" s="1"/>
      <c r="AI117" s="1"/>
      <c r="AJ117" s="1"/>
      <c r="AK117" s="1"/>
      <c r="AL117" s="1"/>
      <c r="AM117" s="1"/>
      <c r="AN117" s="1"/>
      <c r="AO117" s="1"/>
      <c r="AP117" s="1"/>
      <c r="AQ117" s="1"/>
      <c r="AR117" s="1"/>
      <c r="AS117" s="1"/>
      <c r="AT117" s="1"/>
      <c r="AU117" s="1"/>
      <c r="AV117" s="1"/>
      <c r="AW117" s="1"/>
      <c r="AX117" s="1"/>
      <c r="AY117" s="1"/>
      <c r="AZ117" s="1"/>
      <c r="BA117" s="1"/>
    </row>
    <row r="118" spans="1:53" ht="15.75" customHeight="1">
      <c r="A118" s="1"/>
      <c r="B118" s="41"/>
      <c r="C118" s="41"/>
      <c r="D118" s="41"/>
      <c r="E118" s="1"/>
      <c r="F118" s="1"/>
      <c r="G118" s="1"/>
      <c r="H118" s="1"/>
      <c r="I118" s="1"/>
      <c r="J118" s="1"/>
      <c r="K118" s="1868"/>
      <c r="L118" s="1868"/>
      <c r="M118" s="1183"/>
      <c r="N118" s="1"/>
      <c r="O118" s="1"/>
      <c r="P118" s="1"/>
      <c r="Q118" s="1"/>
      <c r="R118" s="1"/>
      <c r="S118" s="1868"/>
      <c r="T118" s="86"/>
      <c r="U118" s="1"/>
      <c r="V118" s="1"/>
      <c r="W118" s="1869"/>
      <c r="X118" s="1"/>
      <c r="Y118" s="1"/>
      <c r="Z118" s="1547"/>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row>
    <row r="119" spans="1:53" ht="15.75" customHeight="1">
      <c r="A119" s="1"/>
      <c r="B119" s="41"/>
      <c r="C119" s="41"/>
      <c r="D119" s="41"/>
      <c r="E119" s="1"/>
      <c r="F119" s="1"/>
      <c r="G119" s="1"/>
      <c r="H119" s="1"/>
      <c r="I119" s="1"/>
      <c r="J119" s="1"/>
      <c r="K119" s="1868"/>
      <c r="L119" s="1868"/>
      <c r="M119" s="1183"/>
      <c r="N119" s="1"/>
      <c r="O119" s="1"/>
      <c r="P119" s="1"/>
      <c r="Q119" s="1"/>
      <c r="R119" s="1"/>
      <c r="S119" s="1868"/>
      <c r="T119" s="86"/>
      <c r="U119" s="1"/>
      <c r="V119" s="1"/>
      <c r="W119" s="1869"/>
      <c r="X119" s="1"/>
      <c r="Y119" s="1"/>
      <c r="Z119" s="1547"/>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row>
    <row r="120" spans="1:53" ht="15.75" customHeight="1">
      <c r="A120" s="1"/>
      <c r="B120" s="1744"/>
      <c r="C120" s="1648"/>
      <c r="D120" s="1648"/>
      <c r="E120" s="1648"/>
      <c r="F120" s="1648"/>
      <c r="G120" s="1766"/>
      <c r="H120" s="1272"/>
      <c r="I120" s="1767"/>
      <c r="J120" s="1272"/>
      <c r="K120" s="1768"/>
      <c r="L120" s="39"/>
      <c r="M120" s="1768"/>
      <c r="N120" s="39"/>
      <c r="O120" s="39"/>
      <c r="P120" s="39"/>
      <c r="Q120" s="39"/>
      <c r="R120" s="39"/>
      <c r="S120" s="39"/>
      <c r="T120" s="39"/>
      <c r="U120" s="39"/>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row>
    <row r="121" spans="1:53" ht="15.75" customHeight="1">
      <c r="A121" s="48"/>
      <c r="B121" s="1826" t="s">
        <v>1582</v>
      </c>
      <c r="C121" s="1827"/>
      <c r="D121" s="1827"/>
      <c r="E121" s="1827"/>
      <c r="F121" s="1828"/>
      <c r="G121" s="1829"/>
      <c r="H121" s="1830"/>
      <c r="I121" s="1831"/>
      <c r="J121" s="1830"/>
      <c r="K121" s="1832"/>
      <c r="L121" s="1833"/>
      <c r="M121" s="1832"/>
      <c r="N121" s="1833"/>
      <c r="O121" s="1833"/>
      <c r="P121" s="1833"/>
      <c r="Q121" s="1833"/>
      <c r="R121" s="1833"/>
      <c r="S121" s="1833"/>
      <c r="T121" s="1833"/>
      <c r="U121" s="1833"/>
      <c r="V121" s="1833"/>
      <c r="W121" s="1833"/>
      <c r="X121" s="1833"/>
      <c r="Y121" s="1834"/>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row>
    <row r="122" spans="1:53" ht="15.75" customHeight="1">
      <c r="A122" s="1"/>
      <c r="B122" s="1870" t="s">
        <v>1583</v>
      </c>
      <c r="C122" s="1871">
        <v>2011</v>
      </c>
      <c r="D122" s="254"/>
      <c r="E122" s="254"/>
      <c r="F122" s="254"/>
      <c r="G122" s="254"/>
      <c r="H122" s="254"/>
      <c r="I122" s="254"/>
      <c r="J122" s="254"/>
      <c r="K122" s="254"/>
      <c r="L122" s="254"/>
      <c r="M122" s="254"/>
      <c r="N122" s="1"/>
      <c r="O122" s="1"/>
      <c r="P122" s="1"/>
      <c r="Q122" s="1"/>
      <c r="R122" s="1"/>
      <c r="S122" s="1"/>
      <c r="T122" s="1"/>
      <c r="U122" s="1"/>
      <c r="V122" s="39"/>
      <c r="W122" s="39"/>
      <c r="X122" s="39"/>
      <c r="Y122" s="56"/>
      <c r="Z122" s="1"/>
      <c r="AA122" s="1"/>
      <c r="AB122" s="1"/>
      <c r="AC122" s="1"/>
      <c r="AD122" s="1"/>
      <c r="AE122" s="50"/>
      <c r="AF122" s="1"/>
      <c r="AG122" s="1"/>
      <c r="AH122" s="1"/>
      <c r="AI122" s="1"/>
      <c r="AJ122" s="1"/>
      <c r="AK122" s="1"/>
      <c r="AL122" s="1"/>
      <c r="AM122" s="1"/>
      <c r="AN122" s="1"/>
      <c r="AO122" s="1"/>
      <c r="AP122" s="1"/>
      <c r="AQ122" s="1"/>
      <c r="AR122" s="1"/>
      <c r="AS122" s="1"/>
      <c r="AT122" s="1"/>
      <c r="AU122" s="1"/>
      <c r="AV122" s="1"/>
      <c r="AW122" s="1"/>
      <c r="AX122" s="1"/>
      <c r="AY122" s="1"/>
      <c r="AZ122" s="1"/>
      <c r="BA122" s="1"/>
    </row>
    <row r="123" spans="1:53" ht="45" customHeight="1">
      <c r="A123" s="87"/>
      <c r="B123" s="1872" t="s">
        <v>1584</v>
      </c>
      <c r="C123" s="1873" t="s">
        <v>1585</v>
      </c>
      <c r="D123" s="1873"/>
      <c r="E123" s="1874" t="s">
        <v>1586</v>
      </c>
      <c r="F123" s="1875"/>
      <c r="G123" s="1876" t="s">
        <v>1587</v>
      </c>
      <c r="H123" s="1877"/>
      <c r="I123" s="1878" t="s">
        <v>1588</v>
      </c>
      <c r="J123" s="1877"/>
      <c r="K123" s="1873" t="s">
        <v>1589</v>
      </c>
      <c r="L123" s="1873"/>
      <c r="M123" s="1873" t="s">
        <v>1590</v>
      </c>
      <c r="N123" s="1873"/>
      <c r="O123" s="1876" t="s">
        <v>1591</v>
      </c>
      <c r="P123" s="1873"/>
      <c r="Q123" s="1876" t="s">
        <v>1592</v>
      </c>
      <c r="R123" s="1879"/>
      <c r="S123" s="1880" t="s">
        <v>1593</v>
      </c>
      <c r="T123" s="1879"/>
      <c r="U123" s="1880" t="s">
        <v>1594</v>
      </c>
      <c r="V123" s="1879"/>
      <c r="W123" s="1876" t="s">
        <v>1595</v>
      </c>
      <c r="X123" s="1877"/>
      <c r="Y123" s="1881" t="s">
        <v>1596</v>
      </c>
      <c r="Z123" s="87"/>
      <c r="AA123" s="87"/>
      <c r="AB123" s="87"/>
      <c r="AC123" s="87"/>
      <c r="AD123" s="87"/>
      <c r="AE123" s="87"/>
      <c r="AF123" s="87"/>
      <c r="AG123" s="87"/>
      <c r="AH123" s="87"/>
      <c r="AI123" s="87"/>
      <c r="AJ123" s="87"/>
      <c r="AK123" s="87"/>
      <c r="AL123" s="87"/>
      <c r="AM123" s="87"/>
      <c r="AN123" s="87"/>
      <c r="AO123" s="87"/>
      <c r="AP123" s="87"/>
      <c r="AQ123" s="87"/>
      <c r="AR123" s="87"/>
      <c r="AS123" s="87"/>
      <c r="AT123" s="87"/>
      <c r="AU123" s="87"/>
      <c r="AV123" s="87"/>
      <c r="AW123" s="87"/>
      <c r="AX123" s="87"/>
      <c r="AY123" s="87"/>
      <c r="AZ123" s="87"/>
      <c r="BA123" s="87"/>
    </row>
    <row r="124" spans="1:53" ht="15.75" customHeight="1">
      <c r="A124" s="1"/>
      <c r="B124" s="1882" t="s">
        <v>1597</v>
      </c>
      <c r="C124" s="1883">
        <f>40660.39*907.2</f>
        <v>36887105.807999998</v>
      </c>
      <c r="D124" s="49"/>
      <c r="E124" s="1884">
        <f>$C140*0.35+$C124*0.65</f>
        <v>33945254.431199998</v>
      </c>
      <c r="F124" s="1885"/>
      <c r="G124" s="1886">
        <v>0.1</v>
      </c>
      <c r="H124" s="75"/>
      <c r="I124" s="75"/>
      <c r="J124" s="75"/>
      <c r="K124" s="1887">
        <f>($E124*(1-G124))</f>
        <v>30550728.988079999</v>
      </c>
      <c r="L124" s="1887"/>
      <c r="M124" s="1887">
        <f>($E124*G124)</f>
        <v>3394525.44312</v>
      </c>
      <c r="N124" s="1887"/>
      <c r="O124" s="1680">
        <f>(K124+K125)/1000*0.01*44/28</f>
        <v>493.6067891555428</v>
      </c>
      <c r="P124" s="1887"/>
      <c r="Q124" s="1680">
        <f>(M124+M125)/1000*0.01*44/28</f>
        <v>56.723518941885722</v>
      </c>
      <c r="R124" s="1888"/>
      <c r="S124" s="1889">
        <f>O124*$Z$8*12/44*10^-6</f>
        <v>3.5674308852605141E-2</v>
      </c>
      <c r="T124" s="1890"/>
      <c r="U124" s="1889">
        <f>Q124*$Z$8*12/44*10^-6</f>
        <v>4.0995634144362853E-3</v>
      </c>
      <c r="V124" s="1888"/>
      <c r="W124" s="1891">
        <f>S124/(12/44)</f>
        <v>0.13080579912621887</v>
      </c>
      <c r="X124" s="706"/>
      <c r="Y124" s="1858">
        <f>U124/(12/44)</f>
        <v>1.5031732519599713E-2</v>
      </c>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row>
    <row r="125" spans="1:53" ht="15.75" customHeight="1">
      <c r="A125" s="1"/>
      <c r="B125" s="1882" t="s">
        <v>1598</v>
      </c>
      <c r="C125" s="1676">
        <f>E125</f>
        <v>26724473</v>
      </c>
      <c r="D125" s="1676"/>
      <c r="E125" s="1884">
        <f>SUM(E126:E132)</f>
        <v>26724473</v>
      </c>
      <c r="F125" s="1892"/>
      <c r="G125" s="1893">
        <v>0.2</v>
      </c>
      <c r="H125" s="263"/>
      <c r="I125" s="263">
        <v>4.1000000000000002E-2</v>
      </c>
      <c r="J125" s="263"/>
      <c r="K125" s="1894">
        <f>$E134*I125*(1-G125)</f>
        <v>860612.14000000013</v>
      </c>
      <c r="L125" s="1894"/>
      <c r="M125" s="1894">
        <f>$E134*G125*(I125)</f>
        <v>215153.035</v>
      </c>
      <c r="N125" s="1894"/>
      <c r="O125" s="1894"/>
      <c r="P125" s="1894"/>
      <c r="Q125" s="1894"/>
      <c r="R125" s="1895"/>
      <c r="S125" s="1895"/>
      <c r="T125" s="1895"/>
      <c r="U125" s="1895"/>
      <c r="V125" s="1895"/>
      <c r="W125" s="1895"/>
      <c r="X125" s="263"/>
      <c r="Y125" s="265"/>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row>
    <row r="126" spans="1:53" ht="15.75" customHeight="1">
      <c r="A126" s="1"/>
      <c r="B126" s="922" t="s">
        <v>1599</v>
      </c>
      <c r="C126" s="1883"/>
      <c r="D126" s="49"/>
      <c r="E126" s="1884">
        <f t="shared" ref="E126:E127" si="52">$C126*0.65+$C142*0.35</f>
        <v>0</v>
      </c>
      <c r="F126" s="254"/>
      <c r="G126" s="1175"/>
      <c r="H126" s="254"/>
      <c r="I126" s="1"/>
      <c r="J126" s="1"/>
      <c r="K126" s="1175"/>
      <c r="L126" s="1175"/>
      <c r="M126" s="1175"/>
      <c r="N126" s="1175"/>
      <c r="O126" s="1175"/>
      <c r="P126" s="50"/>
      <c r="Q126" s="50"/>
      <c r="R126" s="50"/>
      <c r="S126" s="50"/>
      <c r="T126" s="50"/>
      <c r="U126" s="50"/>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row>
    <row r="127" spans="1:53" ht="15.75" customHeight="1">
      <c r="A127" s="1"/>
      <c r="B127" s="922" t="s">
        <v>1600</v>
      </c>
      <c r="C127" s="1883"/>
      <c r="D127" s="49"/>
      <c r="E127" s="1884">
        <f t="shared" si="52"/>
        <v>0</v>
      </c>
      <c r="F127" s="254"/>
      <c r="G127" s="254"/>
      <c r="H127" s="254"/>
      <c r="I127" s="1175"/>
      <c r="J127" s="1175"/>
      <c r="K127" s="1175"/>
      <c r="L127" s="1175"/>
      <c r="M127" s="1175"/>
      <c r="N127" s="50"/>
      <c r="O127" s="50"/>
      <c r="P127" s="50"/>
      <c r="Q127" s="50"/>
      <c r="R127" s="50"/>
      <c r="S127" s="50"/>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row>
    <row r="128" spans="1:53" ht="15.75" customHeight="1">
      <c r="A128" s="1"/>
      <c r="B128" s="922" t="s">
        <v>1601</v>
      </c>
      <c r="C128" s="1883">
        <v>486298</v>
      </c>
      <c r="D128" s="49"/>
      <c r="E128" s="1884">
        <f t="shared" ref="E128:E129" si="53">C128</f>
        <v>486298</v>
      </c>
      <c r="F128" s="254"/>
      <c r="G128" s="254"/>
      <c r="H128" s="254"/>
      <c r="I128" s="1175"/>
      <c r="J128" s="1175"/>
      <c r="K128" s="1175"/>
      <c r="L128" s="1175"/>
      <c r="M128" s="1175"/>
      <c r="N128" s="50"/>
      <c r="O128" s="50"/>
      <c r="P128" s="50"/>
      <c r="Q128" s="50"/>
      <c r="R128" s="50"/>
      <c r="S128" s="50"/>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row>
    <row r="129" spans="1:81" ht="15.75" customHeight="1">
      <c r="A129" s="1"/>
      <c r="B129" s="922" t="s">
        <v>1602</v>
      </c>
      <c r="C129" s="1883">
        <v>25853131</v>
      </c>
      <c r="D129" s="49"/>
      <c r="E129" s="1884">
        <f t="shared" si="53"/>
        <v>25853131</v>
      </c>
      <c r="F129" s="254"/>
      <c r="G129" s="254"/>
      <c r="H129" s="254"/>
      <c r="I129" s="1175"/>
      <c r="J129" s="1175"/>
      <c r="K129" s="1175"/>
      <c r="L129" s="1175"/>
      <c r="M129" s="1175"/>
      <c r="N129" s="50"/>
      <c r="O129" s="50"/>
      <c r="P129" s="50"/>
      <c r="Q129" s="50"/>
      <c r="R129" s="50"/>
      <c r="S129" s="50"/>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row>
    <row r="130" spans="1:81" ht="15.75" customHeight="1">
      <c r="A130" s="1"/>
      <c r="B130" s="922" t="s">
        <v>1603</v>
      </c>
      <c r="C130" s="1883"/>
      <c r="D130" s="49"/>
      <c r="E130" s="1884">
        <f t="shared" ref="E130:E131" si="54">$C130*0.65+$C146*0.35</f>
        <v>0</v>
      </c>
      <c r="F130" s="254"/>
      <c r="G130" s="254"/>
      <c r="H130" s="254"/>
      <c r="I130" s="1175"/>
      <c r="J130" s="1175"/>
      <c r="K130" s="1175"/>
      <c r="L130" s="1175"/>
      <c r="M130" s="1175"/>
      <c r="N130" s="50"/>
      <c r="O130" s="50"/>
      <c r="P130" s="50"/>
      <c r="Q130" s="50"/>
      <c r="R130" s="50"/>
      <c r="S130" s="50"/>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row>
    <row r="131" spans="1:81" ht="15.75" customHeight="1">
      <c r="A131" s="1"/>
      <c r="B131" s="922" t="s">
        <v>1604</v>
      </c>
      <c r="C131" s="1883"/>
      <c r="D131" s="49"/>
      <c r="E131" s="1884">
        <f t="shared" si="54"/>
        <v>0</v>
      </c>
      <c r="F131" s="254"/>
      <c r="G131" s="254"/>
      <c r="H131" s="254"/>
      <c r="I131" s="1175"/>
      <c r="J131" s="1175"/>
      <c r="K131" s="1175"/>
      <c r="L131" s="1175"/>
      <c r="M131" s="1175"/>
      <c r="N131" s="50"/>
      <c r="O131" s="50"/>
      <c r="P131" s="50"/>
      <c r="Q131" s="50"/>
      <c r="R131" s="50"/>
      <c r="S131" s="50"/>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row>
    <row r="132" spans="1:81" ht="15.75" customHeight="1">
      <c r="A132" s="1"/>
      <c r="B132" s="922" t="s">
        <v>1605</v>
      </c>
      <c r="C132" s="1883">
        <v>385044</v>
      </c>
      <c r="D132" s="49"/>
      <c r="E132" s="1884">
        <f>C132</f>
        <v>385044</v>
      </c>
      <c r="F132" s="254"/>
      <c r="G132" s="254"/>
      <c r="H132" s="254"/>
      <c r="I132" s="1175"/>
      <c r="J132" s="1896"/>
      <c r="K132" s="1175"/>
      <c r="L132" s="1175"/>
      <c r="M132" s="1175"/>
      <c r="N132" s="50"/>
      <c r="O132" s="50"/>
      <c r="P132" s="50"/>
      <c r="Q132" s="50"/>
      <c r="R132" s="50"/>
      <c r="S132" s="50"/>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row>
    <row r="133" spans="1:81" ht="15.75" customHeight="1">
      <c r="A133" s="1"/>
      <c r="B133" s="1897" t="s">
        <v>1606</v>
      </c>
      <c r="C133" s="1460">
        <f>C128/C125</f>
        <v>1.81967292675893E-2</v>
      </c>
      <c r="D133" s="49"/>
      <c r="E133" s="1898">
        <f>IF(E125=0,0,E128/E125)</f>
        <v>1.81967292675893E-2</v>
      </c>
      <c r="F133" s="254"/>
      <c r="G133" s="254"/>
      <c r="H133" s="254"/>
      <c r="I133" s="254"/>
      <c r="J133" s="254"/>
      <c r="K133" s="254"/>
      <c r="L133" s="254"/>
      <c r="M133" s="254"/>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row>
    <row r="134" spans="1:81" ht="15.75" customHeight="1">
      <c r="A134" s="1"/>
      <c r="B134" s="1897" t="s">
        <v>1607</v>
      </c>
      <c r="C134" s="49">
        <f>C125*(1-C133)</f>
        <v>26238175</v>
      </c>
      <c r="D134" s="49"/>
      <c r="E134" s="1899">
        <f>E125*(1-E133)</f>
        <v>26238175</v>
      </c>
      <c r="F134" s="254"/>
      <c r="G134" s="254"/>
      <c r="H134" s="254"/>
      <c r="I134" s="254"/>
      <c r="J134" s="254"/>
      <c r="K134" s="254"/>
      <c r="L134" s="254"/>
      <c r="M134" s="254"/>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row>
    <row r="135" spans="1:81" ht="15.75" customHeight="1">
      <c r="A135" s="1"/>
      <c r="B135" s="1897" t="s">
        <v>1608</v>
      </c>
      <c r="C135" s="49">
        <f>C125*C133</f>
        <v>486298</v>
      </c>
      <c r="D135" s="49"/>
      <c r="E135" s="67">
        <f>E125*E133</f>
        <v>486298</v>
      </c>
      <c r="F135" s="254"/>
      <c r="G135" s="254"/>
      <c r="H135" s="254"/>
      <c r="I135" s="254"/>
      <c r="J135" s="254"/>
      <c r="K135" s="254"/>
      <c r="L135" s="254"/>
      <c r="M135" s="254"/>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row>
    <row r="136" spans="1:81" ht="15.75" customHeight="1">
      <c r="A136" s="1"/>
      <c r="B136" s="84"/>
      <c r="C136" s="49"/>
      <c r="D136" s="49"/>
      <c r="E136" s="67"/>
      <c r="F136" s="254"/>
      <c r="G136" s="254"/>
      <c r="H136" s="254"/>
      <c r="I136" s="254"/>
      <c r="J136" s="254"/>
      <c r="K136" s="254"/>
      <c r="L136" s="254"/>
      <c r="M136" s="254"/>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row>
    <row r="137" spans="1:81" ht="15.75" customHeight="1">
      <c r="A137" s="1"/>
      <c r="B137" s="938"/>
      <c r="C137" s="939"/>
      <c r="D137" s="75"/>
      <c r="E137" s="85"/>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row>
    <row r="138" spans="1:81" ht="15.75" customHeight="1">
      <c r="A138" s="1"/>
      <c r="B138" s="1900" t="s">
        <v>1583</v>
      </c>
      <c r="C138" s="1901">
        <v>2012</v>
      </c>
      <c r="D138" s="1902"/>
      <c r="E138" s="1903"/>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1"/>
      <c r="AG138" s="1"/>
      <c r="AH138" s="1"/>
      <c r="AI138" s="1"/>
      <c r="AJ138" s="1"/>
      <c r="AK138" s="1"/>
      <c r="AL138" s="1"/>
      <c r="AM138" s="1"/>
      <c r="AN138" s="1"/>
      <c r="AO138" s="1"/>
      <c r="AP138" s="1"/>
      <c r="AQ138" s="1"/>
      <c r="AR138" s="1"/>
      <c r="AS138" s="1"/>
      <c r="AT138" s="1"/>
      <c r="AU138" s="1"/>
      <c r="AV138" s="1"/>
      <c r="AW138" s="1"/>
      <c r="AX138" s="1"/>
      <c r="AY138" s="1"/>
      <c r="AZ138" s="1"/>
      <c r="BA138" s="1"/>
    </row>
    <row r="139" spans="1:81" ht="30" customHeight="1">
      <c r="A139" s="87"/>
      <c r="B139" s="1904" t="s">
        <v>1584</v>
      </c>
      <c r="C139" s="1905" t="s">
        <v>1609</v>
      </c>
      <c r="D139" s="1906"/>
      <c r="E139" s="1907"/>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row>
    <row r="140" spans="1:81" ht="15.75" customHeight="1">
      <c r="A140" s="1"/>
      <c r="B140" s="1882" t="s">
        <v>1597</v>
      </c>
      <c r="C140" s="1883">
        <f>31395.3*907.2</f>
        <v>28481816.16</v>
      </c>
      <c r="D140" s="49"/>
      <c r="E140" s="67"/>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row>
    <row r="141" spans="1:81" ht="15.75" customHeight="1">
      <c r="A141" s="1"/>
      <c r="B141" s="1882" t="s">
        <v>1598</v>
      </c>
      <c r="C141" s="1676"/>
      <c r="D141" s="1676"/>
      <c r="E141" s="1812"/>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row>
    <row r="142" spans="1:81" ht="15.75" customHeight="1">
      <c r="A142" s="1"/>
      <c r="B142" s="922" t="s">
        <v>1599</v>
      </c>
      <c r="C142" s="1883"/>
      <c r="D142" s="49"/>
      <c r="E142" s="67"/>
      <c r="F142" s="254"/>
      <c r="G142" s="254"/>
      <c r="H142" s="1175"/>
      <c r="I142" s="1175"/>
      <c r="J142" s="1175"/>
      <c r="K142" s="1175"/>
      <c r="L142" s="1175"/>
      <c r="M142" s="50"/>
      <c r="N142" s="50"/>
      <c r="O142" s="50"/>
      <c r="P142" s="50"/>
      <c r="Q142" s="50"/>
      <c r="R142" s="50"/>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row>
    <row r="143" spans="1:81" ht="15.75" customHeight="1">
      <c r="A143" s="1"/>
      <c r="B143" s="922" t="s">
        <v>1600</v>
      </c>
      <c r="C143" s="1883"/>
      <c r="D143" s="49"/>
      <c r="E143" s="67"/>
      <c r="F143" s="254"/>
      <c r="G143" s="254"/>
      <c r="H143" s="1175"/>
      <c r="I143" s="1175"/>
      <c r="J143" s="1175"/>
      <c r="K143" s="1175"/>
      <c r="L143" s="1175"/>
      <c r="M143" s="50"/>
      <c r="N143" s="50"/>
      <c r="O143" s="50"/>
      <c r="P143" s="50"/>
      <c r="Q143" s="50"/>
      <c r="R143" s="50"/>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row>
    <row r="144" spans="1:81" ht="15.75" customHeight="1">
      <c r="A144" s="1"/>
      <c r="B144" s="922" t="s">
        <v>1601</v>
      </c>
      <c r="C144" s="1883"/>
      <c r="D144" s="49"/>
      <c r="E144" s="67"/>
      <c r="F144" s="254"/>
      <c r="G144" s="254"/>
      <c r="H144" s="1175"/>
      <c r="I144" s="1175"/>
      <c r="J144" s="1175"/>
      <c r="K144" s="1175"/>
      <c r="L144" s="1175"/>
      <c r="M144" s="50"/>
      <c r="N144" s="50"/>
      <c r="O144" s="50"/>
      <c r="P144" s="50"/>
      <c r="Q144" s="50"/>
      <c r="R144" s="50"/>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75" customHeight="1">
      <c r="A145" s="1"/>
      <c r="B145" s="922" t="s">
        <v>1602</v>
      </c>
      <c r="C145" s="1883"/>
      <c r="D145" s="49"/>
      <c r="E145" s="67"/>
      <c r="F145" s="254"/>
      <c r="G145" s="254"/>
      <c r="H145" s="1175"/>
      <c r="I145" s="1175"/>
      <c r="J145" s="1175"/>
      <c r="K145" s="1175"/>
      <c r="L145" s="1175"/>
      <c r="M145" s="50"/>
      <c r="N145" s="50"/>
      <c r="O145" s="50"/>
      <c r="P145" s="50"/>
      <c r="Q145" s="50"/>
      <c r="R145" s="50"/>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75" customHeight="1">
      <c r="A146" s="1"/>
      <c r="B146" s="922" t="s">
        <v>1603</v>
      </c>
      <c r="C146" s="1883"/>
      <c r="D146" s="49"/>
      <c r="E146" s="67"/>
      <c r="F146" s="254"/>
      <c r="G146" s="254"/>
      <c r="H146" s="1175"/>
      <c r="I146" s="1175"/>
      <c r="J146" s="1175"/>
      <c r="K146" s="1175"/>
      <c r="L146" s="1175"/>
      <c r="M146" s="50"/>
      <c r="N146" s="50"/>
      <c r="O146" s="50"/>
      <c r="P146" s="50"/>
      <c r="Q146" s="50"/>
      <c r="R146" s="50"/>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75" customHeight="1">
      <c r="A147" s="1"/>
      <c r="B147" s="922" t="s">
        <v>1604</v>
      </c>
      <c r="C147" s="1883"/>
      <c r="D147" s="49"/>
      <c r="E147" s="67"/>
      <c r="F147" s="254"/>
      <c r="G147" s="254"/>
      <c r="H147" s="1175"/>
      <c r="I147" s="1175"/>
      <c r="J147" s="1175"/>
      <c r="K147" s="1175"/>
      <c r="L147" s="1175"/>
      <c r="M147" s="50"/>
      <c r="N147" s="50"/>
      <c r="O147" s="50"/>
      <c r="P147" s="50"/>
      <c r="Q147" s="50"/>
      <c r="R147" s="50"/>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75" customHeight="1">
      <c r="A148" s="1"/>
      <c r="B148" s="922" t="s">
        <v>1605</v>
      </c>
      <c r="C148" s="1883"/>
      <c r="D148" s="49"/>
      <c r="E148" s="67"/>
      <c r="F148" s="254"/>
      <c r="G148" s="254"/>
      <c r="H148" s="1175"/>
      <c r="I148" s="1896"/>
      <c r="J148" s="1175"/>
      <c r="K148" s="1175"/>
      <c r="L148" s="1175"/>
      <c r="M148" s="50"/>
      <c r="N148" s="50"/>
      <c r="O148" s="50"/>
      <c r="P148" s="50"/>
      <c r="Q148" s="50"/>
      <c r="R148" s="50"/>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75" customHeight="1">
      <c r="A149" s="1"/>
      <c r="B149" s="1897" t="s">
        <v>1606</v>
      </c>
      <c r="C149" s="1460"/>
      <c r="D149" s="49"/>
      <c r="E149" s="67"/>
      <c r="F149" s="254"/>
      <c r="G149" s="254"/>
      <c r="H149" s="254"/>
      <c r="I149" s="254"/>
      <c r="J149" s="254"/>
      <c r="K149" s="254"/>
      <c r="L149" s="254"/>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75" customHeight="1">
      <c r="A150" s="1"/>
      <c r="B150" s="1897" t="s">
        <v>1607</v>
      </c>
      <c r="C150" s="49"/>
      <c r="D150" s="49"/>
      <c r="E150" s="67"/>
      <c r="F150" s="254"/>
      <c r="G150" s="254"/>
      <c r="H150" s="254"/>
      <c r="I150" s="254"/>
      <c r="J150" s="254"/>
      <c r="K150" s="254"/>
      <c r="L150" s="254"/>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75" customHeight="1">
      <c r="A151" s="1"/>
      <c r="B151" s="1908" t="s">
        <v>1608</v>
      </c>
      <c r="C151" s="264"/>
      <c r="D151" s="264"/>
      <c r="E151" s="934"/>
      <c r="F151" s="254"/>
      <c r="G151" s="254"/>
      <c r="H151" s="254"/>
      <c r="I151" s="254"/>
      <c r="J151" s="254"/>
      <c r="K151" s="254"/>
      <c r="L151" s="254"/>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75" customHeight="1">
      <c r="A152" s="1"/>
      <c r="B152" s="1744"/>
      <c r="C152" s="1648"/>
      <c r="D152" s="1648"/>
      <c r="E152" s="1648"/>
      <c r="F152" s="1648"/>
      <c r="G152" s="1766"/>
      <c r="H152" s="1272"/>
      <c r="I152" s="1767"/>
      <c r="J152" s="1272"/>
      <c r="K152" s="1768"/>
      <c r="L152" s="39"/>
      <c r="M152" s="1768"/>
      <c r="N152" s="39"/>
      <c r="O152" s="39"/>
      <c r="P152" s="39"/>
      <c r="Q152" s="39"/>
      <c r="R152" s="39"/>
      <c r="S152" s="39"/>
      <c r="T152" s="39"/>
      <c r="U152" s="39"/>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75" customHeight="1">
      <c r="A153" s="48"/>
      <c r="B153" s="1909" t="s">
        <v>1610</v>
      </c>
      <c r="C153" s="1910"/>
      <c r="D153" s="1910"/>
      <c r="E153" s="1910"/>
      <c r="F153" s="1910"/>
      <c r="G153" s="1911"/>
      <c r="H153" s="1830"/>
      <c r="I153" s="1831"/>
      <c r="J153" s="1830"/>
      <c r="K153" s="1832"/>
      <c r="L153" s="1833"/>
      <c r="M153" s="1832"/>
      <c r="N153" s="1833"/>
      <c r="O153" s="1833"/>
      <c r="P153" s="1833"/>
      <c r="Q153" s="1833"/>
      <c r="R153" s="1833"/>
      <c r="S153" s="1833"/>
      <c r="T153" s="1833"/>
      <c r="U153" s="1833"/>
      <c r="V153" s="1833"/>
      <c r="W153" s="1833"/>
      <c r="X153" s="1833"/>
      <c r="Y153" s="1833"/>
      <c r="Z153" s="1833"/>
      <c r="AA153" s="1834"/>
      <c r="AB153" s="1"/>
      <c r="AC153" s="1"/>
      <c r="AD153" s="1"/>
      <c r="AE153" s="1"/>
      <c r="AF153" s="1"/>
      <c r="AG153" s="1"/>
      <c r="AH153" s="41" t="s">
        <v>1611</v>
      </c>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75" customHeight="1">
      <c r="A154" s="1"/>
      <c r="B154" s="1912"/>
      <c r="C154" s="373"/>
      <c r="D154" s="1015"/>
      <c r="E154" s="372"/>
      <c r="F154" s="372"/>
      <c r="G154" s="372"/>
      <c r="H154" s="372"/>
      <c r="I154" s="1015"/>
      <c r="J154" s="1015"/>
      <c r="K154" s="1913"/>
      <c r="L154" s="1914"/>
      <c r="M154" s="1915" t="s">
        <v>1612</v>
      </c>
      <c r="N154" s="1915"/>
      <c r="O154" s="1916"/>
      <c r="P154" s="1917"/>
      <c r="Q154" s="1918"/>
      <c r="R154" s="797"/>
      <c r="S154" s="1839" t="s">
        <v>1613</v>
      </c>
      <c r="T154" s="1839"/>
      <c r="U154" s="1839"/>
      <c r="V154" s="797"/>
      <c r="W154" s="1919"/>
      <c r="X154" s="372"/>
      <c r="Y154" s="372"/>
      <c r="Z154" s="372"/>
      <c r="AA154" s="1920"/>
      <c r="AB154" s="1"/>
      <c r="AC154" s="1"/>
      <c r="AD154" s="1"/>
      <c r="AE154" s="1"/>
      <c r="AF154" s="1"/>
      <c r="AG154" s="1"/>
      <c r="AH154" s="1921" t="s">
        <v>1614</v>
      </c>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2.75" customHeight="1">
      <c r="A155" s="1"/>
      <c r="B155" s="1922"/>
      <c r="C155" s="1923" t="s">
        <v>1615</v>
      </c>
      <c r="D155" s="1924"/>
      <c r="E155" s="1924" t="s">
        <v>1616</v>
      </c>
      <c r="F155" s="428"/>
      <c r="G155" s="1924" t="s">
        <v>1617</v>
      </c>
      <c r="H155" s="428"/>
      <c r="I155" s="1924" t="s">
        <v>1618</v>
      </c>
      <c r="J155" s="1925"/>
      <c r="K155" s="1926" t="s">
        <v>1619</v>
      </c>
      <c r="L155" s="1927"/>
      <c r="M155" s="1837" t="s">
        <v>1620</v>
      </c>
      <c r="N155" s="1837"/>
      <c r="O155" s="1842" t="s">
        <v>1621</v>
      </c>
      <c r="P155" s="47"/>
      <c r="Q155" s="1926" t="s">
        <v>1622</v>
      </c>
      <c r="R155" s="1927"/>
      <c r="S155" s="1837" t="s">
        <v>1623</v>
      </c>
      <c r="T155" s="1837"/>
      <c r="U155" s="1837" t="s">
        <v>1624</v>
      </c>
      <c r="V155" s="1927"/>
      <c r="W155" s="1842" t="s">
        <v>1625</v>
      </c>
      <c r="X155" s="1928"/>
      <c r="Y155" s="1929"/>
      <c r="Z155" s="428"/>
      <c r="AA155" s="1930"/>
      <c r="AB155" s="1"/>
      <c r="AC155" s="1"/>
      <c r="AD155" s="1"/>
      <c r="AE155" s="1"/>
      <c r="AF155" s="1"/>
      <c r="AG155" s="1"/>
      <c r="AH155" s="2289" t="s">
        <v>1626</v>
      </c>
      <c r="AI155" s="2290"/>
      <c r="AJ155" s="2290"/>
      <c r="AK155" s="2290"/>
      <c r="AL155" s="2290"/>
      <c r="AM155" s="2290"/>
      <c r="AN155" s="2290"/>
      <c r="AO155" s="1"/>
      <c r="AP155" s="2289" t="s">
        <v>1627</v>
      </c>
      <c r="AQ155" s="2290"/>
      <c r="AR155" s="2290"/>
      <c r="AS155" s="2290"/>
      <c r="AT155" s="1"/>
      <c r="AU155" s="2289" t="s">
        <v>1628</v>
      </c>
      <c r="AV155" s="2290"/>
      <c r="AW155" s="1"/>
      <c r="AX155" s="2289" t="s">
        <v>1629</v>
      </c>
      <c r="AY155" s="2290"/>
      <c r="AZ155" s="1"/>
      <c r="BA155" s="2242" t="s">
        <v>1500</v>
      </c>
      <c r="BB155" s="2243"/>
      <c r="BC155" s="2243"/>
      <c r="BD155" s="2243"/>
      <c r="BE155" s="2243"/>
      <c r="BF155" s="2243"/>
      <c r="BG155" s="1"/>
      <c r="BH155" s="2242" t="s">
        <v>1521</v>
      </c>
      <c r="BI155" s="2243"/>
      <c r="BJ155" s="2243"/>
      <c r="BK155" s="2243"/>
      <c r="BL155" s="2243"/>
      <c r="BM155" s="1"/>
      <c r="BN155" s="2291" t="s">
        <v>1525</v>
      </c>
      <c r="BO155" s="2290"/>
      <c r="BP155" s="1931"/>
      <c r="BQ155" s="2292" t="s">
        <v>1526</v>
      </c>
      <c r="BR155" s="2243"/>
      <c r="BS155" s="2243"/>
      <c r="BT155" s="1"/>
      <c r="BU155" s="2291" t="s">
        <v>1498</v>
      </c>
      <c r="BV155" s="2290"/>
      <c r="BW155" s="2290"/>
      <c r="BX155" s="1931"/>
      <c r="BY155" s="2291" t="s">
        <v>1499</v>
      </c>
      <c r="BZ155" s="2290"/>
      <c r="CA155" s="1"/>
      <c r="CB155" s="2283" t="s">
        <v>1501</v>
      </c>
      <c r="CC155" s="2284"/>
    </row>
    <row r="156" spans="1:81" ht="75" customHeight="1">
      <c r="A156" s="1"/>
      <c r="B156" s="310" t="s">
        <v>1485</v>
      </c>
      <c r="C156" s="1849"/>
      <c r="D156" s="1932"/>
      <c r="E156" s="256"/>
      <c r="F156" s="256"/>
      <c r="G156" s="256"/>
      <c r="H156" s="256"/>
      <c r="I156" s="1665"/>
      <c r="J156" s="1933"/>
      <c r="K156" s="1665"/>
      <c r="L156" s="1933"/>
      <c r="M156" s="1934"/>
      <c r="N156" s="1934"/>
      <c r="O156" s="1933"/>
      <c r="P156" s="1933"/>
      <c r="Q156" s="1935"/>
      <c r="R156" s="1935"/>
      <c r="S156" s="1936"/>
      <c r="T156" s="1936"/>
      <c r="U156" s="1937"/>
      <c r="V156" s="1938"/>
      <c r="W156" s="1401"/>
      <c r="X156" s="75"/>
      <c r="Y156" s="75"/>
      <c r="Z156" s="75"/>
      <c r="AA156" s="85"/>
      <c r="AB156" s="1"/>
      <c r="AC156" s="1"/>
      <c r="AD156" s="1"/>
      <c r="AE156" s="1"/>
      <c r="AF156" s="1"/>
      <c r="AG156" s="1"/>
      <c r="AH156" s="1939" t="s">
        <v>1630</v>
      </c>
      <c r="AI156" s="1940" t="s">
        <v>1631</v>
      </c>
      <c r="AJ156" s="1940" t="s">
        <v>1632</v>
      </c>
      <c r="AK156" s="1940" t="s">
        <v>1633</v>
      </c>
      <c r="AL156" s="1940" t="s">
        <v>1634</v>
      </c>
      <c r="AM156" s="1940" t="s">
        <v>1635</v>
      </c>
      <c r="AN156" s="1941" t="s">
        <v>1636</v>
      </c>
      <c r="AO156" s="1"/>
      <c r="AP156" s="1942" t="s">
        <v>1630</v>
      </c>
      <c r="AQ156" s="1940" t="s">
        <v>1637</v>
      </c>
      <c r="AR156" s="1940" t="s">
        <v>1638</v>
      </c>
      <c r="AS156" s="1941" t="s">
        <v>1633</v>
      </c>
      <c r="AT156" s="1"/>
      <c r="AU156" s="1942" t="s">
        <v>1639</v>
      </c>
      <c r="AV156" s="1941" t="s">
        <v>1640</v>
      </c>
      <c r="AW156" s="1"/>
      <c r="AX156" s="1942" t="s">
        <v>1639</v>
      </c>
      <c r="AY156" s="1941" t="s">
        <v>1635</v>
      </c>
      <c r="AZ156" s="1"/>
      <c r="BA156" s="1943" t="s">
        <v>1630</v>
      </c>
      <c r="BB156" s="1940" t="s">
        <v>1635</v>
      </c>
      <c r="BC156" s="1940" t="s">
        <v>1634</v>
      </c>
      <c r="BD156" s="1940" t="s">
        <v>1632</v>
      </c>
      <c r="BE156" s="1940" t="s">
        <v>1631</v>
      </c>
      <c r="BF156" s="1941" t="s">
        <v>1636</v>
      </c>
      <c r="BG156" s="41"/>
      <c r="BH156" s="1943" t="s">
        <v>1630</v>
      </c>
      <c r="BI156" s="1940" t="s">
        <v>1634</v>
      </c>
      <c r="BJ156" s="1940" t="s">
        <v>1632</v>
      </c>
      <c r="BK156" s="1940" t="s">
        <v>1631</v>
      </c>
      <c r="BL156" s="1941" t="s">
        <v>1641</v>
      </c>
      <c r="BM156" s="41"/>
      <c r="BN156" s="1942" t="s">
        <v>153</v>
      </c>
      <c r="BO156" s="1941" t="s">
        <v>157</v>
      </c>
      <c r="BP156" s="1944"/>
      <c r="BQ156" s="1942" t="s">
        <v>153</v>
      </c>
      <c r="BR156" s="1945" t="s">
        <v>157</v>
      </c>
      <c r="BS156" s="1946" t="s">
        <v>1642</v>
      </c>
      <c r="BT156" s="1"/>
      <c r="BU156" s="1939" t="s">
        <v>1630</v>
      </c>
      <c r="BV156" s="1947" t="s">
        <v>1643</v>
      </c>
      <c r="BW156" s="1948" t="s">
        <v>1644</v>
      </c>
      <c r="BX156" s="1949"/>
      <c r="BY156" s="1950" t="s">
        <v>1639</v>
      </c>
      <c r="BZ156" s="1951" t="s">
        <v>1645</v>
      </c>
      <c r="CA156" s="1"/>
      <c r="CB156" s="1942" t="s">
        <v>1639</v>
      </c>
      <c r="CC156" s="1946" t="s">
        <v>1645</v>
      </c>
    </row>
    <row r="157" spans="1:81" ht="15.75" customHeight="1">
      <c r="A157" s="1"/>
      <c r="B157" s="1952" t="s">
        <v>1486</v>
      </c>
      <c r="C157" s="1755">
        <v>53</v>
      </c>
      <c r="D157" s="261"/>
      <c r="E157" s="75">
        <v>680</v>
      </c>
      <c r="F157" s="75"/>
      <c r="G157" s="75">
        <v>0.44</v>
      </c>
      <c r="H157" s="75"/>
      <c r="I157" s="1676">
        <f t="shared" ref="I157:I158" si="55">C157*E157*G157*365</f>
        <v>5788024</v>
      </c>
      <c r="J157" s="261"/>
      <c r="K157" s="1676">
        <f t="shared" ref="K157:K158" si="56">(I157*0.2*0.01)/1000</f>
        <v>11.576048</v>
      </c>
      <c r="L157" s="75"/>
      <c r="M157" s="49">
        <f>C157*(AI157+AJ157+AL157+AN157)*E157*G157*365</f>
        <v>2837470.2705451539</v>
      </c>
      <c r="N157" s="75"/>
      <c r="O157" s="49">
        <f>C157*(AM157)*E157*G157*365</f>
        <v>381780.39119424886</v>
      </c>
      <c r="P157" s="49"/>
      <c r="Q157" s="49">
        <f>C157*(AK157)*E157*G157*365</f>
        <v>2568773.3382605966</v>
      </c>
      <c r="R157" s="49"/>
      <c r="S157" s="1512">
        <f t="shared" ref="S157:S158" si="57">((M157+Q157)*(1-0.2)*0.0125)/1000</f>
        <v>54.062436088057503</v>
      </c>
      <c r="T157" s="49"/>
      <c r="U157" s="67">
        <f t="shared" ref="U157:U158" si="58">(O157*0.02)/1000</f>
        <v>7.6356078238849774</v>
      </c>
      <c r="V157" s="84"/>
      <c r="W157" s="55">
        <f>K125</f>
        <v>860612.14000000013</v>
      </c>
      <c r="X157" s="75" t="s">
        <v>1646</v>
      </c>
      <c r="Y157" s="75"/>
      <c r="Z157" s="75"/>
      <c r="AA157" s="85"/>
      <c r="AB157" s="1"/>
      <c r="AC157" s="1"/>
      <c r="AD157" s="1"/>
      <c r="AE157" s="1"/>
      <c r="AF157" s="1"/>
      <c r="AG157" s="1"/>
      <c r="AH157" s="1953" t="s">
        <v>1647</v>
      </c>
      <c r="AI157" s="1954">
        <v>7.6488535055593554E-2</v>
      </c>
      <c r="AJ157" s="1954">
        <v>0.15472472257238745</v>
      </c>
      <c r="AK157" s="1954">
        <v>0.44380834258126728</v>
      </c>
      <c r="AL157" s="1954">
        <v>0.22861605738914034</v>
      </c>
      <c r="AM157" s="1954">
        <v>6.5960402236453913E-2</v>
      </c>
      <c r="AN157" s="1955">
        <v>3.0401940165157418E-2</v>
      </c>
      <c r="AO157" s="1"/>
      <c r="AP157" s="1953" t="s">
        <v>1647</v>
      </c>
      <c r="AQ157" s="1954">
        <f>1-SUM(AR157:AS157)</f>
        <v>0.49023125518227884</v>
      </c>
      <c r="AR157" s="1954">
        <v>6.5960402236453913E-2</v>
      </c>
      <c r="AS157" s="1955">
        <v>0.44380834258126728</v>
      </c>
      <c r="AT157" s="1"/>
      <c r="AU157" s="1953" t="s">
        <v>1647</v>
      </c>
      <c r="AV157" s="1956">
        <v>1</v>
      </c>
      <c r="AW157" s="1"/>
      <c r="AX157" s="1953" t="s">
        <v>1647</v>
      </c>
      <c r="AY157" s="1956">
        <v>1</v>
      </c>
      <c r="AZ157" s="1"/>
      <c r="BA157" s="1953" t="s">
        <v>1647</v>
      </c>
      <c r="BB157" s="1957">
        <v>0.21140679400000001</v>
      </c>
      <c r="BC157" s="1954">
        <v>3.7602905999999998E-2</v>
      </c>
      <c r="BD157" s="1954">
        <v>0.214504853</v>
      </c>
      <c r="BE157" s="1954">
        <v>0.15671048400000001</v>
      </c>
      <c r="BF157" s="1955">
        <v>0.37977496300000002</v>
      </c>
      <c r="BG157" s="1"/>
      <c r="BH157" s="1958" t="s">
        <v>1647</v>
      </c>
      <c r="BI157" s="1954">
        <v>0</v>
      </c>
      <c r="BJ157" s="1954">
        <v>0</v>
      </c>
      <c r="BK157" s="1954">
        <v>0.05</v>
      </c>
      <c r="BL157" s="1955">
        <v>0.95</v>
      </c>
      <c r="BM157" s="1"/>
      <c r="BN157" s="301" t="s">
        <v>1648</v>
      </c>
      <c r="BO157" s="1959">
        <v>1</v>
      </c>
      <c r="BP157" s="1"/>
      <c r="BQ157" s="1180" t="s">
        <v>1648</v>
      </c>
      <c r="BR157" s="1960">
        <v>0.9</v>
      </c>
      <c r="BS157" s="1961">
        <v>0.1</v>
      </c>
      <c r="BT157" s="1"/>
      <c r="BU157" s="1180" t="s">
        <v>1648</v>
      </c>
      <c r="BV157" s="1169">
        <v>0</v>
      </c>
      <c r="BW157" s="1959">
        <v>1</v>
      </c>
      <c r="BX157" s="1"/>
      <c r="BY157" s="301" t="s">
        <v>1648</v>
      </c>
      <c r="BZ157" s="1959">
        <v>1</v>
      </c>
      <c r="CA157" s="1"/>
      <c r="CB157" s="1180" t="s">
        <v>1648</v>
      </c>
      <c r="CC157" s="1959">
        <v>1</v>
      </c>
    </row>
    <row r="158" spans="1:81" ht="15.75" customHeight="1">
      <c r="A158" s="1"/>
      <c r="B158" s="922" t="s">
        <v>1487</v>
      </c>
      <c r="C158" s="1755">
        <v>28</v>
      </c>
      <c r="D158" s="261"/>
      <c r="E158" s="75">
        <v>476</v>
      </c>
      <c r="F158" s="75"/>
      <c r="G158" s="75">
        <v>0.31</v>
      </c>
      <c r="H158" s="75"/>
      <c r="I158" s="1676">
        <f t="shared" si="55"/>
        <v>1508063.2000000002</v>
      </c>
      <c r="J158" s="261"/>
      <c r="K158" s="1676">
        <f t="shared" si="56"/>
        <v>3.0161264000000005</v>
      </c>
      <c r="L158" s="75"/>
      <c r="M158" s="49">
        <f>C158*(AQ157)*E158*G158*365</f>
        <v>739299.71543020394</v>
      </c>
      <c r="N158" s="75"/>
      <c r="O158" s="49">
        <f>C158*(AR157)*E158*G158*365</f>
        <v>99472.45526999385</v>
      </c>
      <c r="P158" s="75"/>
      <c r="Q158" s="49">
        <f>C158*(AK157)*E158*G158*365</f>
        <v>669291.02929980226</v>
      </c>
      <c r="R158" s="49"/>
      <c r="S158" s="1512">
        <f t="shared" si="57"/>
        <v>14.085907447300064</v>
      </c>
      <c r="T158" s="49"/>
      <c r="U158" s="67">
        <f t="shared" si="58"/>
        <v>1.9894491053998771</v>
      </c>
      <c r="V158" s="84"/>
      <c r="W158" s="1962">
        <f>K124</f>
        <v>30550728.988079999</v>
      </c>
      <c r="X158" s="939" t="s">
        <v>1649</v>
      </c>
      <c r="Y158" s="380"/>
      <c r="Z158" s="939"/>
      <c r="AA158" s="147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75" customHeight="1">
      <c r="A159" s="1"/>
      <c r="B159" s="313" t="s">
        <v>1490</v>
      </c>
      <c r="C159" s="1963"/>
      <c r="D159" s="261"/>
      <c r="E159" s="75"/>
      <c r="F159" s="75"/>
      <c r="G159" s="75"/>
      <c r="H159" s="75"/>
      <c r="I159" s="1676"/>
      <c r="J159" s="261"/>
      <c r="K159" s="1676"/>
      <c r="L159" s="75"/>
      <c r="M159" s="49"/>
      <c r="N159" s="75"/>
      <c r="O159" s="75"/>
      <c r="P159" s="75"/>
      <c r="Q159" s="75"/>
      <c r="R159" s="49"/>
      <c r="S159" s="1512"/>
      <c r="T159" s="75"/>
      <c r="U159" s="85"/>
      <c r="V159" s="84"/>
      <c r="W159" s="1964">
        <f>SUM(W157:W158)/1000*0.3</f>
        <v>9423.402338423999</v>
      </c>
      <c r="X159" s="1838" t="s">
        <v>1650</v>
      </c>
      <c r="Y159" s="797"/>
      <c r="Z159" s="797"/>
      <c r="AA159" s="1919"/>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75" customHeight="1">
      <c r="A160" s="1"/>
      <c r="B160" s="922" t="s">
        <v>1495</v>
      </c>
      <c r="C160" s="1756">
        <v>3.9119999999999999</v>
      </c>
      <c r="D160" s="261"/>
      <c r="E160" s="75">
        <v>420</v>
      </c>
      <c r="F160" s="75"/>
      <c r="G160" s="75">
        <v>0.3</v>
      </c>
      <c r="H160" s="75"/>
      <c r="I160" s="1676">
        <f t="shared" ref="I160:I166" si="59">C160*E160*G160*365</f>
        <v>179912.88</v>
      </c>
      <c r="J160" s="261"/>
      <c r="K160" s="1676">
        <f t="shared" ref="K160:K166" si="60">(I160*0.2*0.01)/1000</f>
        <v>0.35982575999999999</v>
      </c>
      <c r="L160" s="75"/>
      <c r="M160" s="49">
        <f>C160*(AV157)*E160*G160*365</f>
        <v>179912.88</v>
      </c>
      <c r="N160" s="75"/>
      <c r="O160" s="261" t="s">
        <v>1007</v>
      </c>
      <c r="P160" s="1965"/>
      <c r="Q160" s="261" t="s">
        <v>1007</v>
      </c>
      <c r="R160" s="49"/>
      <c r="S160" s="1512">
        <f t="shared" ref="S160:S161" si="61">((M160)*(1-0.2)*0.0125)/1000</f>
        <v>1.7991288000000001</v>
      </c>
      <c r="T160" s="49"/>
      <c r="U160" s="1903" t="s">
        <v>1007</v>
      </c>
      <c r="V160" s="1667"/>
      <c r="W160" s="1966"/>
      <c r="X160" s="1401"/>
      <c r="Y160" s="1401"/>
      <c r="Z160" s="1401"/>
      <c r="AA160" s="1967"/>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75" customHeight="1">
      <c r="A161" s="1"/>
      <c r="B161" s="922" t="s">
        <v>1496</v>
      </c>
      <c r="C161" s="1756">
        <v>7.3949999999999996</v>
      </c>
      <c r="D161" s="261"/>
      <c r="E161" s="75">
        <v>420</v>
      </c>
      <c r="F161" s="75"/>
      <c r="G161" s="75">
        <v>0.3</v>
      </c>
      <c r="H161" s="75"/>
      <c r="I161" s="1676">
        <f t="shared" si="59"/>
        <v>340096.04999999993</v>
      </c>
      <c r="J161" s="261"/>
      <c r="K161" s="1676">
        <f t="shared" si="60"/>
        <v>0.68019209999999997</v>
      </c>
      <c r="L161" s="75"/>
      <c r="M161" s="49">
        <f>C161*AV157*E161*G161*365</f>
        <v>340096.04999999993</v>
      </c>
      <c r="N161" s="75"/>
      <c r="O161" s="261" t="s">
        <v>1007</v>
      </c>
      <c r="P161" s="1965"/>
      <c r="Q161" s="261" t="s">
        <v>1007</v>
      </c>
      <c r="R161" s="49"/>
      <c r="S161" s="1512">
        <f t="shared" si="61"/>
        <v>3.4009604999999996</v>
      </c>
      <c r="T161" s="49"/>
      <c r="U161" s="1903" t="s">
        <v>1007</v>
      </c>
      <c r="V161" s="1667"/>
      <c r="W161" s="1962">
        <f>I185</f>
        <v>38992393.959000006</v>
      </c>
      <c r="X161" s="939" t="s">
        <v>1651</v>
      </c>
      <c r="Y161" s="380"/>
      <c r="Z161" s="939"/>
      <c r="AA161" s="147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75" customHeight="1">
      <c r="A162" s="1"/>
      <c r="B162" s="922" t="s">
        <v>1497</v>
      </c>
      <c r="C162" s="1755">
        <v>4</v>
      </c>
      <c r="D162" s="261"/>
      <c r="E162" s="75">
        <v>750</v>
      </c>
      <c r="F162" s="75"/>
      <c r="G162" s="75">
        <v>0.31</v>
      </c>
      <c r="H162" s="75"/>
      <c r="I162" s="1676">
        <f t="shared" si="59"/>
        <v>339450</v>
      </c>
      <c r="J162" s="261"/>
      <c r="K162" s="1676">
        <f t="shared" si="60"/>
        <v>0.67889999999999995</v>
      </c>
      <c r="L162" s="75"/>
      <c r="M162" s="1676" t="s">
        <v>1007</v>
      </c>
      <c r="N162" s="75"/>
      <c r="O162" s="55">
        <f t="shared" ref="O162:O166" si="62">C162*(AY$157)*E162*G162*365</f>
        <v>339450</v>
      </c>
      <c r="P162" s="1965"/>
      <c r="Q162" s="261" t="s">
        <v>1007</v>
      </c>
      <c r="R162" s="49"/>
      <c r="S162" s="1676" t="s">
        <v>1007</v>
      </c>
      <c r="T162" s="49"/>
      <c r="U162" s="67">
        <f t="shared" ref="U162:U166" si="63">(O162*0.02)/1000</f>
        <v>6.7889999999999997</v>
      </c>
      <c r="V162" s="84"/>
      <c r="W162" s="1964">
        <f>(W161*(1-0)*0.3)/1000</f>
        <v>11697.718187700002</v>
      </c>
      <c r="X162" s="1838" t="s">
        <v>1652</v>
      </c>
      <c r="Y162" s="797"/>
      <c r="Z162" s="797"/>
      <c r="AA162" s="1919"/>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75" customHeight="1">
      <c r="A163" s="1"/>
      <c r="B163" s="922" t="s">
        <v>1515</v>
      </c>
      <c r="C163" s="1755">
        <v>36.1</v>
      </c>
      <c r="D163" s="261"/>
      <c r="E163" s="75">
        <v>118</v>
      </c>
      <c r="F163" s="75"/>
      <c r="G163" s="75">
        <v>0.3</v>
      </c>
      <c r="H163" s="75"/>
      <c r="I163" s="1676">
        <f t="shared" si="59"/>
        <v>466448.10000000003</v>
      </c>
      <c r="J163" s="261"/>
      <c r="K163" s="1676">
        <f t="shared" si="60"/>
        <v>0.93289620000000018</v>
      </c>
      <c r="L163" s="75"/>
      <c r="M163" s="1676" t="s">
        <v>1007</v>
      </c>
      <c r="N163" s="75"/>
      <c r="O163" s="55">
        <f t="shared" si="62"/>
        <v>466448.10000000003</v>
      </c>
      <c r="P163" s="1965"/>
      <c r="Q163" s="261" t="s">
        <v>1007</v>
      </c>
      <c r="R163" s="49"/>
      <c r="S163" s="1676" t="s">
        <v>1007</v>
      </c>
      <c r="T163" s="49"/>
      <c r="U163" s="67">
        <f t="shared" si="63"/>
        <v>9.3289620000000006</v>
      </c>
      <c r="V163" s="84"/>
      <c r="W163" s="1968"/>
      <c r="X163" s="421"/>
      <c r="Y163" s="434"/>
      <c r="Z163" s="421"/>
      <c r="AA163" s="1969"/>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75" customHeight="1">
      <c r="A164" s="1"/>
      <c r="B164" s="922" t="s">
        <v>1491</v>
      </c>
      <c r="C164" s="1755">
        <v>42</v>
      </c>
      <c r="D164" s="261"/>
      <c r="E164" s="75">
        <v>533</v>
      </c>
      <c r="F164" s="75"/>
      <c r="G164" s="75">
        <v>0.33</v>
      </c>
      <c r="H164" s="75"/>
      <c r="I164" s="1676">
        <f t="shared" si="59"/>
        <v>2696393.7</v>
      </c>
      <c r="J164" s="261"/>
      <c r="K164" s="1676">
        <f t="shared" si="60"/>
        <v>5.3927874000000013</v>
      </c>
      <c r="L164" s="75"/>
      <c r="M164" s="1676" t="s">
        <v>1007</v>
      </c>
      <c r="N164" s="75"/>
      <c r="O164" s="55">
        <f t="shared" si="62"/>
        <v>2696393.7</v>
      </c>
      <c r="P164" s="1965"/>
      <c r="Q164" s="261" t="s">
        <v>1007</v>
      </c>
      <c r="R164" s="49"/>
      <c r="S164" s="1676" t="s">
        <v>1007</v>
      </c>
      <c r="T164" s="49"/>
      <c r="U164" s="67">
        <f t="shared" si="63"/>
        <v>53.927874000000003</v>
      </c>
      <c r="V164" s="84"/>
      <c r="W164" s="1964">
        <f>SUM(W159,W162)*0.0075</f>
        <v>158.40840394593002</v>
      </c>
      <c r="X164" s="1838" t="s">
        <v>1653</v>
      </c>
      <c r="Y164" s="797"/>
      <c r="Z164" s="797"/>
      <c r="AA164" s="1919"/>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75" customHeight="1">
      <c r="A165" s="1"/>
      <c r="B165" s="922" t="s">
        <v>1494</v>
      </c>
      <c r="C165" s="1755">
        <v>15</v>
      </c>
      <c r="D165" s="261"/>
      <c r="E165" s="75">
        <v>318</v>
      </c>
      <c r="F165" s="75"/>
      <c r="G165" s="75">
        <v>0.31</v>
      </c>
      <c r="H165" s="75"/>
      <c r="I165" s="1676">
        <f t="shared" si="59"/>
        <v>539725.5</v>
      </c>
      <c r="J165" s="261"/>
      <c r="K165" s="1676">
        <f t="shared" si="60"/>
        <v>1.0794509999999999</v>
      </c>
      <c r="L165" s="75"/>
      <c r="M165" s="1676" t="s">
        <v>1007</v>
      </c>
      <c r="N165" s="75"/>
      <c r="O165" s="55">
        <f t="shared" si="62"/>
        <v>539725.5</v>
      </c>
      <c r="P165" s="1965"/>
      <c r="Q165" s="261" t="s">
        <v>1007</v>
      </c>
      <c r="R165" s="49"/>
      <c r="S165" s="1676" t="s">
        <v>1007</v>
      </c>
      <c r="T165" s="49"/>
      <c r="U165" s="67">
        <f t="shared" si="63"/>
        <v>10.794510000000001</v>
      </c>
      <c r="V165" s="84"/>
      <c r="W165" s="1970"/>
      <c r="X165" s="441"/>
      <c r="Y165" s="441"/>
      <c r="Z165" s="441"/>
      <c r="AA165" s="1498"/>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75" customHeight="1">
      <c r="A166" s="1"/>
      <c r="B166" s="922" t="s">
        <v>1654</v>
      </c>
      <c r="C166" s="1971">
        <v>17</v>
      </c>
      <c r="D166" s="261"/>
      <c r="E166" s="75">
        <v>420</v>
      </c>
      <c r="F166" s="75"/>
      <c r="G166" s="75">
        <v>0.31</v>
      </c>
      <c r="H166" s="75"/>
      <c r="I166" s="1676">
        <f t="shared" si="59"/>
        <v>807891</v>
      </c>
      <c r="J166" s="261"/>
      <c r="K166" s="1676">
        <f t="shared" si="60"/>
        <v>1.6157820000000001</v>
      </c>
      <c r="L166" s="75"/>
      <c r="M166" s="1676" t="s">
        <v>1007</v>
      </c>
      <c r="N166" s="75"/>
      <c r="O166" s="55">
        <f t="shared" si="62"/>
        <v>807891</v>
      </c>
      <c r="P166" s="1965"/>
      <c r="Q166" s="261" t="s">
        <v>1007</v>
      </c>
      <c r="R166" s="49"/>
      <c r="S166" s="1676" t="s">
        <v>1007</v>
      </c>
      <c r="T166" s="49"/>
      <c r="U166" s="67">
        <f t="shared" si="63"/>
        <v>16.157820000000001</v>
      </c>
      <c r="V166" s="48"/>
      <c r="W166" s="1972"/>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75" customHeight="1">
      <c r="A167" s="1"/>
      <c r="B167" s="313" t="s">
        <v>1500</v>
      </c>
      <c r="C167" s="1963"/>
      <c r="D167" s="261"/>
      <c r="E167" s="75"/>
      <c r="F167" s="75"/>
      <c r="G167" s="75"/>
      <c r="H167" s="75"/>
      <c r="I167" s="1676"/>
      <c r="J167" s="261"/>
      <c r="K167" s="1676"/>
      <c r="L167" s="75"/>
      <c r="M167" s="75"/>
      <c r="N167" s="75"/>
      <c r="O167" s="75"/>
      <c r="P167" s="75"/>
      <c r="Q167" s="75"/>
      <c r="R167" s="49"/>
      <c r="S167" s="261"/>
      <c r="T167" s="75"/>
      <c r="U167" s="85"/>
      <c r="V167" s="48"/>
      <c r="W167" s="1972"/>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75" customHeight="1">
      <c r="A168" s="1"/>
      <c r="B168" s="922" t="s">
        <v>1516</v>
      </c>
      <c r="C168" s="1755">
        <v>2</v>
      </c>
      <c r="D168" s="261"/>
      <c r="E168" s="75">
        <v>198</v>
      </c>
      <c r="F168" s="75"/>
      <c r="G168" s="75">
        <v>0.23499999999999999</v>
      </c>
      <c r="H168" s="75"/>
      <c r="I168" s="1676">
        <f t="shared" ref="I168:I172" si="64">C168*E168*G168*365</f>
        <v>33966.899999999994</v>
      </c>
      <c r="J168" s="261"/>
      <c r="K168" s="1676">
        <f t="shared" ref="K168:K172" si="65">(I168*0.2*0.01)/1000</f>
        <v>6.7933799999999989E-2</v>
      </c>
      <c r="L168" s="75"/>
      <c r="M168" s="49">
        <f>C168*(BC157+BD157+BE157+BF157)*E168*G168*365</f>
        <v>26786.066568881401</v>
      </c>
      <c r="N168" s="75"/>
      <c r="O168" s="49">
        <f t="shared" ref="O168:O172" si="66">C168*(BB$157)*E168*G168*365</f>
        <v>7180.8334311185999</v>
      </c>
      <c r="P168" s="75"/>
      <c r="Q168" s="261" t="s">
        <v>1007</v>
      </c>
      <c r="R168" s="49"/>
      <c r="S168" s="1512">
        <f t="shared" ref="S168:S172" si="67">((M168)*(1-0.2)*0.0125)/1000</f>
        <v>0.26786066568881406</v>
      </c>
      <c r="T168" s="49"/>
      <c r="U168" s="67">
        <f t="shared" ref="U168:U172" si="68">(O168*0.02)/1000</f>
        <v>0.14361666862237199</v>
      </c>
      <c r="V168" s="1973"/>
      <c r="W168" s="1972"/>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75" customHeight="1">
      <c r="A169" s="1"/>
      <c r="B169" s="922" t="s">
        <v>1517</v>
      </c>
      <c r="C169" s="1755">
        <v>9</v>
      </c>
      <c r="D169" s="261"/>
      <c r="E169" s="75">
        <v>15.88</v>
      </c>
      <c r="F169" s="75"/>
      <c r="G169" s="75">
        <v>0.6</v>
      </c>
      <c r="H169" s="75"/>
      <c r="I169" s="1676">
        <f t="shared" si="64"/>
        <v>31299.480000000003</v>
      </c>
      <c r="J169" s="261"/>
      <c r="K169" s="1676">
        <f t="shared" si="65"/>
        <v>6.2598960000000009E-2</v>
      </c>
      <c r="L169" s="75"/>
      <c r="M169" s="49">
        <f>C169*(BC157+BD157+BE157+BF157)*E169*G169*365</f>
        <v>24682.557279332883</v>
      </c>
      <c r="N169" s="75"/>
      <c r="O169" s="49">
        <f t="shared" si="66"/>
        <v>6616.9227206671203</v>
      </c>
      <c r="P169" s="75"/>
      <c r="Q169" s="261" t="s">
        <v>1007</v>
      </c>
      <c r="R169" s="49"/>
      <c r="S169" s="1512">
        <f t="shared" si="67"/>
        <v>0.2468255727933289</v>
      </c>
      <c r="T169" s="49"/>
      <c r="U169" s="67">
        <f t="shared" si="68"/>
        <v>0.13233845441334241</v>
      </c>
      <c r="V169" s="1974"/>
      <c r="W169" s="1972"/>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75" customHeight="1">
      <c r="A170" s="1"/>
      <c r="B170" s="922" t="s">
        <v>1518</v>
      </c>
      <c r="C170" s="1756">
        <v>7</v>
      </c>
      <c r="D170" s="261"/>
      <c r="E170" s="75">
        <v>40.6</v>
      </c>
      <c r="F170" s="75"/>
      <c r="G170" s="75">
        <v>0.42</v>
      </c>
      <c r="H170" s="75"/>
      <c r="I170" s="1676">
        <f t="shared" si="64"/>
        <v>43567.859999999993</v>
      </c>
      <c r="J170" s="261"/>
      <c r="K170" s="1676">
        <f t="shared" si="65"/>
        <v>8.7135719999999972E-2</v>
      </c>
      <c r="L170" s="75"/>
      <c r="M170" s="49">
        <f>C170*(BC157+BD157+BE157+BF157)*E170*G170*365</f>
        <v>34357.318395959162</v>
      </c>
      <c r="N170" s="75"/>
      <c r="O170" s="49">
        <f t="shared" si="66"/>
        <v>9210.54160404084</v>
      </c>
      <c r="P170" s="75"/>
      <c r="Q170" s="261" t="s">
        <v>1007</v>
      </c>
      <c r="R170" s="49"/>
      <c r="S170" s="1512">
        <f t="shared" si="67"/>
        <v>0.34357318395959169</v>
      </c>
      <c r="T170" s="49"/>
      <c r="U170" s="67">
        <f t="shared" si="68"/>
        <v>0.18421083208081679</v>
      </c>
      <c r="V170" s="1973"/>
      <c r="W170" s="1972"/>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75" customHeight="1">
      <c r="A171" s="1"/>
      <c r="B171" s="922" t="s">
        <v>1519</v>
      </c>
      <c r="C171" s="1755">
        <v>4</v>
      </c>
      <c r="D171" s="261"/>
      <c r="E171" s="75">
        <v>67.819999999999993</v>
      </c>
      <c r="F171" s="75"/>
      <c r="G171" s="75">
        <v>0.42</v>
      </c>
      <c r="H171" s="75"/>
      <c r="I171" s="1676">
        <f t="shared" si="64"/>
        <v>41587.223999999995</v>
      </c>
      <c r="J171" s="261"/>
      <c r="K171" s="1676">
        <f t="shared" si="65"/>
        <v>8.3174447999999998E-2</v>
      </c>
      <c r="L171" s="75"/>
      <c r="M171" s="49">
        <f>C171*(BC157+BD157+BE157+BF157)*E171*G171*365</f>
        <v>32795.402302800147</v>
      </c>
      <c r="N171" s="75"/>
      <c r="O171" s="49">
        <f t="shared" si="66"/>
        <v>8791.8216971998554</v>
      </c>
      <c r="P171" s="75"/>
      <c r="Q171" s="261" t="s">
        <v>1007</v>
      </c>
      <c r="R171" s="49"/>
      <c r="S171" s="1512">
        <f t="shared" si="67"/>
        <v>0.32795402302800153</v>
      </c>
      <c r="T171" s="49"/>
      <c r="U171" s="67">
        <f t="shared" si="68"/>
        <v>0.17583643394399712</v>
      </c>
      <c r="V171" s="48"/>
      <c r="W171" s="1972"/>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75" customHeight="1">
      <c r="A172" s="1"/>
      <c r="B172" s="922" t="s">
        <v>1520</v>
      </c>
      <c r="C172" s="1755">
        <v>4</v>
      </c>
      <c r="D172" s="261"/>
      <c r="E172" s="75">
        <v>90.75</v>
      </c>
      <c r="F172" s="75"/>
      <c r="G172" s="75">
        <v>0.42</v>
      </c>
      <c r="H172" s="75"/>
      <c r="I172" s="1676">
        <f t="shared" si="64"/>
        <v>55647.9</v>
      </c>
      <c r="J172" s="261"/>
      <c r="K172" s="1676">
        <f t="shared" si="65"/>
        <v>0.11129580000000001</v>
      </c>
      <c r="L172" s="75"/>
      <c r="M172" s="49">
        <f>C172*(BC157+BD157+BE157+BF157)*E172*G172*365</f>
        <v>43883.555868167401</v>
      </c>
      <c r="N172" s="75"/>
      <c r="O172" s="49">
        <f t="shared" si="66"/>
        <v>11764.3441318326</v>
      </c>
      <c r="P172" s="75"/>
      <c r="Q172" s="261" t="s">
        <v>1007</v>
      </c>
      <c r="R172" s="49"/>
      <c r="S172" s="1512">
        <f t="shared" si="67"/>
        <v>0.43883555868167406</v>
      </c>
      <c r="T172" s="49"/>
      <c r="U172" s="67">
        <f t="shared" si="68"/>
        <v>0.23528688263665201</v>
      </c>
      <c r="V172" s="48"/>
      <c r="W172" s="1972"/>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75" customHeight="1">
      <c r="A173" s="1"/>
      <c r="B173" s="313" t="s">
        <v>1476</v>
      </c>
      <c r="C173" s="1963"/>
      <c r="D173" s="261"/>
      <c r="E173" s="75"/>
      <c r="F173" s="75"/>
      <c r="G173" s="75"/>
      <c r="H173" s="75"/>
      <c r="I173" s="1676"/>
      <c r="J173" s="261"/>
      <c r="K173" s="1676"/>
      <c r="L173" s="75"/>
      <c r="M173" s="75"/>
      <c r="N173" s="75"/>
      <c r="O173" s="75"/>
      <c r="P173" s="75"/>
      <c r="Q173" s="75"/>
      <c r="R173" s="49"/>
      <c r="S173" s="1512"/>
      <c r="T173" s="75"/>
      <c r="U173" s="85"/>
      <c r="V173" s="48"/>
      <c r="W173" s="254"/>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75" customHeight="1">
      <c r="A174" s="1"/>
      <c r="B174" s="922" t="s">
        <v>1521</v>
      </c>
      <c r="C174" s="1963"/>
      <c r="D174" s="261"/>
      <c r="E174" s="75"/>
      <c r="F174" s="75"/>
      <c r="G174" s="75"/>
      <c r="H174" s="75"/>
      <c r="I174" s="1676"/>
      <c r="J174" s="261"/>
      <c r="K174" s="1676"/>
      <c r="L174" s="75"/>
      <c r="M174" s="75"/>
      <c r="N174" s="75"/>
      <c r="O174" s="75"/>
      <c r="P174" s="75"/>
      <c r="Q174" s="75"/>
      <c r="R174" s="49"/>
      <c r="S174" s="1512"/>
      <c r="T174" s="75"/>
      <c r="U174" s="85"/>
      <c r="V174" s="1974"/>
      <c r="W174" s="1972"/>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75" customHeight="1">
      <c r="A175" s="1"/>
      <c r="B175" s="922" t="s">
        <v>1522</v>
      </c>
      <c r="C175" s="1755">
        <v>2292</v>
      </c>
      <c r="D175" s="261"/>
      <c r="E175" s="75">
        <v>1.8</v>
      </c>
      <c r="F175" s="75"/>
      <c r="G175" s="75">
        <v>0.83</v>
      </c>
      <c r="H175" s="75"/>
      <c r="I175" s="1676">
        <f t="shared" ref="I175:I179" si="69">C175*E175*G175*365</f>
        <v>1249850.52</v>
      </c>
      <c r="J175" s="261"/>
      <c r="K175" s="1676">
        <f t="shared" ref="K175:K179" si="70">(I175*0.2*0.01)/1000</f>
        <v>2.4997010400000006</v>
      </c>
      <c r="L175" s="75"/>
      <c r="M175" s="49">
        <f t="shared" ref="M175:M179" si="71">C175*(BI$157+BJ$157+BK$157+BL$157)*E175*G175*365</f>
        <v>1249850.52</v>
      </c>
      <c r="N175" s="75"/>
      <c r="O175" s="261" t="s">
        <v>1007</v>
      </c>
      <c r="P175" s="75"/>
      <c r="Q175" s="261" t="s">
        <v>1007</v>
      </c>
      <c r="R175" s="49"/>
      <c r="S175" s="1512">
        <f t="shared" ref="S175:S176" si="72">((M175)*(1-0.042)*(1-0.2)*0.0125)/1000</f>
        <v>11.9735679816</v>
      </c>
      <c r="T175" s="49"/>
      <c r="U175" s="1903" t="s">
        <v>1007</v>
      </c>
      <c r="V175" s="1974"/>
      <c r="W175" s="1972"/>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75" customHeight="1">
      <c r="A176" s="1"/>
      <c r="B176" s="922" t="s">
        <v>1523</v>
      </c>
      <c r="C176" s="1755">
        <v>184</v>
      </c>
      <c r="D176" s="261"/>
      <c r="E176" s="75">
        <v>1.8</v>
      </c>
      <c r="F176" s="75"/>
      <c r="G176" s="75">
        <v>0.62</v>
      </c>
      <c r="H176" s="75"/>
      <c r="I176" s="1676">
        <f t="shared" si="69"/>
        <v>74950.559999999998</v>
      </c>
      <c r="J176" s="261"/>
      <c r="K176" s="1676">
        <f t="shared" si="70"/>
        <v>0.14990112000000003</v>
      </c>
      <c r="L176" s="75"/>
      <c r="M176" s="49">
        <f t="shared" si="71"/>
        <v>74950.559999999998</v>
      </c>
      <c r="N176" s="75"/>
      <c r="O176" s="261" t="s">
        <v>1007</v>
      </c>
      <c r="P176" s="75"/>
      <c r="Q176" s="261" t="s">
        <v>1007</v>
      </c>
      <c r="R176" s="49"/>
      <c r="S176" s="1512">
        <f t="shared" si="72"/>
        <v>0.71802636480000004</v>
      </c>
      <c r="T176" s="49"/>
      <c r="U176" s="1903" t="s">
        <v>1007</v>
      </c>
      <c r="V176" s="1974"/>
      <c r="W176" s="1972"/>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75" customHeight="1">
      <c r="A177" s="1"/>
      <c r="B177" s="922" t="s">
        <v>1524</v>
      </c>
      <c r="C177" s="1755">
        <v>12</v>
      </c>
      <c r="D177" s="261"/>
      <c r="E177" s="75">
        <v>1.8</v>
      </c>
      <c r="F177" s="75"/>
      <c r="G177" s="75">
        <v>0.83</v>
      </c>
      <c r="H177" s="75"/>
      <c r="I177" s="1676">
        <f t="shared" si="69"/>
        <v>6543.72</v>
      </c>
      <c r="J177" s="261"/>
      <c r="K177" s="1676">
        <f t="shared" si="70"/>
        <v>1.3087440000000001E-2</v>
      </c>
      <c r="L177" s="75"/>
      <c r="M177" s="49">
        <f t="shared" si="71"/>
        <v>6543.72</v>
      </c>
      <c r="N177" s="75"/>
      <c r="O177" s="261" t="s">
        <v>1007</v>
      </c>
      <c r="P177" s="75"/>
      <c r="Q177" s="261" t="s">
        <v>1007</v>
      </c>
      <c r="R177" s="49"/>
      <c r="S177" s="1512">
        <f t="shared" ref="S177:S179" si="73">(((M177)*(0.958)*(1-0.2)*0.0125))/1000</f>
        <v>6.2688837600000005E-2</v>
      </c>
      <c r="T177" s="49"/>
      <c r="U177" s="1903" t="s">
        <v>1007</v>
      </c>
      <c r="V177" s="1974"/>
      <c r="W177" s="1972"/>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75" customHeight="1">
      <c r="A178" s="1"/>
      <c r="B178" s="922" t="s">
        <v>1525</v>
      </c>
      <c r="C178" s="1755">
        <v>53072.7</v>
      </c>
      <c r="D178" s="261"/>
      <c r="E178" s="75">
        <v>0.9</v>
      </c>
      <c r="F178" s="75"/>
      <c r="G178" s="75">
        <v>1.1000000000000001</v>
      </c>
      <c r="H178" s="75"/>
      <c r="I178" s="1676">
        <f t="shared" si="69"/>
        <v>19177820.145000003</v>
      </c>
      <c r="J178" s="261"/>
      <c r="K178" s="1676">
        <f t="shared" si="70"/>
        <v>38.355640290000011</v>
      </c>
      <c r="L178" s="75"/>
      <c r="M178" s="49">
        <f t="shared" si="71"/>
        <v>19177820.145000003</v>
      </c>
      <c r="N178" s="75"/>
      <c r="O178" s="261" t="s">
        <v>1007</v>
      </c>
      <c r="P178" s="75"/>
      <c r="Q178" s="261" t="s">
        <v>1007</v>
      </c>
      <c r="R178" s="49"/>
      <c r="S178" s="1512">
        <f t="shared" si="73"/>
        <v>183.72351698910003</v>
      </c>
      <c r="T178" s="49"/>
      <c r="U178" s="1903" t="s">
        <v>1007</v>
      </c>
      <c r="V178" s="48"/>
      <c r="W178" s="1972"/>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75" customHeight="1">
      <c r="A179" s="1"/>
      <c r="B179" s="922" t="s">
        <v>1526</v>
      </c>
      <c r="C179" s="1755">
        <v>704</v>
      </c>
      <c r="D179" s="261"/>
      <c r="E179" s="75">
        <v>6.8</v>
      </c>
      <c r="F179" s="75"/>
      <c r="G179" s="75">
        <v>0.74</v>
      </c>
      <c r="H179" s="75"/>
      <c r="I179" s="1676">
        <f t="shared" si="69"/>
        <v>1293022.72</v>
      </c>
      <c r="J179" s="261"/>
      <c r="K179" s="1676">
        <f t="shared" si="70"/>
        <v>2.5860454399999999</v>
      </c>
      <c r="L179" s="75"/>
      <c r="M179" s="49">
        <f t="shared" si="71"/>
        <v>1293022.72</v>
      </c>
      <c r="N179" s="75"/>
      <c r="O179" s="1676">
        <f>C179*(BS157)*E179*G179*365</f>
        <v>129302.27200000001</v>
      </c>
      <c r="P179" s="75"/>
      <c r="Q179" s="261" t="s">
        <v>1007</v>
      </c>
      <c r="R179" s="49"/>
      <c r="S179" s="49">
        <f t="shared" si="73"/>
        <v>12.387157657600001</v>
      </c>
      <c r="T179" s="49"/>
      <c r="U179" s="67">
        <f>(O179*0.02)/1000</f>
        <v>2.5860454400000004</v>
      </c>
      <c r="V179" s="48"/>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75" customHeight="1">
      <c r="A180" s="1"/>
      <c r="B180" s="313" t="s">
        <v>785</v>
      </c>
      <c r="C180" s="1963"/>
      <c r="D180" s="261"/>
      <c r="E180" s="75"/>
      <c r="F180" s="75"/>
      <c r="G180" s="75"/>
      <c r="H180" s="75"/>
      <c r="I180" s="1676"/>
      <c r="J180" s="261"/>
      <c r="K180" s="1676"/>
      <c r="L180" s="75"/>
      <c r="M180" s="75"/>
      <c r="N180" s="75"/>
      <c r="O180" s="75"/>
      <c r="P180" s="75"/>
      <c r="Q180" s="75"/>
      <c r="R180" s="49"/>
      <c r="S180" s="75"/>
      <c r="T180" s="75"/>
      <c r="U180" s="85"/>
      <c r="V180" s="48"/>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75" customHeight="1">
      <c r="A181" s="1"/>
      <c r="B181" s="922" t="s">
        <v>1527</v>
      </c>
      <c r="C181" s="1755">
        <v>0</v>
      </c>
      <c r="D181" s="261"/>
      <c r="E181" s="75">
        <v>25</v>
      </c>
      <c r="F181" s="75"/>
      <c r="G181" s="75">
        <v>0.42</v>
      </c>
      <c r="H181" s="75"/>
      <c r="I181" s="1676">
        <f t="shared" ref="I181:I184" si="74">C181*E181*G181*365</f>
        <v>0</v>
      </c>
      <c r="J181" s="261"/>
      <c r="K181" s="1676">
        <f t="shared" ref="K181:K184" si="75">(I181*0.2*0.01)/1000</f>
        <v>0</v>
      </c>
      <c r="L181" s="261"/>
      <c r="M181" s="49">
        <f>C181*(1-BV157)*E181*G181*365</f>
        <v>0</v>
      </c>
      <c r="N181" s="261"/>
      <c r="O181" s="1676">
        <f>C181*(BV157)*E181*G181*365</f>
        <v>0</v>
      </c>
      <c r="P181" s="261"/>
      <c r="Q181" s="261" t="s">
        <v>1007</v>
      </c>
      <c r="R181" s="49"/>
      <c r="S181" s="49">
        <f t="shared" ref="S181:S182" si="76">((M181)*(1-0.2)*0.0125)/1000</f>
        <v>0</v>
      </c>
      <c r="T181" s="49"/>
      <c r="U181" s="67">
        <f t="shared" ref="U181:U184" si="77">(O181*0.02)/1000</f>
        <v>0</v>
      </c>
      <c r="V181" s="48"/>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75" customHeight="1">
      <c r="A182" s="1"/>
      <c r="B182" s="922" t="s">
        <v>1528</v>
      </c>
      <c r="C182" s="1756">
        <v>24</v>
      </c>
      <c r="D182" s="261"/>
      <c r="E182" s="75">
        <v>80</v>
      </c>
      <c r="F182" s="75"/>
      <c r="G182" s="75">
        <v>0.42</v>
      </c>
      <c r="H182" s="75"/>
      <c r="I182" s="1676">
        <f t="shared" si="74"/>
        <v>294336</v>
      </c>
      <c r="J182" s="261"/>
      <c r="K182" s="1676">
        <f t="shared" si="75"/>
        <v>0.58867199999999997</v>
      </c>
      <c r="L182" s="261"/>
      <c r="M182" s="49">
        <f>C182*(1-BW157)*E182*G182*365</f>
        <v>0</v>
      </c>
      <c r="N182" s="261"/>
      <c r="O182" s="1676">
        <f>C182*(BW157)*E182*G182*365</f>
        <v>294336</v>
      </c>
      <c r="P182" s="261"/>
      <c r="Q182" s="261" t="s">
        <v>1007</v>
      </c>
      <c r="R182" s="49"/>
      <c r="S182" s="49">
        <f t="shared" si="76"/>
        <v>0</v>
      </c>
      <c r="T182" s="49"/>
      <c r="U182" s="67">
        <f t="shared" si="77"/>
        <v>5.8867200000000004</v>
      </c>
      <c r="V182" s="48"/>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75" customHeight="1">
      <c r="A183" s="1"/>
      <c r="B183" s="922" t="s">
        <v>1499</v>
      </c>
      <c r="C183" s="1755">
        <v>12</v>
      </c>
      <c r="D183" s="261"/>
      <c r="E183" s="75">
        <v>64</v>
      </c>
      <c r="F183" s="75"/>
      <c r="G183" s="75">
        <v>0.45</v>
      </c>
      <c r="H183" s="75"/>
      <c r="I183" s="1676">
        <f t="shared" si="74"/>
        <v>126144.00000000001</v>
      </c>
      <c r="J183" s="261"/>
      <c r="K183" s="1676">
        <f t="shared" si="75"/>
        <v>0.25228800000000001</v>
      </c>
      <c r="L183" s="261"/>
      <c r="M183" s="1676" t="s">
        <v>1007</v>
      </c>
      <c r="N183" s="261"/>
      <c r="O183" s="1676">
        <f>C183*(BZ157)*E183*G183*365</f>
        <v>126144.00000000001</v>
      </c>
      <c r="P183" s="261"/>
      <c r="Q183" s="261" t="s">
        <v>1007</v>
      </c>
      <c r="R183" s="49"/>
      <c r="S183" s="1676" t="s">
        <v>1007</v>
      </c>
      <c r="T183" s="49"/>
      <c r="U183" s="67">
        <f t="shared" si="77"/>
        <v>2.5228800000000007</v>
      </c>
      <c r="V183" s="48"/>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75" customHeight="1">
      <c r="A184" s="1"/>
      <c r="B184" s="922" t="s">
        <v>1501</v>
      </c>
      <c r="C184" s="1756">
        <v>79.099999999999994</v>
      </c>
      <c r="D184" s="261"/>
      <c r="E184" s="75">
        <v>450</v>
      </c>
      <c r="F184" s="75"/>
      <c r="G184" s="75">
        <v>0.3</v>
      </c>
      <c r="H184" s="75"/>
      <c r="I184" s="1676">
        <f t="shared" si="74"/>
        <v>3897652.5</v>
      </c>
      <c r="J184" s="261"/>
      <c r="K184" s="1676">
        <f t="shared" si="75"/>
        <v>7.7953049999999999</v>
      </c>
      <c r="L184" s="261"/>
      <c r="M184" s="1676" t="s">
        <v>1007</v>
      </c>
      <c r="N184" s="261"/>
      <c r="O184" s="1676">
        <f>C184*CC157*E184*G184*365</f>
        <v>3897652.5</v>
      </c>
      <c r="P184" s="261"/>
      <c r="Q184" s="261" t="s">
        <v>1007</v>
      </c>
      <c r="R184" s="49"/>
      <c r="S184" s="1676" t="s">
        <v>1007</v>
      </c>
      <c r="T184" s="49"/>
      <c r="U184" s="67">
        <f t="shared" si="77"/>
        <v>77.953050000000005</v>
      </c>
      <c r="V184" s="48"/>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75" customHeight="1">
      <c r="A185" s="1"/>
      <c r="B185" s="1758" t="s">
        <v>1502</v>
      </c>
      <c r="C185" s="1975"/>
      <c r="D185" s="1759"/>
      <c r="E185" s="1764"/>
      <c r="F185" s="1764"/>
      <c r="G185" s="1764"/>
      <c r="H185" s="1764"/>
      <c r="I185" s="1801">
        <f>SUM(I157:I184)</f>
        <v>38992393.959000006</v>
      </c>
      <c r="J185" s="1759"/>
      <c r="K185" s="1801">
        <f>SUM(K157:K184)</f>
        <v>77.984787918000009</v>
      </c>
      <c r="L185" s="1764"/>
      <c r="M185" s="1801">
        <f>SUM(M157:M184)</f>
        <v>26061471.481390499</v>
      </c>
      <c r="N185" s="1759"/>
      <c r="O185" s="1801">
        <f>SUM(O157:O184)</f>
        <v>9822160.3820491023</v>
      </c>
      <c r="P185" s="1764"/>
      <c r="Q185" s="1801">
        <f>SUM(Q157:Q184)</f>
        <v>3238064.3675603988</v>
      </c>
      <c r="R185" s="1759"/>
      <c r="S185" s="1976">
        <f>SUM(S157:S184)</f>
        <v>283.83843967020903</v>
      </c>
      <c r="T185" s="1801"/>
      <c r="U185" s="1977">
        <f>SUM(U157:U184)</f>
        <v>196.44320764098205</v>
      </c>
      <c r="V185" s="501"/>
      <c r="W185" s="1"/>
      <c r="X185" s="1"/>
      <c r="Y185" s="22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75" customHeight="1">
      <c r="A186" s="1"/>
      <c r="B186" s="1978"/>
      <c r="C186" s="1979"/>
      <c r="D186" s="435"/>
      <c r="E186" s="1165"/>
      <c r="F186" s="435"/>
      <c r="G186" s="1165"/>
      <c r="H186" s="421"/>
      <c r="I186" s="421"/>
      <c r="J186" s="421"/>
      <c r="K186" s="421"/>
      <c r="L186" s="421"/>
      <c r="M186" s="421"/>
      <c r="N186" s="454"/>
      <c r="O186" s="1"/>
      <c r="P186" s="1"/>
      <c r="Q186" s="1"/>
      <c r="R186" s="1"/>
      <c r="S186" s="1"/>
      <c r="T186" s="1"/>
      <c r="U186" s="1"/>
      <c r="V186" s="35"/>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75" customHeight="1">
      <c r="A187" s="1"/>
      <c r="B187" s="1980" t="s">
        <v>1655</v>
      </c>
      <c r="C187" s="1981"/>
      <c r="D187" s="1415"/>
      <c r="E187" s="1415"/>
      <c r="F187" s="1415"/>
      <c r="G187" s="1415"/>
      <c r="H187" s="1415"/>
      <c r="I187" s="1415"/>
      <c r="J187" s="1415"/>
      <c r="K187" s="1415"/>
      <c r="L187" s="1415"/>
      <c r="M187" s="1415"/>
      <c r="N187" s="1415"/>
      <c r="O187" s="1415"/>
      <c r="P187" s="1415"/>
      <c r="Q187" s="1415"/>
      <c r="R187" s="1982"/>
      <c r="S187" s="1983"/>
      <c r="T187" s="36"/>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60" customHeight="1">
      <c r="A188" s="1"/>
      <c r="B188" s="1984"/>
      <c r="C188" s="1985"/>
      <c r="D188" s="1986"/>
      <c r="E188" s="1401"/>
      <c r="F188" s="1782"/>
      <c r="G188" s="1987" t="s">
        <v>1656</v>
      </c>
      <c r="H188" s="1988"/>
      <c r="I188" s="1987" t="s">
        <v>1657</v>
      </c>
      <c r="J188" s="1988"/>
      <c r="K188" s="1987" t="s">
        <v>1658</v>
      </c>
      <c r="L188" s="1988"/>
      <c r="M188" s="1988"/>
      <c r="N188" s="1989"/>
      <c r="O188" s="1990" t="s">
        <v>1659</v>
      </c>
      <c r="P188" s="981"/>
      <c r="Q188" s="1990" t="s">
        <v>1660</v>
      </c>
      <c r="R188" s="1991"/>
      <c r="S188" s="1992" t="s">
        <v>1661</v>
      </c>
      <c r="T188" s="36"/>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2.75" customHeight="1">
      <c r="A189" s="1"/>
      <c r="B189" s="1882"/>
      <c r="C189" s="2285" t="s">
        <v>1662</v>
      </c>
      <c r="D189" s="2286"/>
      <c r="E189" s="2287"/>
      <c r="F189" s="1993"/>
      <c r="G189" s="1994">
        <f>K185*44/28</f>
        <v>122.54752387114287</v>
      </c>
      <c r="H189" s="1995"/>
      <c r="I189" s="1996">
        <f>G189*$Z$8*12/44*10^-6</f>
        <v>8.856843770687144E-3</v>
      </c>
      <c r="J189" s="1995"/>
      <c r="K189" s="1996">
        <f t="shared" ref="K189:K192" si="78">I189/(12/44)</f>
        <v>3.2475093825852862E-2</v>
      </c>
      <c r="L189" s="75"/>
      <c r="M189" s="1010"/>
      <c r="N189" s="1997" t="s">
        <v>1663</v>
      </c>
      <c r="O189" s="1994">
        <f>W164*44/28</f>
        <v>248.9274919150329</v>
      </c>
      <c r="P189" s="1010"/>
      <c r="Q189" s="1996">
        <f>O189*$Z$8*12/44*10^-6</f>
        <v>1.7990668733859197E-2</v>
      </c>
      <c r="R189" s="1010"/>
      <c r="S189" s="1996">
        <f t="shared" ref="S189:S191" si="79">Q189/(12/44)</f>
        <v>6.5965785357483722E-2</v>
      </c>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75" customHeight="1">
      <c r="A190" s="1"/>
      <c r="B190" s="1667"/>
      <c r="C190" s="260"/>
      <c r="D190" s="260"/>
      <c r="E190" s="1998" t="s">
        <v>1664</v>
      </c>
      <c r="F190" s="261"/>
      <c r="G190" s="1676">
        <f>(U185+S185)*44/28</f>
        <v>754.72830291758601</v>
      </c>
      <c r="H190" s="75"/>
      <c r="I190" s="1889">
        <f>G190*$Z$8*12/44*10^-6</f>
        <v>5.454627280177099E-2</v>
      </c>
      <c r="J190" s="75"/>
      <c r="K190" s="1810">
        <f t="shared" si="78"/>
        <v>0.20000300027316031</v>
      </c>
      <c r="L190" s="75"/>
      <c r="M190" s="75"/>
      <c r="N190" s="1999" t="s">
        <v>1665</v>
      </c>
      <c r="O190" s="1676">
        <f>SUM(W159)*0.0075*44/28</f>
        <v>111.06152755999712</v>
      </c>
      <c r="P190" s="921"/>
      <c r="Q190" s="1676">
        <f>O190*$Z$8*12/44*10^-6</f>
        <v>8.026719491836155E-3</v>
      </c>
      <c r="R190" s="921"/>
      <c r="S190" s="1812">
        <f t="shared" si="79"/>
        <v>2.9431304803399238E-2</v>
      </c>
      <c r="T190" s="36"/>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75" customHeight="1">
      <c r="A191" s="1"/>
      <c r="B191" s="1667"/>
      <c r="C191" s="260"/>
      <c r="D191" s="260"/>
      <c r="E191" s="1998" t="s">
        <v>1666</v>
      </c>
      <c r="F191" s="261"/>
      <c r="G191" s="1676">
        <f>U185*44/28</f>
        <v>308.69646915011469</v>
      </c>
      <c r="H191" s="75"/>
      <c r="I191" s="1889">
        <f>G191*$Z$8*12/44*10^-6</f>
        <v>2.2310335724940109E-2</v>
      </c>
      <c r="J191" s="75"/>
      <c r="K191" s="1810">
        <f t="shared" si="78"/>
        <v>8.1804564324780407E-2</v>
      </c>
      <c r="L191" s="75"/>
      <c r="M191" s="75"/>
      <c r="N191" s="1999" t="s">
        <v>1667</v>
      </c>
      <c r="O191" s="1676">
        <f>SUM(W162)*0.0075*44/28</f>
        <v>137.86596435503574</v>
      </c>
      <c r="P191" s="921"/>
      <c r="Q191" s="1676">
        <f>O191*$Z$8*12/44*10^-6</f>
        <v>9.9639492420230402E-3</v>
      </c>
      <c r="R191" s="921"/>
      <c r="S191" s="1812">
        <f t="shared" si="79"/>
        <v>3.6534480554084481E-2</v>
      </c>
      <c r="T191" s="36"/>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2.75" customHeight="1">
      <c r="A192" s="1"/>
      <c r="B192" s="1882"/>
      <c r="C192" s="2285" t="s">
        <v>1668</v>
      </c>
      <c r="D192" s="2286"/>
      <c r="E192" s="2287"/>
      <c r="F192" s="2000"/>
      <c r="G192" s="1994">
        <f>SUM(G190:G191)</f>
        <v>1063.4247720677008</v>
      </c>
      <c r="H192" s="1010"/>
      <c r="I192" s="1996">
        <f>G192*$Z$8*12/44*10^-6</f>
        <v>7.6856608526711098E-2</v>
      </c>
      <c r="J192" s="2000"/>
      <c r="K192" s="1996">
        <f t="shared" si="78"/>
        <v>0.28180756459794071</v>
      </c>
      <c r="L192" s="75"/>
      <c r="M192" s="261"/>
      <c r="N192" s="920"/>
      <c r="O192" s="920"/>
      <c r="P192" s="1234"/>
      <c r="Q192" s="1234"/>
      <c r="R192" s="921"/>
      <c r="S192" s="321"/>
      <c r="T192" s="36"/>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75" customHeight="1">
      <c r="A193" s="1"/>
      <c r="B193" s="2001"/>
      <c r="C193" s="2002"/>
      <c r="D193" s="2002"/>
      <c r="E193" s="2002"/>
      <c r="F193" s="1822"/>
      <c r="G193" s="2003"/>
      <c r="H193" s="263"/>
      <c r="I193" s="2004"/>
      <c r="J193" s="1822"/>
      <c r="K193" s="2004"/>
      <c r="L193" s="263"/>
      <c r="M193" s="1822"/>
      <c r="N193" s="2005"/>
      <c r="O193" s="39"/>
      <c r="P193" s="1648"/>
      <c r="Q193" s="1648"/>
      <c r="R193" s="39"/>
      <c r="S193" s="56"/>
      <c r="T193" s="36"/>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75" customHeight="1">
      <c r="A194" s="1"/>
      <c r="B194" s="2006"/>
      <c r="C194" s="2007"/>
      <c r="D194" s="2007"/>
      <c r="E194" s="2007"/>
      <c r="F194" s="50"/>
      <c r="G194" s="1643"/>
      <c r="H194" s="1"/>
      <c r="I194" s="2008"/>
      <c r="J194" s="50"/>
      <c r="K194" s="2008"/>
      <c r="L194" s="1"/>
      <c r="M194" s="50"/>
      <c r="N194" s="1"/>
      <c r="O194" s="1"/>
      <c r="P194" s="50"/>
      <c r="Q194" s="50"/>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75" customHeight="1">
      <c r="A195" s="1"/>
      <c r="B195" s="1744"/>
      <c r="C195" s="1648"/>
      <c r="D195" s="1648"/>
      <c r="E195" s="1648"/>
      <c r="F195" s="1648"/>
      <c r="G195" s="1766"/>
      <c r="H195" s="46"/>
      <c r="I195" s="1184"/>
      <c r="J195" s="46"/>
      <c r="K195" s="1183"/>
      <c r="L195" s="1"/>
      <c r="M195" s="1183"/>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21" customHeight="1">
      <c r="A196" s="1"/>
      <c r="B196" s="1749" t="s">
        <v>1669</v>
      </c>
      <c r="C196" s="1769"/>
      <c r="D196" s="1769"/>
      <c r="E196" s="1769"/>
      <c r="F196" s="1769"/>
      <c r="G196" s="1770"/>
      <c r="H196" s="1771"/>
      <c r="I196" s="1772"/>
      <c r="J196" s="1771"/>
      <c r="K196" s="1773"/>
      <c r="L196" s="1750"/>
      <c r="M196" s="1773"/>
      <c r="N196" s="1750"/>
      <c r="O196" s="1750"/>
      <c r="P196" s="1750"/>
      <c r="Q196" s="1750"/>
      <c r="R196" s="1750"/>
      <c r="S196" s="1750"/>
      <c r="T196" s="1750"/>
      <c r="U196" s="1750"/>
      <c r="V196" s="1750"/>
      <c r="W196" s="1750"/>
      <c r="X196" s="1750"/>
      <c r="Y196" s="1750"/>
      <c r="Z196" s="1750"/>
      <c r="AA196" s="1750"/>
      <c r="AB196" s="1750"/>
      <c r="AC196" s="2009"/>
      <c r="AD196" s="36"/>
      <c r="AE196" s="1"/>
      <c r="AF196" s="1"/>
      <c r="AG196" s="1"/>
      <c r="AH196" s="41" t="s">
        <v>1611</v>
      </c>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60" customHeight="1">
      <c r="A197" s="1663"/>
      <c r="B197" s="2010" t="s">
        <v>1670</v>
      </c>
      <c r="C197" s="1807" t="s">
        <v>726</v>
      </c>
      <c r="D197" s="706"/>
      <c r="E197" s="1752" t="s">
        <v>1671</v>
      </c>
      <c r="F197" s="1752"/>
      <c r="G197" s="1752" t="s">
        <v>1672</v>
      </c>
      <c r="H197" s="706"/>
      <c r="I197" s="1752" t="s">
        <v>1673</v>
      </c>
      <c r="J197" s="1752"/>
      <c r="K197" s="1752" t="s">
        <v>1674</v>
      </c>
      <c r="L197" s="1753"/>
      <c r="M197" s="1752" t="s">
        <v>1675</v>
      </c>
      <c r="N197" s="1753"/>
      <c r="O197" s="1752" t="s">
        <v>1676</v>
      </c>
      <c r="P197" s="1753"/>
      <c r="Q197" s="1752" t="s">
        <v>1677</v>
      </c>
      <c r="R197" s="706"/>
      <c r="S197" s="1752" t="s">
        <v>1678</v>
      </c>
      <c r="T197" s="706"/>
      <c r="U197" s="2011" t="s">
        <v>1679</v>
      </c>
      <c r="V197" s="706"/>
      <c r="W197" s="2011" t="s">
        <v>1680</v>
      </c>
      <c r="X197" s="706"/>
      <c r="Y197" s="1752" t="s">
        <v>1681</v>
      </c>
      <c r="Z197" s="706"/>
      <c r="AA197" s="1752" t="s">
        <v>1682</v>
      </c>
      <c r="AB197" s="1753"/>
      <c r="AC197" s="2012" t="s">
        <v>1683</v>
      </c>
      <c r="AD197" s="36"/>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75" customHeight="1">
      <c r="A198" s="1663"/>
      <c r="B198" s="84"/>
      <c r="C198" s="75"/>
      <c r="D198" s="75"/>
      <c r="E198" s="261"/>
      <c r="F198" s="261"/>
      <c r="G198" s="75"/>
      <c r="H198" s="75"/>
      <c r="I198" s="75"/>
      <c r="J198" s="75"/>
      <c r="K198" s="75"/>
      <c r="L198" s="75"/>
      <c r="M198" s="75"/>
      <c r="N198" s="75"/>
      <c r="O198" s="75"/>
      <c r="P198" s="75"/>
      <c r="Q198" s="75"/>
      <c r="R198" s="75"/>
      <c r="S198" s="75"/>
      <c r="T198" s="75"/>
      <c r="U198" s="49"/>
      <c r="V198" s="75"/>
      <c r="W198" s="49"/>
      <c r="X198" s="75"/>
      <c r="Y198" s="75"/>
      <c r="Z198" s="75"/>
      <c r="AA198" s="75"/>
      <c r="AB198" s="75"/>
      <c r="AC198" s="920"/>
      <c r="AD198" s="36"/>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75" customHeight="1">
      <c r="A199" s="1663"/>
      <c r="B199" s="922" t="s">
        <v>1684</v>
      </c>
      <c r="C199" s="75" t="s">
        <v>1559</v>
      </c>
      <c r="D199" s="75"/>
      <c r="E199" s="1790">
        <v>2880</v>
      </c>
      <c r="F199" s="261" t="s">
        <v>78</v>
      </c>
      <c r="G199" s="261">
        <v>2.1772E-2</v>
      </c>
      <c r="H199" s="75"/>
      <c r="I199" s="1676">
        <f t="shared" ref="I199:I200" si="80">E199*G199*1000</f>
        <v>62703.359999999993</v>
      </c>
      <c r="J199" s="261" t="s">
        <v>77</v>
      </c>
      <c r="K199" s="1583">
        <v>1.2</v>
      </c>
      <c r="L199" s="261" t="s">
        <v>77</v>
      </c>
      <c r="M199" s="71">
        <v>0.03</v>
      </c>
      <c r="N199" s="261" t="s">
        <v>77</v>
      </c>
      <c r="O199" s="261">
        <v>0.93</v>
      </c>
      <c r="P199" s="261" t="s">
        <v>77</v>
      </c>
      <c r="Q199" s="1081">
        <v>0.93</v>
      </c>
      <c r="R199" s="261" t="s">
        <v>77</v>
      </c>
      <c r="S199" s="1081">
        <v>0.88</v>
      </c>
      <c r="T199" s="261" t="s">
        <v>78</v>
      </c>
      <c r="U199" s="2013">
        <v>0.44850000000000001</v>
      </c>
      <c r="V199" s="261" t="s">
        <v>78</v>
      </c>
      <c r="W199" s="1676">
        <f t="shared" ref="W199:W207" si="81">I199*K199*M199*O199*Q199*S199*U199</f>
        <v>770.55622062262273</v>
      </c>
      <c r="X199" s="261" t="s">
        <v>78</v>
      </c>
      <c r="Y199" s="1222">
        <f t="shared" ref="Y199:Y207" si="82">W199*0.005*(16/12)</f>
        <v>5.1370414708174845</v>
      </c>
      <c r="Z199" s="1222" t="s">
        <v>78</v>
      </c>
      <c r="AA199" s="2014">
        <f t="shared" ref="AA199:AA207" si="83">Y199/(10^6)*$Z$7*12/44</f>
        <v>3.9228316686242603E-5</v>
      </c>
      <c r="AB199" s="1222" t="s">
        <v>78</v>
      </c>
      <c r="AC199" s="2015">
        <f t="shared" ref="AC199:AC207" si="84">AA199/(12/44)</f>
        <v>1.4383716118288956E-4</v>
      </c>
      <c r="AD199" s="36"/>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75" customHeight="1">
      <c r="A200" s="1663"/>
      <c r="B200" s="922" t="s">
        <v>1685</v>
      </c>
      <c r="C200" s="75" t="s">
        <v>1559</v>
      </c>
      <c r="D200" s="75"/>
      <c r="E200" s="1790">
        <v>46870</v>
      </c>
      <c r="F200" s="261" t="s">
        <v>78</v>
      </c>
      <c r="G200" s="261">
        <v>2.5401147108E-2</v>
      </c>
      <c r="H200" s="75"/>
      <c r="I200" s="1676">
        <f t="shared" si="80"/>
        <v>1190551.76495196</v>
      </c>
      <c r="J200" s="261" t="s">
        <v>77</v>
      </c>
      <c r="K200" s="1583">
        <v>1</v>
      </c>
      <c r="L200" s="261" t="s">
        <v>77</v>
      </c>
      <c r="M200" s="71">
        <v>0.03</v>
      </c>
      <c r="N200" s="261" t="s">
        <v>77</v>
      </c>
      <c r="O200" s="261">
        <v>0.91</v>
      </c>
      <c r="P200" s="261" t="s">
        <v>77</v>
      </c>
      <c r="Q200" s="1081">
        <v>0.93</v>
      </c>
      <c r="R200" s="261" t="s">
        <v>77</v>
      </c>
      <c r="S200" s="1081">
        <v>0.88</v>
      </c>
      <c r="T200" s="261" t="s">
        <v>78</v>
      </c>
      <c r="U200" s="2013">
        <v>0.44779999999999998</v>
      </c>
      <c r="V200" s="261" t="s">
        <v>78</v>
      </c>
      <c r="W200" s="1676">
        <f t="shared" si="81"/>
        <v>11911.340514384598</v>
      </c>
      <c r="X200" s="261" t="s">
        <v>78</v>
      </c>
      <c r="Y200" s="1222">
        <f t="shared" si="82"/>
        <v>79.408936762563982</v>
      </c>
      <c r="Z200" s="1222" t="s">
        <v>78</v>
      </c>
      <c r="AA200" s="2014">
        <f t="shared" si="83"/>
        <v>6.0639551709594324E-4</v>
      </c>
      <c r="AB200" s="1222" t="s">
        <v>78</v>
      </c>
      <c r="AC200" s="2015">
        <f t="shared" si="84"/>
        <v>2.223450229351792E-3</v>
      </c>
      <c r="AD200" s="36"/>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75" customHeight="1">
      <c r="A201" s="1663"/>
      <c r="B201" s="922" t="s">
        <v>1570</v>
      </c>
      <c r="C201" s="75" t="s">
        <v>1686</v>
      </c>
      <c r="D201" s="75"/>
      <c r="E201" s="1790">
        <v>0</v>
      </c>
      <c r="F201" s="261" t="s">
        <v>78</v>
      </c>
      <c r="G201" s="261" t="s">
        <v>1007</v>
      </c>
      <c r="H201" s="75"/>
      <c r="I201" s="1676">
        <f>(E201*1000/2000*0.9072)</f>
        <v>0</v>
      </c>
      <c r="J201" s="261" t="s">
        <v>77</v>
      </c>
      <c r="K201" s="1583">
        <v>1</v>
      </c>
      <c r="L201" s="261" t="s">
        <v>77</v>
      </c>
      <c r="M201" s="71">
        <v>0.03</v>
      </c>
      <c r="N201" s="261" t="s">
        <v>77</v>
      </c>
      <c r="O201" s="261">
        <v>0.86</v>
      </c>
      <c r="P201" s="261" t="s">
        <v>77</v>
      </c>
      <c r="Q201" s="1081">
        <v>0.93</v>
      </c>
      <c r="R201" s="261" t="s">
        <v>77</v>
      </c>
      <c r="S201" s="1081">
        <v>0.88</v>
      </c>
      <c r="T201" s="261" t="s">
        <v>78</v>
      </c>
      <c r="U201" s="2013">
        <v>0.45</v>
      </c>
      <c r="V201" s="261" t="s">
        <v>78</v>
      </c>
      <c r="W201" s="1676">
        <f t="shared" si="81"/>
        <v>0</v>
      </c>
      <c r="X201" s="261" t="s">
        <v>78</v>
      </c>
      <c r="Y201" s="1222">
        <f t="shared" si="82"/>
        <v>0</v>
      </c>
      <c r="Z201" s="1222" t="s">
        <v>78</v>
      </c>
      <c r="AA201" s="2014">
        <f t="shared" si="83"/>
        <v>0</v>
      </c>
      <c r="AB201" s="1222" t="s">
        <v>78</v>
      </c>
      <c r="AC201" s="2015">
        <f t="shared" si="84"/>
        <v>0</v>
      </c>
      <c r="AD201" s="36"/>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75" customHeight="1">
      <c r="A202" s="1663"/>
      <c r="B202" s="922" t="s">
        <v>1567</v>
      </c>
      <c r="C202" s="75" t="s">
        <v>1687</v>
      </c>
      <c r="D202" s="75"/>
      <c r="E202" s="1790">
        <v>0</v>
      </c>
      <c r="F202" s="261" t="s">
        <v>78</v>
      </c>
      <c r="G202" s="261" t="s">
        <v>1007</v>
      </c>
      <c r="H202" s="75"/>
      <c r="I202" s="1676">
        <v>0</v>
      </c>
      <c r="J202" s="261" t="s">
        <v>77</v>
      </c>
      <c r="K202" s="1583">
        <v>1.4</v>
      </c>
      <c r="L202" s="261" t="s">
        <v>77</v>
      </c>
      <c r="M202" s="71">
        <v>0</v>
      </c>
      <c r="N202" s="261" t="s">
        <v>77</v>
      </c>
      <c r="O202" s="261">
        <v>0.91</v>
      </c>
      <c r="P202" s="261" t="s">
        <v>77</v>
      </c>
      <c r="Q202" s="1081">
        <v>0.93</v>
      </c>
      <c r="R202" s="261" t="s">
        <v>77</v>
      </c>
      <c r="S202" s="1081">
        <v>0.88</v>
      </c>
      <c r="T202" s="261" t="s">
        <v>78</v>
      </c>
      <c r="U202" s="2013">
        <v>0.38059999999999999</v>
      </c>
      <c r="V202" s="261" t="s">
        <v>78</v>
      </c>
      <c r="W202" s="1676">
        <f t="shared" si="81"/>
        <v>0</v>
      </c>
      <c r="X202" s="261" t="s">
        <v>78</v>
      </c>
      <c r="Y202" s="1222">
        <f t="shared" si="82"/>
        <v>0</v>
      </c>
      <c r="Z202" s="1222" t="s">
        <v>78</v>
      </c>
      <c r="AA202" s="2014">
        <f t="shared" si="83"/>
        <v>0</v>
      </c>
      <c r="AB202" s="1222" t="s">
        <v>78</v>
      </c>
      <c r="AC202" s="2015">
        <f t="shared" si="84"/>
        <v>0</v>
      </c>
      <c r="AD202" s="36"/>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75" customHeight="1">
      <c r="A203" s="1663"/>
      <c r="B203" s="922" t="s">
        <v>1688</v>
      </c>
      <c r="C203" s="75" t="s">
        <v>1559</v>
      </c>
      <c r="D203" s="75"/>
      <c r="E203" s="1790">
        <v>17903</v>
      </c>
      <c r="F203" s="261" t="s">
        <v>78</v>
      </c>
      <c r="G203" s="261">
        <v>2.7215692074999999E-2</v>
      </c>
      <c r="H203" s="75"/>
      <c r="I203" s="1676">
        <f>E203*G203*1000</f>
        <v>487242.53521872498</v>
      </c>
      <c r="J203" s="261" t="s">
        <v>77</v>
      </c>
      <c r="K203" s="1583">
        <v>2.1</v>
      </c>
      <c r="L203" s="261" t="s">
        <v>77</v>
      </c>
      <c r="M203" s="71">
        <v>0.03</v>
      </c>
      <c r="N203" s="261" t="s">
        <v>77</v>
      </c>
      <c r="O203" s="261">
        <v>0.87</v>
      </c>
      <c r="P203" s="261" t="s">
        <v>77</v>
      </c>
      <c r="Q203" s="1081">
        <v>0.93</v>
      </c>
      <c r="R203" s="261" t="s">
        <v>77</v>
      </c>
      <c r="S203" s="1081">
        <v>0.88</v>
      </c>
      <c r="T203" s="261" t="s">
        <v>78</v>
      </c>
      <c r="U203" s="2013">
        <v>0.45</v>
      </c>
      <c r="V203" s="261" t="s">
        <v>78</v>
      </c>
      <c r="W203" s="1676">
        <f t="shared" si="81"/>
        <v>9835.1985285039955</v>
      </c>
      <c r="X203" s="261" t="s">
        <v>78</v>
      </c>
      <c r="Y203" s="1222">
        <f t="shared" si="82"/>
        <v>65.567990190026634</v>
      </c>
      <c r="Z203" s="1222" t="s">
        <v>78</v>
      </c>
      <c r="AA203" s="2014">
        <f t="shared" si="83"/>
        <v>5.0070101599656691E-4</v>
      </c>
      <c r="AB203" s="1222" t="s">
        <v>78</v>
      </c>
      <c r="AC203" s="2015">
        <f t="shared" si="84"/>
        <v>1.8359037253207454E-3</v>
      </c>
      <c r="AD203" s="36"/>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75" customHeight="1">
      <c r="A204" s="1663"/>
      <c r="B204" s="922" t="s">
        <v>1689</v>
      </c>
      <c r="C204" s="75" t="s">
        <v>1556</v>
      </c>
      <c r="D204" s="75"/>
      <c r="E204" s="1790">
        <v>0</v>
      </c>
      <c r="F204" s="261" t="s">
        <v>78</v>
      </c>
      <c r="G204" s="261" t="s">
        <v>1007</v>
      </c>
      <c r="H204" s="75"/>
      <c r="I204" s="1676">
        <f>E204*0.9072*1000</f>
        <v>0</v>
      </c>
      <c r="J204" s="261" t="s">
        <v>77</v>
      </c>
      <c r="K204" s="1583">
        <v>0.2</v>
      </c>
      <c r="L204" s="261" t="s">
        <v>77</v>
      </c>
      <c r="M204" s="71">
        <v>0.03</v>
      </c>
      <c r="N204" s="261" t="s">
        <v>77</v>
      </c>
      <c r="O204" s="261">
        <v>0.62</v>
      </c>
      <c r="P204" s="261" t="s">
        <v>77</v>
      </c>
      <c r="Q204" s="1081">
        <v>0.93</v>
      </c>
      <c r="R204" s="261" t="s">
        <v>77</v>
      </c>
      <c r="S204" s="1081">
        <v>0.88</v>
      </c>
      <c r="T204" s="261" t="s">
        <v>78</v>
      </c>
      <c r="U204" s="2013">
        <v>0.42349999999999999</v>
      </c>
      <c r="V204" s="261" t="s">
        <v>78</v>
      </c>
      <c r="W204" s="1676">
        <f t="shared" si="81"/>
        <v>0</v>
      </c>
      <c r="X204" s="261" t="s">
        <v>78</v>
      </c>
      <c r="Y204" s="1222">
        <f t="shared" si="82"/>
        <v>0</v>
      </c>
      <c r="Z204" s="1222" t="s">
        <v>78</v>
      </c>
      <c r="AA204" s="2014">
        <f t="shared" si="83"/>
        <v>0</v>
      </c>
      <c r="AB204" s="1222" t="s">
        <v>78</v>
      </c>
      <c r="AC204" s="2015">
        <f t="shared" si="84"/>
        <v>0</v>
      </c>
      <c r="AD204" s="36"/>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75" customHeight="1">
      <c r="A205" s="1663"/>
      <c r="B205" s="922" t="s">
        <v>1690</v>
      </c>
      <c r="C205" s="75" t="s">
        <v>1559</v>
      </c>
      <c r="D205" s="75"/>
      <c r="E205" s="1790">
        <v>12540</v>
      </c>
      <c r="F205" s="261" t="s">
        <v>78</v>
      </c>
      <c r="G205" s="261">
        <v>2.7215442853E-2</v>
      </c>
      <c r="H205" s="75"/>
      <c r="I205" s="1676">
        <f>E205*G205*1000</f>
        <v>341281.65337661997</v>
      </c>
      <c r="J205" s="261" t="s">
        <v>77</v>
      </c>
      <c r="K205" s="1583">
        <v>1.3</v>
      </c>
      <c r="L205" s="261" t="s">
        <v>77</v>
      </c>
      <c r="M205" s="71">
        <v>0.03</v>
      </c>
      <c r="N205" s="261" t="s">
        <v>77</v>
      </c>
      <c r="O205" s="261">
        <v>0.93</v>
      </c>
      <c r="P205" s="261" t="s">
        <v>77</v>
      </c>
      <c r="Q205" s="1081">
        <v>0.93</v>
      </c>
      <c r="R205" s="261" t="s">
        <v>77</v>
      </c>
      <c r="S205" s="1081">
        <v>0.88</v>
      </c>
      <c r="T205" s="261" t="s">
        <v>78</v>
      </c>
      <c r="U205" s="2013">
        <v>0.44280000000000003</v>
      </c>
      <c r="V205" s="261" t="s">
        <v>78</v>
      </c>
      <c r="W205" s="1676">
        <f t="shared" si="81"/>
        <v>4485.7362088284426</v>
      </c>
      <c r="X205" s="261" t="s">
        <v>78</v>
      </c>
      <c r="Y205" s="1222">
        <f t="shared" si="82"/>
        <v>29.904908058856282</v>
      </c>
      <c r="Z205" s="1222" t="s">
        <v>78</v>
      </c>
      <c r="AA205" s="2014">
        <f t="shared" si="83"/>
        <v>2.2836475244944799E-4</v>
      </c>
      <c r="AB205" s="1222" t="s">
        <v>78</v>
      </c>
      <c r="AC205" s="2015">
        <f t="shared" si="84"/>
        <v>8.3733742564797602E-4</v>
      </c>
      <c r="AD205" s="36"/>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75" customHeight="1">
      <c r="A206" s="1663"/>
      <c r="B206" s="922" t="s">
        <v>785</v>
      </c>
      <c r="C206" s="75" t="s">
        <v>1032</v>
      </c>
      <c r="D206" s="75"/>
      <c r="E206" s="1790"/>
      <c r="F206" s="261" t="s">
        <v>78</v>
      </c>
      <c r="G206" s="261" t="s">
        <v>1007</v>
      </c>
      <c r="H206" s="75"/>
      <c r="I206" s="1676">
        <f t="shared" ref="I206:I207" si="85">E206</f>
        <v>0</v>
      </c>
      <c r="J206" s="261" t="s">
        <v>77</v>
      </c>
      <c r="K206" s="2016"/>
      <c r="L206" s="261" t="s">
        <v>77</v>
      </c>
      <c r="M206" s="2017"/>
      <c r="N206" s="261" t="s">
        <v>77</v>
      </c>
      <c r="O206" s="2018"/>
      <c r="P206" s="261" t="s">
        <v>77</v>
      </c>
      <c r="Q206" s="2019"/>
      <c r="R206" s="261" t="s">
        <v>77</v>
      </c>
      <c r="S206" s="2020"/>
      <c r="T206" s="261" t="s">
        <v>78</v>
      </c>
      <c r="U206" s="2021"/>
      <c r="V206" s="261" t="s">
        <v>78</v>
      </c>
      <c r="W206" s="1676">
        <f t="shared" si="81"/>
        <v>0</v>
      </c>
      <c r="X206" s="261" t="s">
        <v>78</v>
      </c>
      <c r="Y206" s="1222">
        <f t="shared" si="82"/>
        <v>0</v>
      </c>
      <c r="Z206" s="1222" t="s">
        <v>78</v>
      </c>
      <c r="AA206" s="2014">
        <f t="shared" si="83"/>
        <v>0</v>
      </c>
      <c r="AB206" s="1222" t="s">
        <v>78</v>
      </c>
      <c r="AC206" s="2015">
        <f t="shared" si="84"/>
        <v>0</v>
      </c>
      <c r="AD206" s="36"/>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75" customHeight="1">
      <c r="A207" s="1663"/>
      <c r="B207" s="922"/>
      <c r="C207" s="75" t="s">
        <v>1032</v>
      </c>
      <c r="D207" s="75"/>
      <c r="E207" s="1790"/>
      <c r="F207" s="261" t="s">
        <v>78</v>
      </c>
      <c r="G207" s="261" t="s">
        <v>1007</v>
      </c>
      <c r="H207" s="75"/>
      <c r="I207" s="1676">
        <f t="shared" si="85"/>
        <v>0</v>
      </c>
      <c r="J207" s="261" t="s">
        <v>77</v>
      </c>
      <c r="K207" s="2016"/>
      <c r="L207" s="261" t="s">
        <v>77</v>
      </c>
      <c r="M207" s="2017"/>
      <c r="N207" s="261" t="s">
        <v>77</v>
      </c>
      <c r="O207" s="2018"/>
      <c r="P207" s="261" t="s">
        <v>77</v>
      </c>
      <c r="Q207" s="2019"/>
      <c r="R207" s="261" t="s">
        <v>77</v>
      </c>
      <c r="S207" s="2020"/>
      <c r="T207" s="261" t="s">
        <v>78</v>
      </c>
      <c r="U207" s="2021"/>
      <c r="V207" s="261" t="s">
        <v>78</v>
      </c>
      <c r="W207" s="1676">
        <f t="shared" si="81"/>
        <v>0</v>
      </c>
      <c r="X207" s="261" t="s">
        <v>78</v>
      </c>
      <c r="Y207" s="1222">
        <f t="shared" si="82"/>
        <v>0</v>
      </c>
      <c r="Z207" s="1222" t="s">
        <v>78</v>
      </c>
      <c r="AA207" s="2014">
        <f t="shared" si="83"/>
        <v>0</v>
      </c>
      <c r="AB207" s="1222" t="s">
        <v>78</v>
      </c>
      <c r="AC207" s="2015">
        <f t="shared" si="84"/>
        <v>0</v>
      </c>
      <c r="AD207" s="36"/>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75" customHeight="1">
      <c r="A208" s="1663"/>
      <c r="B208" s="313"/>
      <c r="C208" s="260"/>
      <c r="D208" s="75"/>
      <c r="E208" s="1512"/>
      <c r="F208" s="261"/>
      <c r="G208" s="75"/>
      <c r="H208" s="75"/>
      <c r="I208" s="261"/>
      <c r="J208" s="261"/>
      <c r="K208" s="49"/>
      <c r="L208" s="261"/>
      <c r="M208" s="51"/>
      <c r="N208" s="261"/>
      <c r="O208" s="1081"/>
      <c r="P208" s="75"/>
      <c r="Q208" s="75"/>
      <c r="R208" s="75"/>
      <c r="S208" s="75"/>
      <c r="T208" s="75"/>
      <c r="U208" s="49"/>
      <c r="V208" s="75"/>
      <c r="W208" s="49"/>
      <c r="X208" s="75"/>
      <c r="Y208" s="75"/>
      <c r="Z208" s="75"/>
      <c r="AA208" s="75"/>
      <c r="AB208" s="75"/>
      <c r="AC208" s="920"/>
      <c r="AD208" s="36"/>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75" customHeight="1">
      <c r="A209" s="1663"/>
      <c r="B209" s="1758" t="s">
        <v>1502</v>
      </c>
      <c r="C209" s="1862"/>
      <c r="D209" s="1764"/>
      <c r="E209" s="1759"/>
      <c r="F209" s="1759"/>
      <c r="G209" s="1764"/>
      <c r="H209" s="1764"/>
      <c r="I209" s="1759"/>
      <c r="J209" s="1759"/>
      <c r="K209" s="1760"/>
      <c r="L209" s="1761"/>
      <c r="M209" s="1760"/>
      <c r="N209" s="1761"/>
      <c r="O209" s="1763"/>
      <c r="P209" s="1764"/>
      <c r="Q209" s="1763"/>
      <c r="R209" s="1764"/>
      <c r="S209" s="1763"/>
      <c r="T209" s="1764"/>
      <c r="U209" s="1760"/>
      <c r="V209" s="1764"/>
      <c r="W209" s="1760">
        <f>SUM(W199:W207)</f>
        <v>27002.831472339658</v>
      </c>
      <c r="X209" s="1764"/>
      <c r="Y209" s="1763">
        <f>SUM(Y199:Y207)</f>
        <v>180.01887648226437</v>
      </c>
      <c r="Z209" s="1764"/>
      <c r="AA209" s="1763">
        <f>SUM(AA199:AA207)</f>
        <v>1.3746896022282008E-3</v>
      </c>
      <c r="AB209" s="1764"/>
      <c r="AC209" s="2022">
        <f>SUM(AC199:AC207)</f>
        <v>5.0405285415034027E-3</v>
      </c>
      <c r="AD209" s="36"/>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75" customHeight="1">
      <c r="A210" s="1"/>
      <c r="B210" s="41"/>
      <c r="C210" s="50"/>
      <c r="D210" s="50"/>
      <c r="E210" s="50"/>
      <c r="F210" s="50"/>
      <c r="G210" s="683"/>
      <c r="H210" s="46"/>
      <c r="I210" s="1184"/>
      <c r="J210" s="46"/>
      <c r="K210" s="1183"/>
      <c r="L210" s="1"/>
      <c r="M210" s="1183"/>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21" customHeight="1">
      <c r="A211" s="48"/>
      <c r="B211" s="2023" t="s">
        <v>1691</v>
      </c>
      <c r="C211" s="1769"/>
      <c r="D211" s="1769"/>
      <c r="E211" s="1769"/>
      <c r="F211" s="1769"/>
      <c r="G211" s="1770"/>
      <c r="H211" s="1771"/>
      <c r="I211" s="1772"/>
      <c r="J211" s="1771"/>
      <c r="K211" s="1773"/>
      <c r="L211" s="1750"/>
      <c r="M211" s="1773"/>
      <c r="N211" s="1750"/>
      <c r="O211" s="1750"/>
      <c r="P211" s="1750"/>
      <c r="Q211" s="1750"/>
      <c r="R211" s="1750"/>
      <c r="S211" s="1750"/>
      <c r="T211" s="1750"/>
      <c r="U211" s="1750"/>
      <c r="V211" s="1750"/>
      <c r="W211" s="1750"/>
      <c r="X211" s="1750"/>
      <c r="Y211" s="1750"/>
      <c r="Z211" s="1750"/>
      <c r="AA211" s="1750"/>
      <c r="AB211" s="1750"/>
      <c r="AC211" s="1751"/>
      <c r="AD211" s="1920"/>
      <c r="AE211" s="1"/>
      <c r="AF211" s="1"/>
      <c r="AG211" s="1"/>
      <c r="AH211" s="41" t="s">
        <v>1611</v>
      </c>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45" customHeight="1">
      <c r="A212" s="2024"/>
      <c r="B212" s="2025" t="s">
        <v>1670</v>
      </c>
      <c r="C212" s="1807" t="s">
        <v>726</v>
      </c>
      <c r="D212" s="706"/>
      <c r="E212" s="1752" t="s">
        <v>1671</v>
      </c>
      <c r="F212" s="1752"/>
      <c r="G212" s="706" t="s">
        <v>1672</v>
      </c>
      <c r="H212" s="706"/>
      <c r="I212" s="1752" t="s">
        <v>1673</v>
      </c>
      <c r="J212" s="1752"/>
      <c r="K212" s="1752" t="s">
        <v>1674</v>
      </c>
      <c r="L212" s="1753"/>
      <c r="M212" s="1752" t="s">
        <v>1692</v>
      </c>
      <c r="N212" s="1753"/>
      <c r="O212" s="1752" t="s">
        <v>1676</v>
      </c>
      <c r="P212" s="1753"/>
      <c r="Q212" s="1752" t="s">
        <v>1677</v>
      </c>
      <c r="R212" s="706"/>
      <c r="S212" s="1752" t="s">
        <v>1678</v>
      </c>
      <c r="T212" s="706"/>
      <c r="U212" s="2011" t="s">
        <v>1693</v>
      </c>
      <c r="V212" s="706"/>
      <c r="W212" s="1752" t="s">
        <v>1694</v>
      </c>
      <c r="X212" s="706"/>
      <c r="Y212" s="1752" t="s">
        <v>1695</v>
      </c>
      <c r="Z212" s="706"/>
      <c r="AA212" s="1752" t="s">
        <v>1696</v>
      </c>
      <c r="AB212" s="706"/>
      <c r="AC212" s="1754" t="s">
        <v>1697</v>
      </c>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75" customHeight="1">
      <c r="A213" s="2024"/>
      <c r="B213" s="1622"/>
      <c r="C213" s="75"/>
      <c r="D213" s="75"/>
      <c r="E213" s="261"/>
      <c r="F213" s="261"/>
      <c r="G213" s="75"/>
      <c r="H213" s="75"/>
      <c r="I213" s="75"/>
      <c r="J213" s="75"/>
      <c r="K213" s="75"/>
      <c r="L213" s="75"/>
      <c r="M213" s="75"/>
      <c r="N213" s="75"/>
      <c r="O213" s="75"/>
      <c r="P213" s="75"/>
      <c r="Q213" s="75"/>
      <c r="R213" s="75"/>
      <c r="S213" s="75"/>
      <c r="T213" s="75"/>
      <c r="U213" s="49"/>
      <c r="V213" s="75"/>
      <c r="W213" s="75"/>
      <c r="X213" s="75"/>
      <c r="Y213" s="75"/>
      <c r="Z213" s="75"/>
      <c r="AA213" s="75"/>
      <c r="AB213" s="75"/>
      <c r="AC213" s="85"/>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75" customHeight="1">
      <c r="A214" s="2024"/>
      <c r="B214" s="2026" t="s">
        <v>1684</v>
      </c>
      <c r="C214" s="75" t="s">
        <v>1559</v>
      </c>
      <c r="D214" s="75"/>
      <c r="E214" s="2027">
        <v>2880</v>
      </c>
      <c r="F214" s="261" t="s">
        <v>78</v>
      </c>
      <c r="G214" s="261">
        <v>2.1772E-2</v>
      </c>
      <c r="H214" s="75"/>
      <c r="I214" s="1676">
        <f t="shared" ref="I214:I215" si="86">E214*G214*1000</f>
        <v>62703.359999999993</v>
      </c>
      <c r="J214" s="261" t="s">
        <v>77</v>
      </c>
      <c r="K214" s="1583">
        <v>1.2</v>
      </c>
      <c r="L214" s="261" t="s">
        <v>77</v>
      </c>
      <c r="M214" s="71">
        <v>0.03</v>
      </c>
      <c r="N214" s="261" t="s">
        <v>77</v>
      </c>
      <c r="O214" s="261">
        <v>0.93</v>
      </c>
      <c r="P214" s="261" t="s">
        <v>77</v>
      </c>
      <c r="Q214" s="1081">
        <v>0.93</v>
      </c>
      <c r="R214" s="261" t="s">
        <v>77</v>
      </c>
      <c r="S214" s="1081">
        <v>0.88</v>
      </c>
      <c r="T214" s="261" t="s">
        <v>78</v>
      </c>
      <c r="U214" s="2013">
        <v>7.7000000000000002E-3</v>
      </c>
      <c r="V214" s="261" t="s">
        <v>78</v>
      </c>
      <c r="W214" s="71">
        <f t="shared" ref="W214:W222" si="87">I214*K214*M214*O214*Q214*S214*U214</f>
        <v>13.229170342907905</v>
      </c>
      <c r="X214" s="261" t="s">
        <v>78</v>
      </c>
      <c r="Y214" s="389">
        <f t="shared" ref="Y214:Y222" si="88">W214*0.007*(44/28)</f>
        <v>0.14552087377198694</v>
      </c>
      <c r="Z214" s="261" t="s">
        <v>78</v>
      </c>
      <c r="AA214" s="2028">
        <f t="shared" ref="AA214:AA222" si="89">Y214/(10^6)*$Z$8*12/44</f>
        <v>1.0517190422611784E-5</v>
      </c>
      <c r="AB214" s="261" t="s">
        <v>78</v>
      </c>
      <c r="AC214" s="315">
        <f t="shared" ref="AC214:AC222" si="90">AA214/(12/44)</f>
        <v>3.8563031549576546E-5</v>
      </c>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75" customHeight="1">
      <c r="A215" s="2024"/>
      <c r="B215" s="2026" t="s">
        <v>1685</v>
      </c>
      <c r="C215" s="75" t="s">
        <v>1559</v>
      </c>
      <c r="D215" s="75"/>
      <c r="E215" s="2027">
        <v>46870</v>
      </c>
      <c r="F215" s="261" t="s">
        <v>78</v>
      </c>
      <c r="G215" s="261">
        <v>2.5401147108E-2</v>
      </c>
      <c r="H215" s="75"/>
      <c r="I215" s="1676">
        <f t="shared" si="86"/>
        <v>1190551.76495196</v>
      </c>
      <c r="J215" s="261" t="s">
        <v>77</v>
      </c>
      <c r="K215" s="1583">
        <v>1</v>
      </c>
      <c r="L215" s="261" t="s">
        <v>77</v>
      </c>
      <c r="M215" s="71">
        <v>0.03</v>
      </c>
      <c r="N215" s="261" t="s">
        <v>77</v>
      </c>
      <c r="O215" s="261">
        <v>0.91</v>
      </c>
      <c r="P215" s="261" t="s">
        <v>77</v>
      </c>
      <c r="Q215" s="1081">
        <v>0.93</v>
      </c>
      <c r="R215" s="261" t="s">
        <v>77</v>
      </c>
      <c r="S215" s="1081">
        <v>0.88</v>
      </c>
      <c r="T215" s="261" t="s">
        <v>78</v>
      </c>
      <c r="U215" s="2013">
        <v>5.7999999999999996E-3</v>
      </c>
      <c r="V215" s="261" t="s">
        <v>78</v>
      </c>
      <c r="W215" s="71">
        <f t="shared" si="87"/>
        <v>154.27819335290457</v>
      </c>
      <c r="X215" s="261" t="s">
        <v>78</v>
      </c>
      <c r="Y215" s="389">
        <f t="shared" si="88"/>
        <v>1.6970601268819501</v>
      </c>
      <c r="Z215" s="261" t="s">
        <v>78</v>
      </c>
      <c r="AA215" s="2028">
        <f t="shared" si="89"/>
        <v>1.2265116371555911E-4</v>
      </c>
      <c r="AB215" s="261" t="s">
        <v>78</v>
      </c>
      <c r="AC215" s="315">
        <f t="shared" si="90"/>
        <v>4.4972093362371677E-4</v>
      </c>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row r="216" spans="1:81" ht="15.75" customHeight="1">
      <c r="A216" s="2024"/>
      <c r="B216" s="2026" t="s">
        <v>1570</v>
      </c>
      <c r="C216" s="75" t="s">
        <v>1686</v>
      </c>
      <c r="D216" s="75"/>
      <c r="E216" s="2029">
        <v>0</v>
      </c>
      <c r="F216" s="261" t="s">
        <v>78</v>
      </c>
      <c r="G216" s="261" t="s">
        <v>1007</v>
      </c>
      <c r="H216" s="75"/>
      <c r="I216" s="1676">
        <f>(E216*1000/2000*0.9072)</f>
        <v>0</v>
      </c>
      <c r="J216" s="261" t="s">
        <v>77</v>
      </c>
      <c r="K216" s="1583">
        <v>1</v>
      </c>
      <c r="L216" s="261" t="s">
        <v>77</v>
      </c>
      <c r="M216" s="71">
        <v>0.03</v>
      </c>
      <c r="N216" s="261" t="s">
        <v>77</v>
      </c>
      <c r="O216" s="261">
        <v>0.86</v>
      </c>
      <c r="P216" s="261" t="s">
        <v>77</v>
      </c>
      <c r="Q216" s="1081">
        <v>0.93</v>
      </c>
      <c r="R216" s="261" t="s">
        <v>77</v>
      </c>
      <c r="S216" s="1081">
        <v>0.88</v>
      </c>
      <c r="T216" s="261" t="s">
        <v>78</v>
      </c>
      <c r="U216" s="2013">
        <v>1.06E-2</v>
      </c>
      <c r="V216" s="261" t="s">
        <v>78</v>
      </c>
      <c r="W216" s="71">
        <f t="shared" si="87"/>
        <v>0</v>
      </c>
      <c r="X216" s="261" t="s">
        <v>78</v>
      </c>
      <c r="Y216" s="389">
        <f t="shared" si="88"/>
        <v>0</v>
      </c>
      <c r="Z216" s="261" t="s">
        <v>78</v>
      </c>
      <c r="AA216" s="2028">
        <f t="shared" si="89"/>
        <v>0</v>
      </c>
      <c r="AB216" s="261" t="s">
        <v>78</v>
      </c>
      <c r="AC216" s="315">
        <f t="shared" si="90"/>
        <v>0</v>
      </c>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row>
    <row r="217" spans="1:81" ht="15.75" customHeight="1">
      <c r="A217" s="2024"/>
      <c r="B217" s="2026" t="s">
        <v>1567</v>
      </c>
      <c r="C217" s="75" t="s">
        <v>1687</v>
      </c>
      <c r="D217" s="75"/>
      <c r="E217" s="2029">
        <v>0</v>
      </c>
      <c r="F217" s="261" t="s">
        <v>78</v>
      </c>
      <c r="G217" s="261" t="s">
        <v>1007</v>
      </c>
      <c r="H217" s="75"/>
      <c r="I217" s="1676">
        <v>0</v>
      </c>
      <c r="J217" s="261" t="s">
        <v>77</v>
      </c>
      <c r="K217" s="1583">
        <v>1.4</v>
      </c>
      <c r="L217" s="261" t="s">
        <v>77</v>
      </c>
      <c r="M217" s="71">
        <v>0</v>
      </c>
      <c r="N217" s="261" t="s">
        <v>77</v>
      </c>
      <c r="O217" s="261">
        <v>0.91</v>
      </c>
      <c r="P217" s="261" t="s">
        <v>77</v>
      </c>
      <c r="Q217" s="1081">
        <v>0.93</v>
      </c>
      <c r="R217" s="261" t="s">
        <v>77</v>
      </c>
      <c r="S217" s="1081">
        <v>0.88</v>
      </c>
      <c r="T217" s="261" t="s">
        <v>78</v>
      </c>
      <c r="U217" s="2013">
        <v>7.1999999999999998E-3</v>
      </c>
      <c r="V217" s="261" t="s">
        <v>78</v>
      </c>
      <c r="W217" s="71">
        <f t="shared" si="87"/>
        <v>0</v>
      </c>
      <c r="X217" s="261" t="s">
        <v>78</v>
      </c>
      <c r="Y217" s="389">
        <f t="shared" si="88"/>
        <v>0</v>
      </c>
      <c r="Z217" s="261" t="s">
        <v>78</v>
      </c>
      <c r="AA217" s="2028">
        <f t="shared" si="89"/>
        <v>0</v>
      </c>
      <c r="AB217" s="261" t="s">
        <v>78</v>
      </c>
      <c r="AC217" s="315">
        <f t="shared" si="90"/>
        <v>0</v>
      </c>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row>
    <row r="218" spans="1:81" ht="15.75" customHeight="1">
      <c r="A218" s="2024"/>
      <c r="B218" s="2026" t="s">
        <v>1688</v>
      </c>
      <c r="C218" s="75" t="s">
        <v>1559</v>
      </c>
      <c r="D218" s="75"/>
      <c r="E218" s="2027">
        <v>17903</v>
      </c>
      <c r="F218" s="261" t="s">
        <v>78</v>
      </c>
      <c r="G218" s="261">
        <v>2.7215692074999999E-2</v>
      </c>
      <c r="H218" s="75"/>
      <c r="I218" s="1676">
        <f>E218*G218*1000</f>
        <v>487242.53521872498</v>
      </c>
      <c r="J218" s="261" t="s">
        <v>77</v>
      </c>
      <c r="K218" s="1583">
        <v>2.1</v>
      </c>
      <c r="L218" s="261" t="s">
        <v>77</v>
      </c>
      <c r="M218" s="71">
        <v>0.03</v>
      </c>
      <c r="N218" s="261" t="s">
        <v>77</v>
      </c>
      <c r="O218" s="261">
        <v>0.87</v>
      </c>
      <c r="P218" s="261" t="s">
        <v>77</v>
      </c>
      <c r="Q218" s="1081">
        <v>0.93</v>
      </c>
      <c r="R218" s="261" t="s">
        <v>77</v>
      </c>
      <c r="S218" s="1081">
        <v>0.88</v>
      </c>
      <c r="T218" s="261" t="s">
        <v>78</v>
      </c>
      <c r="U218" s="2013">
        <v>2.3E-2</v>
      </c>
      <c r="V218" s="261" t="s">
        <v>78</v>
      </c>
      <c r="W218" s="71">
        <f t="shared" si="87"/>
        <v>502.68792479020419</v>
      </c>
      <c r="X218" s="261" t="s">
        <v>78</v>
      </c>
      <c r="Y218" s="389">
        <f t="shared" si="88"/>
        <v>5.5295671726922455</v>
      </c>
      <c r="Z218" s="261" t="s">
        <v>78</v>
      </c>
      <c r="AA218" s="2028">
        <f t="shared" si="89"/>
        <v>3.9963690020821226E-4</v>
      </c>
      <c r="AB218" s="261" t="s">
        <v>78</v>
      </c>
      <c r="AC218" s="315">
        <f t="shared" si="90"/>
        <v>1.4653353007634451E-3</v>
      </c>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row>
    <row r="219" spans="1:81" ht="15.75" customHeight="1">
      <c r="A219" s="2024"/>
      <c r="B219" s="2026" t="s">
        <v>1689</v>
      </c>
      <c r="C219" s="75" t="s">
        <v>1556</v>
      </c>
      <c r="D219" s="75"/>
      <c r="E219" s="2029">
        <v>0</v>
      </c>
      <c r="F219" s="261" t="s">
        <v>78</v>
      </c>
      <c r="G219" s="261" t="s">
        <v>1007</v>
      </c>
      <c r="H219" s="75"/>
      <c r="I219" s="1676">
        <f>E219*0.9072*1000</f>
        <v>0</v>
      </c>
      <c r="J219" s="261" t="s">
        <v>77</v>
      </c>
      <c r="K219" s="1583">
        <v>0.2</v>
      </c>
      <c r="L219" s="261" t="s">
        <v>77</v>
      </c>
      <c r="M219" s="71">
        <v>0.03</v>
      </c>
      <c r="N219" s="261" t="s">
        <v>77</v>
      </c>
      <c r="O219" s="261">
        <v>0.62</v>
      </c>
      <c r="P219" s="261" t="s">
        <v>77</v>
      </c>
      <c r="Q219" s="1081">
        <v>0.93</v>
      </c>
      <c r="R219" s="261" t="s">
        <v>77</v>
      </c>
      <c r="S219" s="1081">
        <v>0.88</v>
      </c>
      <c r="T219" s="261" t="s">
        <v>78</v>
      </c>
      <c r="U219" s="2013">
        <v>4.0000000000000001E-3</v>
      </c>
      <c r="V219" s="261" t="s">
        <v>78</v>
      </c>
      <c r="W219" s="71">
        <f t="shared" si="87"/>
        <v>0</v>
      </c>
      <c r="X219" s="261" t="s">
        <v>78</v>
      </c>
      <c r="Y219" s="389">
        <f t="shared" si="88"/>
        <v>0</v>
      </c>
      <c r="Z219" s="261" t="s">
        <v>78</v>
      </c>
      <c r="AA219" s="2028">
        <f t="shared" si="89"/>
        <v>0</v>
      </c>
      <c r="AB219" s="261" t="s">
        <v>78</v>
      </c>
      <c r="AC219" s="315">
        <f t="shared" si="90"/>
        <v>0</v>
      </c>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row>
    <row r="220" spans="1:81" ht="15.75" customHeight="1">
      <c r="A220" s="2024"/>
      <c r="B220" s="2026" t="s">
        <v>1690</v>
      </c>
      <c r="C220" s="75" t="s">
        <v>1559</v>
      </c>
      <c r="D220" s="75"/>
      <c r="E220" s="2027">
        <v>12540</v>
      </c>
      <c r="F220" s="261" t="s">
        <v>78</v>
      </c>
      <c r="G220" s="261">
        <v>2.7215442853E-2</v>
      </c>
      <c r="H220" s="75"/>
      <c r="I220" s="1676">
        <f>E220*G220*1000</f>
        <v>341281.65337661997</v>
      </c>
      <c r="J220" s="261" t="s">
        <v>77</v>
      </c>
      <c r="K220" s="1583">
        <v>1.3</v>
      </c>
      <c r="L220" s="261" t="s">
        <v>77</v>
      </c>
      <c r="M220" s="71">
        <v>0.03</v>
      </c>
      <c r="N220" s="261" t="s">
        <v>77</v>
      </c>
      <c r="O220" s="261">
        <v>0.93</v>
      </c>
      <c r="P220" s="261" t="s">
        <v>77</v>
      </c>
      <c r="Q220" s="1081">
        <v>0.93</v>
      </c>
      <c r="R220" s="261" t="s">
        <v>77</v>
      </c>
      <c r="S220" s="1081">
        <v>0.88</v>
      </c>
      <c r="T220" s="261" t="s">
        <v>78</v>
      </c>
      <c r="U220" s="2013">
        <v>6.1999999999999998E-3</v>
      </c>
      <c r="V220" s="261" t="s">
        <v>78</v>
      </c>
      <c r="W220" s="71">
        <f t="shared" si="87"/>
        <v>62.808411234725249</v>
      </c>
      <c r="X220" s="261" t="s">
        <v>78</v>
      </c>
      <c r="Y220" s="389">
        <f t="shared" si="88"/>
        <v>0.69089252358197772</v>
      </c>
      <c r="Z220" s="261" t="s">
        <v>78</v>
      </c>
      <c r="AA220" s="2028">
        <f t="shared" si="89"/>
        <v>4.9932686931606577E-5</v>
      </c>
      <c r="AB220" s="261" t="s">
        <v>78</v>
      </c>
      <c r="AC220" s="315">
        <f t="shared" si="90"/>
        <v>1.8308651874922413E-4</v>
      </c>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row>
    <row r="221" spans="1:81" ht="15.75" customHeight="1">
      <c r="A221" s="2024"/>
      <c r="B221" s="2026" t="s">
        <v>785</v>
      </c>
      <c r="C221" s="75"/>
      <c r="D221" s="75"/>
      <c r="E221" s="2029">
        <v>0</v>
      </c>
      <c r="F221" s="261" t="s">
        <v>78</v>
      </c>
      <c r="G221" s="261" t="s">
        <v>1007</v>
      </c>
      <c r="H221" s="75"/>
      <c r="I221" s="1676">
        <f t="shared" ref="I221:I222" si="91">E221</f>
        <v>0</v>
      </c>
      <c r="J221" s="261" t="s">
        <v>77</v>
      </c>
      <c r="K221" s="2016"/>
      <c r="L221" s="261" t="s">
        <v>77</v>
      </c>
      <c r="M221" s="2017"/>
      <c r="N221" s="261" t="s">
        <v>77</v>
      </c>
      <c r="O221" s="2018"/>
      <c r="P221" s="261" t="s">
        <v>77</v>
      </c>
      <c r="Q221" s="2019"/>
      <c r="R221" s="261" t="s">
        <v>77</v>
      </c>
      <c r="S221" s="2020"/>
      <c r="T221" s="261" t="s">
        <v>78</v>
      </c>
      <c r="U221" s="2021"/>
      <c r="V221" s="261" t="s">
        <v>78</v>
      </c>
      <c r="W221" s="71">
        <f t="shared" si="87"/>
        <v>0</v>
      </c>
      <c r="X221" s="261" t="s">
        <v>78</v>
      </c>
      <c r="Y221" s="389">
        <f t="shared" si="88"/>
        <v>0</v>
      </c>
      <c r="Z221" s="261" t="s">
        <v>78</v>
      </c>
      <c r="AA221" s="2028">
        <f t="shared" si="89"/>
        <v>0</v>
      </c>
      <c r="AB221" s="261" t="s">
        <v>78</v>
      </c>
      <c r="AC221" s="315">
        <f t="shared" si="90"/>
        <v>0</v>
      </c>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row>
    <row r="222" spans="1:81" ht="15.75" customHeight="1">
      <c r="A222" s="2024"/>
      <c r="B222" s="1622"/>
      <c r="C222" s="75"/>
      <c r="D222" s="75"/>
      <c r="E222" s="2029">
        <v>0</v>
      </c>
      <c r="F222" s="261" t="s">
        <v>78</v>
      </c>
      <c r="G222" s="261" t="s">
        <v>1007</v>
      </c>
      <c r="H222" s="75"/>
      <c r="I222" s="1676">
        <f t="shared" si="91"/>
        <v>0</v>
      </c>
      <c r="J222" s="261" t="s">
        <v>77</v>
      </c>
      <c r="K222" s="2016"/>
      <c r="L222" s="261" t="s">
        <v>77</v>
      </c>
      <c r="M222" s="2017"/>
      <c r="N222" s="261" t="s">
        <v>77</v>
      </c>
      <c r="O222" s="2018"/>
      <c r="P222" s="261" t="s">
        <v>77</v>
      </c>
      <c r="Q222" s="2019"/>
      <c r="R222" s="261" t="s">
        <v>77</v>
      </c>
      <c r="S222" s="2020"/>
      <c r="T222" s="261" t="s">
        <v>78</v>
      </c>
      <c r="U222" s="2021"/>
      <c r="V222" s="261" t="s">
        <v>78</v>
      </c>
      <c r="W222" s="71">
        <f t="shared" si="87"/>
        <v>0</v>
      </c>
      <c r="X222" s="261" t="s">
        <v>78</v>
      </c>
      <c r="Y222" s="389">
        <f t="shared" si="88"/>
        <v>0</v>
      </c>
      <c r="Z222" s="261" t="s">
        <v>78</v>
      </c>
      <c r="AA222" s="2028">
        <f t="shared" si="89"/>
        <v>0</v>
      </c>
      <c r="AB222" s="261" t="s">
        <v>78</v>
      </c>
      <c r="AC222" s="315">
        <f t="shared" si="90"/>
        <v>0</v>
      </c>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row>
    <row r="223" spans="1:81" ht="15.75" customHeight="1">
      <c r="A223" s="2024"/>
      <c r="B223" s="2030"/>
      <c r="C223" s="260"/>
      <c r="D223" s="75"/>
      <c r="E223" s="1512"/>
      <c r="F223" s="261"/>
      <c r="G223" s="75"/>
      <c r="H223" s="75"/>
      <c r="I223" s="261"/>
      <c r="J223" s="261"/>
      <c r="K223" s="49"/>
      <c r="L223" s="261"/>
      <c r="M223" s="51"/>
      <c r="N223" s="261"/>
      <c r="O223" s="1081"/>
      <c r="P223" s="75"/>
      <c r="Q223" s="75"/>
      <c r="R223" s="75"/>
      <c r="S223" s="75"/>
      <c r="T223" s="75"/>
      <c r="U223" s="75"/>
      <c r="V223" s="75"/>
      <c r="W223" s="71"/>
      <c r="X223" s="75"/>
      <c r="Y223" s="389"/>
      <c r="Z223" s="75"/>
      <c r="AA223" s="75"/>
      <c r="AB223" s="75"/>
      <c r="AC223" s="85"/>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row>
    <row r="224" spans="1:81" ht="15.75" customHeight="1">
      <c r="A224" s="2024"/>
      <c r="B224" s="2031" t="s">
        <v>1502</v>
      </c>
      <c r="C224" s="1753"/>
      <c r="D224" s="706"/>
      <c r="E224" s="2032"/>
      <c r="F224" s="2032"/>
      <c r="G224" s="706"/>
      <c r="H224" s="706"/>
      <c r="I224" s="2032"/>
      <c r="J224" s="2032"/>
      <c r="K224" s="1588"/>
      <c r="L224" s="1807"/>
      <c r="M224" s="1588"/>
      <c r="N224" s="1807"/>
      <c r="O224" s="1125"/>
      <c r="P224" s="706"/>
      <c r="Q224" s="1125"/>
      <c r="R224" s="706"/>
      <c r="S224" s="706"/>
      <c r="T224" s="706"/>
      <c r="U224" s="1125"/>
      <c r="V224" s="706"/>
      <c r="W224" s="1586">
        <f>SUM(W214:W222)</f>
        <v>733.00369972074191</v>
      </c>
      <c r="X224" s="706"/>
      <c r="Y224" s="2033">
        <f>SUM(Y214:Y222)</f>
        <v>8.0630406969281605</v>
      </c>
      <c r="Z224" s="706"/>
      <c r="AA224" s="2034">
        <f>SUM(AA214:AA222)</f>
        <v>5.8273794127798974E-4</v>
      </c>
      <c r="AB224" s="706"/>
      <c r="AC224" s="2035">
        <f>SUM(AC214:AC222)</f>
        <v>2.1367057846859625E-3</v>
      </c>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row>
    <row r="225" spans="1:81" ht="15.75" customHeight="1">
      <c r="A225" s="48"/>
      <c r="B225" s="2036"/>
      <c r="C225" s="1822"/>
      <c r="D225" s="1822"/>
      <c r="E225" s="1822"/>
      <c r="F225" s="1822"/>
      <c r="G225" s="1823"/>
      <c r="H225" s="316"/>
      <c r="I225" s="1824"/>
      <c r="J225" s="316"/>
      <c r="K225" s="1825"/>
      <c r="L225" s="263"/>
      <c r="M225" s="1825"/>
      <c r="N225" s="263"/>
      <c r="O225" s="263"/>
      <c r="P225" s="263"/>
      <c r="Q225" s="263"/>
      <c r="R225" s="263"/>
      <c r="S225" s="263"/>
      <c r="T225" s="263"/>
      <c r="U225" s="263"/>
      <c r="V225" s="263"/>
      <c r="W225" s="263"/>
      <c r="X225" s="263"/>
      <c r="Y225" s="263"/>
      <c r="Z225" s="263"/>
      <c r="AA225" s="263"/>
      <c r="AB225" s="263"/>
      <c r="AC225" s="265"/>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row>
    <row r="226" spans="1:81" ht="15.75" customHeight="1">
      <c r="A226" s="1"/>
      <c r="B226" s="41"/>
      <c r="C226" s="50"/>
      <c r="D226" s="50"/>
      <c r="E226" s="50"/>
      <c r="F226" s="50"/>
      <c r="G226" s="683"/>
      <c r="H226" s="46"/>
      <c r="I226" s="1184"/>
      <c r="J226" s="46"/>
      <c r="K226" s="1183"/>
      <c r="L226" s="1"/>
      <c r="M226" s="1183"/>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row>
    <row r="227" spans="1:81" ht="15.75" customHeight="1">
      <c r="A227" s="1"/>
      <c r="B227" s="41"/>
      <c r="C227" s="50"/>
      <c r="D227" s="50"/>
      <c r="E227" s="50"/>
      <c r="F227" s="50"/>
      <c r="G227" s="683"/>
      <c r="H227" s="46"/>
      <c r="I227" s="1184"/>
      <c r="J227" s="46"/>
      <c r="K227" s="1183"/>
      <c r="L227" s="1"/>
      <c r="M227" s="1183"/>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row>
    <row r="228" spans="1:81" ht="15.75" customHeight="1">
      <c r="A228" s="1"/>
      <c r="B228" s="1826" t="s">
        <v>1698</v>
      </c>
      <c r="C228" s="1827"/>
      <c r="D228" s="1827"/>
      <c r="E228" s="1828"/>
      <c r="F228" s="50"/>
      <c r="G228" s="683"/>
      <c r="H228" s="46"/>
      <c r="I228" s="1184"/>
      <c r="J228" s="46"/>
      <c r="K228" s="1183"/>
      <c r="L228" s="1"/>
      <c r="M228" s="1183"/>
      <c r="N228" s="1"/>
      <c r="O228" s="1"/>
      <c r="P228" s="1"/>
      <c r="Q228" s="1"/>
      <c r="R228" s="1"/>
      <c r="S228" s="1"/>
      <c r="T228" s="1"/>
      <c r="U228" s="1"/>
      <c r="V228" s="1"/>
      <c r="W228" s="1"/>
      <c r="X228" s="1"/>
      <c r="Y228" s="1"/>
      <c r="Z228" s="1"/>
      <c r="AA228" s="1"/>
      <c r="AB228" s="1"/>
      <c r="AC228" s="1"/>
      <c r="AD228" s="1"/>
      <c r="AE228" s="1"/>
      <c r="AF228" s="1"/>
      <c r="AG228" s="1"/>
      <c r="AH228" s="41" t="s">
        <v>1611</v>
      </c>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row>
    <row r="229" spans="1:81"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row>
    <row r="230" spans="1:81" ht="30" customHeight="1">
      <c r="A230" s="1"/>
      <c r="B230" s="2037" t="s">
        <v>1699</v>
      </c>
      <c r="C230" s="2038">
        <v>2011</v>
      </c>
      <c r="D230" s="2039"/>
      <c r="E230" s="2040" t="s">
        <v>1700</v>
      </c>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row>
    <row r="231" spans="1:81" ht="15.75" customHeight="1">
      <c r="A231" s="1"/>
      <c r="B231" s="1689" t="s">
        <v>47</v>
      </c>
      <c r="C231" s="1081">
        <f>M25</f>
        <v>0.4958261590051557</v>
      </c>
      <c r="D231" s="1139"/>
      <c r="E231" s="2041">
        <f t="shared" ref="E231:E236" si="92">C231</f>
        <v>0.4958261590051557</v>
      </c>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row>
    <row r="232" spans="1:81" ht="15.75" customHeight="1">
      <c r="A232" s="1"/>
      <c r="B232" s="1689" t="s">
        <v>48</v>
      </c>
      <c r="C232" s="1081">
        <f>W61+U89</f>
        <v>0.32251825305624321</v>
      </c>
      <c r="D232" s="389"/>
      <c r="E232" s="2041">
        <f t="shared" si="92"/>
        <v>0.32251825305624321</v>
      </c>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row>
    <row r="233" spans="1:81" ht="15.75" customHeight="1">
      <c r="A233" s="1"/>
      <c r="B233" s="1689" t="s">
        <v>1701</v>
      </c>
      <c r="C233" s="1081">
        <f>C262*$Z$8/1000000</f>
        <v>0.81563348598611207</v>
      </c>
      <c r="D233" s="389"/>
      <c r="E233" s="2041">
        <f t="shared" si="92"/>
        <v>0.81563348598611207</v>
      </c>
      <c r="F233" s="1"/>
      <c r="G233" s="1003"/>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row>
    <row r="234" spans="1:81" ht="15.75" customHeight="1">
      <c r="A234" s="1"/>
      <c r="B234" s="1689" t="s">
        <v>1702</v>
      </c>
      <c r="C234" s="389">
        <v>0</v>
      </c>
      <c r="D234" s="389"/>
      <c r="E234" s="2041">
        <f t="shared" si="92"/>
        <v>0</v>
      </c>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row>
    <row r="235" spans="1:81" ht="15.75" customHeight="1">
      <c r="A235" s="1"/>
      <c r="B235" s="1689" t="s">
        <v>1703</v>
      </c>
      <c r="C235" s="1081">
        <f>AC209+AC224</f>
        <v>7.1772343261893648E-3</v>
      </c>
      <c r="D235" s="389"/>
      <c r="E235" s="2041">
        <f t="shared" si="92"/>
        <v>7.1772343261893648E-3</v>
      </c>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row>
    <row r="236" spans="1:81" ht="15.75" customHeight="1">
      <c r="A236" s="1"/>
      <c r="B236" s="2042" t="s">
        <v>1502</v>
      </c>
      <c r="C236" s="2033">
        <f>SUM(C231:C235)</f>
        <v>1.6411551323737004</v>
      </c>
      <c r="D236" s="2033"/>
      <c r="E236" s="2043">
        <f t="shared" si="92"/>
        <v>1.6411551323737004</v>
      </c>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row>
    <row r="237" spans="1:81" ht="15.75" customHeight="1">
      <c r="A237" s="1"/>
      <c r="B237" s="1456"/>
      <c r="C237" s="75"/>
      <c r="D237" s="75"/>
      <c r="E237" s="1903"/>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row>
    <row r="238" spans="1:81" ht="30" customHeight="1">
      <c r="A238" s="1"/>
      <c r="B238" s="2044" t="s">
        <v>1704</v>
      </c>
      <c r="C238" s="1753">
        <v>2011</v>
      </c>
      <c r="D238" s="1753"/>
      <c r="E238" s="2045" t="s">
        <v>1705</v>
      </c>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row>
    <row r="239" spans="1:81" ht="15.75" customHeight="1">
      <c r="A239" s="1"/>
      <c r="B239" s="1456" t="s">
        <v>1706</v>
      </c>
      <c r="C239" s="2046">
        <f>SUM(C240:C243)</f>
        <v>2.2377601652025104E-2</v>
      </c>
      <c r="D239" s="2046"/>
      <c r="E239" s="2047">
        <f>C239*$Z$7</f>
        <v>0.62657284625670295</v>
      </c>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row>
    <row r="240" spans="1:81" ht="15.75" customHeight="1">
      <c r="A240" s="1"/>
      <c r="B240" s="2048" t="s">
        <v>47</v>
      </c>
      <c r="C240" s="389">
        <f>I25</f>
        <v>1.7708077107326994E-2</v>
      </c>
      <c r="D240" s="389"/>
      <c r="E240" s="2041">
        <f>C240*$Z$7</f>
        <v>0.49582615900515581</v>
      </c>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row>
    <row r="241" spans="1:81" ht="15.75" customHeight="1">
      <c r="A241" s="1"/>
      <c r="B241" s="2048" t="s">
        <v>48</v>
      </c>
      <c r="C241" s="389">
        <f>S61</f>
        <v>4.489505668215845E-3</v>
      </c>
      <c r="D241" s="389"/>
      <c r="E241" s="2041">
        <f>C241*$Z$7</f>
        <v>0.12570615871004365</v>
      </c>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row>
    <row r="242" spans="1:81" ht="15.75" customHeight="1">
      <c r="A242" s="1"/>
      <c r="B242" s="2048" t="s">
        <v>1702</v>
      </c>
      <c r="C242" s="389">
        <v>0</v>
      </c>
      <c r="D242" s="389"/>
      <c r="E242" s="2041">
        <f>C242*$Z$7</f>
        <v>0</v>
      </c>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row>
    <row r="243" spans="1:81" ht="15.75" customHeight="1">
      <c r="A243" s="1"/>
      <c r="B243" s="2048" t="s">
        <v>1703</v>
      </c>
      <c r="C243" s="389">
        <f>Y209/1000000</f>
        <v>1.8001887648226437E-4</v>
      </c>
      <c r="D243" s="389"/>
      <c r="E243" s="2041">
        <f>C243*$Z$7</f>
        <v>5.0405285415034019E-3</v>
      </c>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row>
    <row r="244" spans="1:81" ht="15.75" customHeight="1">
      <c r="A244" s="1"/>
      <c r="B244" s="2049" t="s">
        <v>1707</v>
      </c>
      <c r="C244" s="2046">
        <f>SUM(C245:C247)</f>
        <v>3.8286124004415002E-3</v>
      </c>
      <c r="D244" s="2046"/>
      <c r="E244" s="2047">
        <f>C244*$Z$8</f>
        <v>1.0145822861169975</v>
      </c>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row>
    <row r="245" spans="1:81" ht="15.75" customHeight="1">
      <c r="A245" s="1"/>
      <c r="B245" s="2048" t="s">
        <v>48</v>
      </c>
      <c r="C245" s="389">
        <f>O89*0.000000001</f>
        <v>7.4268714847622471E-4</v>
      </c>
      <c r="D245" s="389"/>
      <c r="E245" s="2041">
        <f>C245*$Z$8</f>
        <v>0.19681209434619953</v>
      </c>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row>
    <row r="246" spans="1:81" ht="15.75" customHeight="1">
      <c r="A246" s="1"/>
      <c r="B246" s="2048" t="s">
        <v>1701</v>
      </c>
      <c r="C246" s="389">
        <f>(AA96+AA97+O124+Q124+G189+G192+O189)*0.000001</f>
        <v>3.0778622112683472E-3</v>
      </c>
      <c r="D246" s="389"/>
      <c r="E246" s="2041">
        <f>C246*$Z$8</f>
        <v>0.81563348598611196</v>
      </c>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row>
    <row r="247" spans="1:81" ht="15.75" customHeight="1">
      <c r="A247" s="1"/>
      <c r="B247" s="2048" t="s">
        <v>1703</v>
      </c>
      <c r="C247" s="389">
        <f>Y224*0.000001</f>
        <v>8.06304069692816E-6</v>
      </c>
      <c r="D247" s="389"/>
      <c r="E247" s="2041">
        <f>C247*$Z$8</f>
        <v>2.1367057846859625E-3</v>
      </c>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row>
    <row r="248" spans="1:81" ht="15.75" customHeight="1">
      <c r="A248" s="1"/>
      <c r="B248" s="1689"/>
      <c r="C248" s="75"/>
      <c r="D248" s="75"/>
      <c r="E248" s="85"/>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row>
    <row r="249" spans="1:81" ht="30" customHeight="1">
      <c r="A249" s="1"/>
      <c r="B249" s="2044" t="s">
        <v>1708</v>
      </c>
      <c r="C249" s="1753">
        <v>2011</v>
      </c>
      <c r="D249" s="1753"/>
      <c r="E249" s="2050"/>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row>
    <row r="250" spans="1:81" ht="15.75" customHeight="1">
      <c r="A250" s="1"/>
      <c r="B250" s="1456" t="s">
        <v>1709</v>
      </c>
      <c r="C250" s="1568">
        <f>SUM(C251:C255)</f>
        <v>2649.6636765402859</v>
      </c>
      <c r="D250" s="1568"/>
      <c r="E250" s="205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row>
    <row r="251" spans="1:81" ht="15.75" customHeight="1">
      <c r="A251" s="1"/>
      <c r="B251" s="2048" t="s">
        <v>1710</v>
      </c>
      <c r="C251" s="49">
        <f>O124</f>
        <v>493.6067891555428</v>
      </c>
      <c r="D251" s="49"/>
      <c r="E251" s="67"/>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row>
    <row r="252" spans="1:81" ht="15.75" customHeight="1">
      <c r="A252" s="1"/>
      <c r="B252" s="2048" t="s">
        <v>1711</v>
      </c>
      <c r="C252" s="49">
        <f t="shared" ref="C252:C253" si="93">AA96</f>
        <v>422.23715421701729</v>
      </c>
      <c r="D252" s="49"/>
      <c r="E252" s="2052"/>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row>
    <row r="253" spans="1:81" ht="15.75" customHeight="1">
      <c r="A253" s="1"/>
      <c r="B253" s="2048" t="s">
        <v>1712</v>
      </c>
      <c r="C253" s="49">
        <f t="shared" si="93"/>
        <v>670.39496110002494</v>
      </c>
      <c r="D253" s="49"/>
      <c r="E253" s="2052"/>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row>
    <row r="254" spans="1:81" ht="15.75" customHeight="1">
      <c r="A254" s="1"/>
      <c r="B254" s="2048" t="s">
        <v>1713</v>
      </c>
      <c r="C254" s="49">
        <v>0</v>
      </c>
      <c r="D254" s="49"/>
      <c r="E254" s="67"/>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row>
    <row r="255" spans="1:81" ht="15.75" customHeight="1">
      <c r="A255" s="1"/>
      <c r="B255" s="2048" t="s">
        <v>1714</v>
      </c>
      <c r="C255" s="49">
        <f>G192</f>
        <v>1063.4247720677008</v>
      </c>
      <c r="D255" s="49"/>
      <c r="E255" s="67"/>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row>
    <row r="256" spans="1:81" ht="15.75" customHeight="1">
      <c r="A256" s="1"/>
      <c r="B256" s="1456" t="s">
        <v>1715</v>
      </c>
      <c r="C256" s="1568">
        <f>SUM(C257:C259)</f>
        <v>428.19853472806153</v>
      </c>
      <c r="D256" s="1568"/>
      <c r="E256" s="205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row>
    <row r="257" spans="1:81" ht="15.75" customHeight="1">
      <c r="A257" s="1"/>
      <c r="B257" s="2048" t="s">
        <v>1710</v>
      </c>
      <c r="C257" s="49">
        <f>Q124</f>
        <v>56.723518941885722</v>
      </c>
      <c r="D257" s="49"/>
      <c r="E257" s="67"/>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row>
    <row r="258" spans="1:81" ht="15.75" customHeight="1">
      <c r="A258" s="1"/>
      <c r="B258" s="2048" t="s">
        <v>1714</v>
      </c>
      <c r="C258" s="49">
        <f>G189</f>
        <v>122.54752387114287</v>
      </c>
      <c r="D258" s="49"/>
      <c r="E258" s="67"/>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row>
    <row r="259" spans="1:81" ht="15.75" customHeight="1">
      <c r="A259" s="1"/>
      <c r="B259" s="2048" t="s">
        <v>1716</v>
      </c>
      <c r="C259" s="49">
        <f>+O189</f>
        <v>248.9274919150329</v>
      </c>
      <c r="D259" s="49"/>
      <c r="E259" s="67"/>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row>
    <row r="260" spans="1:81" ht="15.75" customHeight="1">
      <c r="A260" s="1"/>
      <c r="B260" s="2053" t="s">
        <v>1665</v>
      </c>
      <c r="C260" s="49">
        <f t="shared" ref="C260:C261" si="94">O190</f>
        <v>111.06152755999712</v>
      </c>
      <c r="D260" s="49"/>
      <c r="E260" s="67"/>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row>
    <row r="261" spans="1:81" ht="15.75" customHeight="1">
      <c r="A261" s="1"/>
      <c r="B261" s="2053" t="s">
        <v>1667</v>
      </c>
      <c r="C261" s="49">
        <f t="shared" si="94"/>
        <v>137.86596435503574</v>
      </c>
      <c r="D261" s="49"/>
      <c r="E261" s="67"/>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row>
    <row r="262" spans="1:81" ht="15.75" customHeight="1">
      <c r="A262" s="1"/>
      <c r="B262" s="2054" t="s">
        <v>1502</v>
      </c>
      <c r="C262" s="1760">
        <f>C256+C250</f>
        <v>3077.8622112683474</v>
      </c>
      <c r="D262" s="1823"/>
      <c r="E262" s="2055"/>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row>
    <row r="263" spans="1:81"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row>
    <row r="264" spans="1:81"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row>
    <row r="265" spans="1:81"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row>
    <row r="266" spans="1:81"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row>
    <row r="267" spans="1:81"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row>
    <row r="268" spans="1:81"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row>
    <row r="269" spans="1:81"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row>
    <row r="270" spans="1:81"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row>
    <row r="271" spans="1:8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row>
    <row r="272" spans="1:81"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row>
    <row r="273" spans="1:81"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row>
    <row r="274" spans="1:81"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row>
    <row r="275" spans="1:81"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row>
    <row r="276" spans="1:81"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row>
    <row r="277" spans="1:81"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row>
    <row r="278" spans="1:81"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row>
    <row r="279" spans="1:81"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row>
    <row r="280" spans="1:81"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row>
    <row r="281" spans="1: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row>
    <row r="282" spans="1:81"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row>
    <row r="283" spans="1:81"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row>
    <row r="284" spans="1:81"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row>
    <row r="285" spans="1:81"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row>
    <row r="286" spans="1:81"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row>
    <row r="287" spans="1:81"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row>
    <row r="288" spans="1:81"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row>
    <row r="289" spans="1:81"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row>
    <row r="290" spans="1:81"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row>
    <row r="291" spans="1:8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row>
    <row r="292" spans="1:81"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row>
    <row r="293" spans="1:81"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row>
    <row r="294" spans="1:81"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row>
    <row r="295" spans="1:81"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row>
    <row r="296" spans="1:81"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row>
    <row r="297" spans="1:81"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row>
    <row r="298" spans="1:81"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row>
    <row r="299" spans="1:81"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row>
    <row r="300" spans="1:81"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row>
    <row r="301" spans="1:8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row>
    <row r="302" spans="1:81"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row>
    <row r="303" spans="1:81"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row>
    <row r="304" spans="1:81"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row>
    <row r="305" spans="1:81"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row>
    <row r="306" spans="1:81"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row>
    <row r="307" spans="1:81"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row>
    <row r="308" spans="1:81"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row>
    <row r="309" spans="1:81"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row>
    <row r="310" spans="1:81"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row>
    <row r="311" spans="1:8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row>
    <row r="312" spans="1:81"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row>
    <row r="313" spans="1:81"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row>
    <row r="314" spans="1:81"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row>
    <row r="315" spans="1:81"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row>
    <row r="316" spans="1:81"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row>
    <row r="317" spans="1:81"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row>
    <row r="318" spans="1:81"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row>
    <row r="319" spans="1:81"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row>
    <row r="320" spans="1:81"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row>
    <row r="321" spans="1:8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row>
    <row r="322" spans="1:81"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row>
    <row r="323" spans="1:81"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row>
    <row r="324" spans="1:81"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row>
    <row r="325" spans="1:81"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row>
    <row r="326" spans="1:81"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row>
    <row r="327" spans="1:81"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row>
    <row r="328" spans="1:81"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row>
    <row r="329" spans="1:81"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row>
    <row r="330" spans="1:81"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row>
    <row r="331" spans="1:8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row>
    <row r="332" spans="1:81"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row>
    <row r="333" spans="1:81"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row>
    <row r="334" spans="1:81"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row>
    <row r="335" spans="1:81"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row>
    <row r="336" spans="1:81"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row>
    <row r="337" spans="1:81"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row>
    <row r="338" spans="1:81"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row>
    <row r="339" spans="1:81"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row>
    <row r="340" spans="1:81"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row>
    <row r="341" spans="1:8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row>
    <row r="342" spans="1:81"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row>
    <row r="343" spans="1:8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row>
    <row r="344" spans="1:8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row>
    <row r="345" spans="1:8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row>
    <row r="346" spans="1:8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row>
    <row r="347" spans="1:8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row>
    <row r="348" spans="1:8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row>
    <row r="349" spans="1:8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row>
    <row r="350" spans="1:8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row>
    <row r="351" spans="1:8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row>
    <row r="352" spans="1:8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row>
    <row r="353" spans="1:8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row>
    <row r="354" spans="1:8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row>
    <row r="355" spans="1:8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row>
    <row r="356" spans="1:8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row>
    <row r="357" spans="1:8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row>
    <row r="358" spans="1:8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row>
    <row r="359" spans="1:8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row>
    <row r="360" spans="1:8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row>
    <row r="361" spans="1:8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row>
    <row r="362" spans="1:8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row>
    <row r="363" spans="1:8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row>
    <row r="364" spans="1:8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row>
    <row r="365" spans="1:8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row>
    <row r="366" spans="1:8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row>
    <row r="367" spans="1:8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row>
    <row r="368" spans="1:8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row>
    <row r="369" spans="1:8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row>
    <row r="370" spans="1:8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row>
    <row r="371" spans="1:8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row>
    <row r="372" spans="1:8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row>
    <row r="373" spans="1:8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row>
    <row r="374" spans="1:8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row>
    <row r="375" spans="1:8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row>
    <row r="376" spans="1:8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row>
    <row r="377" spans="1:8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row>
    <row r="378" spans="1:8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row>
    <row r="379" spans="1:8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row>
    <row r="380" spans="1:8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row>
    <row r="381" spans="1: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row>
    <row r="382" spans="1:8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row>
    <row r="383" spans="1:8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row>
    <row r="384" spans="1:8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row>
    <row r="385" spans="1:8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row>
    <row r="386" spans="1:8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row>
    <row r="387" spans="1:8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row>
    <row r="388" spans="1:8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row>
    <row r="389" spans="1:8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row>
    <row r="390" spans="1:8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row>
    <row r="391" spans="1:8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row>
    <row r="392" spans="1:8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row>
    <row r="393" spans="1:8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row>
    <row r="394" spans="1:8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row>
    <row r="395" spans="1:8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row>
    <row r="396" spans="1:8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row>
    <row r="397" spans="1:8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row>
    <row r="398" spans="1:8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row>
    <row r="399" spans="1:8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row>
    <row r="400" spans="1:8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row>
    <row r="401" spans="1:8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row>
    <row r="402" spans="1:8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row>
    <row r="403" spans="1:8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row>
    <row r="404" spans="1:8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row>
    <row r="405" spans="1:8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row>
    <row r="406" spans="1:8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row>
    <row r="407" spans="1:8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row>
    <row r="408" spans="1:8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row>
    <row r="409" spans="1:8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row>
    <row r="410" spans="1:8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row>
    <row r="411" spans="1:8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row>
    <row r="412" spans="1:8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row>
    <row r="413" spans="1:81"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row>
    <row r="414" spans="1:81"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row>
    <row r="415" spans="1:81"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row>
    <row r="416" spans="1:81"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row>
    <row r="417" spans="1:81"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row>
    <row r="418" spans="1:81"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row>
    <row r="419" spans="1:81"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row>
    <row r="420" spans="1:81"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row>
    <row r="421" spans="1:8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row>
    <row r="422" spans="1:81"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row>
    <row r="423" spans="1:81"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row>
    <row r="424" spans="1:81"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row>
    <row r="425" spans="1:81"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row>
    <row r="426" spans="1:81"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row>
    <row r="427" spans="1:81"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row>
    <row r="428" spans="1:81"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row>
    <row r="429" spans="1:81"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row>
    <row r="430" spans="1:81"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row>
    <row r="431" spans="1:8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row>
    <row r="432" spans="1:81"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row>
    <row r="433" spans="1:81"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row>
    <row r="434" spans="1:81"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row>
    <row r="435" spans="1:81"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row>
    <row r="436" spans="1:81"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row>
    <row r="437" spans="1:81"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row>
    <row r="438" spans="1:81"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row>
    <row r="439" spans="1:81"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row>
    <row r="440" spans="1:81"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row>
    <row r="441" spans="1:8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row>
    <row r="442" spans="1:81"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row>
    <row r="443" spans="1:81"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row>
    <row r="444" spans="1:81"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row>
    <row r="445" spans="1:81"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row>
    <row r="446" spans="1:81"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row>
    <row r="447" spans="1:81"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row>
    <row r="448" spans="1:81"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row>
    <row r="449" spans="1:81"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row>
    <row r="450" spans="1:81"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row>
    <row r="451" spans="1:8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row>
    <row r="452" spans="1:81"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row>
    <row r="453" spans="1:81"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row>
    <row r="454" spans="1:81"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row>
    <row r="455" spans="1:81"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row>
    <row r="456" spans="1:81"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row>
    <row r="457" spans="1:81"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row>
    <row r="458" spans="1:81"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row>
    <row r="459" spans="1:81"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row>
    <row r="460" spans="1:81"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row>
    <row r="461" spans="1:8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row>
    <row r="462" spans="1:81"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row>
  </sheetData>
  <mergeCells count="15">
    <mergeCell ref="CB155:CC155"/>
    <mergeCell ref="C189:E189"/>
    <mergeCell ref="C192:E192"/>
    <mergeCell ref="B2:S2"/>
    <mergeCell ref="Y4:Z4"/>
    <mergeCell ref="AH155:AN155"/>
    <mergeCell ref="AP155:AS155"/>
    <mergeCell ref="AU155:AV155"/>
    <mergeCell ref="AX155:AY155"/>
    <mergeCell ref="BA155:BF155"/>
    <mergeCell ref="BH155:BL155"/>
    <mergeCell ref="BN155:BO155"/>
    <mergeCell ref="BQ155:BS155"/>
    <mergeCell ref="BU155:BW155"/>
    <mergeCell ref="BY155:BZ155"/>
  </mergeCells>
  <pageMargins left="0.7" right="0.7" top="0.75" bottom="0.75" header="0" footer="0"/>
  <pageSetup orientation="landscape"/>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Z1001"/>
  <sheetViews>
    <sheetView workbookViewId="0"/>
  </sheetViews>
  <sheetFormatPr defaultColWidth="16.85546875" defaultRowHeight="15" customHeight="1"/>
  <sheetData>
    <row r="1" spans="1:26" ht="15" customHeight="1">
      <c r="A1" s="73"/>
      <c r="B1" s="73"/>
      <c r="C1" s="73"/>
      <c r="D1" s="73"/>
      <c r="E1" s="73"/>
      <c r="F1" s="73"/>
      <c r="G1" s="73"/>
      <c r="H1" s="73"/>
      <c r="I1" s="73"/>
      <c r="J1" s="73"/>
      <c r="K1" s="73"/>
      <c r="L1" s="73"/>
      <c r="M1" s="73"/>
      <c r="N1" s="73"/>
      <c r="O1" s="73"/>
      <c r="P1" s="73"/>
      <c r="Q1" s="73"/>
      <c r="R1" s="73"/>
      <c r="S1" s="73"/>
      <c r="T1" s="73"/>
      <c r="U1" s="73"/>
      <c r="V1" s="73"/>
      <c r="W1" s="73"/>
      <c r="X1" s="73"/>
      <c r="Y1" s="73"/>
      <c r="Z1" s="73"/>
    </row>
    <row r="2" spans="1:26" ht="15" customHeight="1">
      <c r="A2" s="73"/>
      <c r="B2" s="73"/>
      <c r="C2" s="73"/>
      <c r="D2" s="73"/>
      <c r="E2" s="73"/>
      <c r="F2" s="73"/>
      <c r="G2" s="73"/>
      <c r="H2" s="73"/>
      <c r="I2" s="73"/>
      <c r="J2" s="73"/>
      <c r="K2" s="73"/>
      <c r="L2" s="73"/>
      <c r="M2" s="73"/>
      <c r="N2" s="73"/>
      <c r="O2" s="73"/>
      <c r="P2" s="73"/>
      <c r="Q2" s="73"/>
      <c r="R2" s="73"/>
      <c r="S2" s="73"/>
      <c r="T2" s="73"/>
      <c r="U2" s="73"/>
      <c r="V2" s="73"/>
      <c r="W2" s="73"/>
      <c r="X2" s="73"/>
      <c r="Y2" s="73"/>
      <c r="Z2" s="73"/>
    </row>
    <row r="3" spans="1:26" ht="15" customHeight="1">
      <c r="A3" s="2056"/>
      <c r="B3" s="2057" t="s">
        <v>1717</v>
      </c>
      <c r="C3" s="2058"/>
      <c r="D3" s="2058"/>
      <c r="E3" s="2058"/>
      <c r="F3" s="2058"/>
      <c r="G3" s="73"/>
      <c r="H3" s="73"/>
      <c r="I3" s="73"/>
      <c r="J3" s="73"/>
      <c r="K3" s="73"/>
      <c r="L3" s="73"/>
      <c r="M3" s="73"/>
      <c r="N3" s="73"/>
      <c r="O3" s="73"/>
      <c r="P3" s="73"/>
      <c r="Q3" s="73"/>
      <c r="R3" s="73"/>
      <c r="S3" s="73"/>
      <c r="T3" s="73"/>
      <c r="U3" s="73"/>
      <c r="V3" s="73"/>
      <c r="W3" s="73"/>
      <c r="X3" s="73"/>
      <c r="Y3" s="73"/>
      <c r="Z3" s="73"/>
    </row>
    <row r="4" spans="1:26" ht="15" customHeight="1">
      <c r="A4" s="2056"/>
      <c r="B4" s="70"/>
      <c r="C4" s="2059"/>
      <c r="D4" s="2059"/>
      <c r="E4" s="2059"/>
      <c r="F4" s="2059"/>
      <c r="G4" s="2059"/>
      <c r="H4" s="73"/>
      <c r="I4" s="73"/>
      <c r="J4" s="73"/>
      <c r="K4" s="73"/>
      <c r="L4" s="73"/>
      <c r="M4" s="73"/>
      <c r="N4" s="73"/>
      <c r="O4" s="73"/>
      <c r="P4" s="73"/>
      <c r="Q4" s="73"/>
      <c r="R4" s="73"/>
      <c r="S4" s="73"/>
      <c r="T4" s="73"/>
      <c r="U4" s="73"/>
      <c r="V4" s="73"/>
      <c r="W4" s="73"/>
      <c r="X4" s="73"/>
      <c r="Y4" s="73"/>
      <c r="Z4" s="73"/>
    </row>
    <row r="5" spans="1:26" ht="15" customHeight="1">
      <c r="A5" s="2056"/>
      <c r="B5" s="2060" t="s">
        <v>92</v>
      </c>
      <c r="C5" s="2061"/>
      <c r="D5" s="2062" t="s">
        <v>1718</v>
      </c>
      <c r="E5" s="2062" t="s">
        <v>881</v>
      </c>
      <c r="F5" s="2062" t="s">
        <v>124</v>
      </c>
      <c r="G5" s="2062" t="s">
        <v>124</v>
      </c>
      <c r="H5" s="73"/>
      <c r="I5" s="73"/>
      <c r="J5" s="73"/>
      <c r="K5" s="73"/>
      <c r="L5" s="73"/>
      <c r="M5" s="73"/>
      <c r="N5" s="73"/>
      <c r="O5" s="73"/>
      <c r="P5" s="73"/>
      <c r="Q5" s="73"/>
      <c r="R5" s="73"/>
      <c r="S5" s="73"/>
      <c r="T5" s="73"/>
      <c r="U5" s="73"/>
      <c r="V5" s="73"/>
      <c r="W5" s="73"/>
      <c r="X5" s="73"/>
      <c r="Y5" s="73"/>
      <c r="Z5" s="73"/>
    </row>
    <row r="6" spans="1:26" ht="15" customHeight="1">
      <c r="A6" s="2056"/>
      <c r="B6" s="2063"/>
      <c r="C6" s="2061"/>
      <c r="D6" s="2062" t="s">
        <v>1069</v>
      </c>
      <c r="E6" s="2062" t="s">
        <v>1719</v>
      </c>
      <c r="F6" s="2062" t="s">
        <v>1720</v>
      </c>
      <c r="G6" s="2062" t="s">
        <v>954</v>
      </c>
      <c r="H6" s="73"/>
      <c r="I6" s="73"/>
      <c r="J6" s="73"/>
      <c r="K6" s="73"/>
      <c r="L6" s="73"/>
      <c r="M6" s="73"/>
      <c r="N6" s="73"/>
      <c r="O6" s="73"/>
      <c r="P6" s="73"/>
      <c r="Q6" s="73"/>
      <c r="R6" s="73"/>
      <c r="S6" s="73"/>
      <c r="T6" s="73"/>
      <c r="U6" s="73"/>
      <c r="V6" s="73"/>
      <c r="W6" s="73"/>
      <c r="X6" s="73"/>
      <c r="Y6" s="73"/>
      <c r="Z6" s="73"/>
    </row>
    <row r="7" spans="1:26" ht="15" customHeight="1">
      <c r="A7" s="2056"/>
      <c r="B7" s="2064"/>
      <c r="C7" s="2065"/>
      <c r="D7" s="2065"/>
      <c r="E7" s="2065"/>
      <c r="F7" s="2065"/>
      <c r="G7" s="2065"/>
      <c r="H7" s="73"/>
      <c r="I7" s="73"/>
      <c r="J7" s="73"/>
      <c r="K7" s="73"/>
      <c r="L7" s="73"/>
      <c r="M7" s="73"/>
      <c r="N7" s="73"/>
      <c r="O7" s="73"/>
      <c r="P7" s="73"/>
      <c r="Q7" s="73"/>
      <c r="R7" s="73"/>
      <c r="S7" s="73"/>
      <c r="T7" s="73"/>
      <c r="U7" s="73"/>
      <c r="V7" s="73"/>
      <c r="W7" s="73"/>
      <c r="X7" s="73"/>
      <c r="Y7" s="73"/>
      <c r="Z7" s="73"/>
    </row>
    <row r="8" spans="1:26" ht="15" customHeight="1">
      <c r="A8" s="2056"/>
      <c r="B8" s="2066">
        <v>2011</v>
      </c>
      <c r="C8" s="2065"/>
      <c r="D8" s="2067">
        <v>8009</v>
      </c>
      <c r="E8" s="2068">
        <v>0.2</v>
      </c>
      <c r="F8" s="2069">
        <f>D8*E8*(44/12)</f>
        <v>5873.2666666666673</v>
      </c>
      <c r="G8" s="2070">
        <f>F8/1000000</f>
        <v>5.8732666666666674E-3</v>
      </c>
      <c r="H8" s="73"/>
      <c r="I8" s="73"/>
      <c r="J8" s="73"/>
      <c r="K8" s="73"/>
      <c r="L8" s="73"/>
      <c r="M8" s="73"/>
      <c r="N8" s="73"/>
      <c r="O8" s="73"/>
      <c r="P8" s="73"/>
      <c r="Q8" s="73"/>
      <c r="R8" s="73"/>
      <c r="S8" s="73"/>
      <c r="T8" s="73"/>
      <c r="U8" s="73"/>
      <c r="V8" s="73"/>
      <c r="W8" s="73"/>
      <c r="X8" s="73"/>
      <c r="Y8" s="73"/>
      <c r="Z8" s="73"/>
    </row>
    <row r="9" spans="1:26" ht="15" customHeight="1">
      <c r="A9" s="2056"/>
      <c r="B9" s="2064"/>
      <c r="C9" s="2065"/>
      <c r="D9" s="2065"/>
      <c r="E9" s="2065"/>
      <c r="F9" s="2065"/>
      <c r="G9" s="2065"/>
      <c r="H9" s="73"/>
      <c r="I9" s="73"/>
      <c r="J9" s="73"/>
      <c r="K9" s="73"/>
      <c r="L9" s="73"/>
      <c r="M9" s="73"/>
      <c r="N9" s="73"/>
      <c r="O9" s="73"/>
      <c r="P9" s="73"/>
      <c r="Q9" s="73"/>
      <c r="R9" s="73"/>
      <c r="S9" s="73"/>
      <c r="T9" s="73"/>
      <c r="U9" s="73"/>
      <c r="V9" s="73"/>
      <c r="W9" s="73"/>
      <c r="X9" s="73"/>
      <c r="Y9" s="73"/>
      <c r="Z9" s="73"/>
    </row>
    <row r="10" spans="1:26" ht="15" customHeight="1">
      <c r="A10" s="2056"/>
      <c r="B10" s="2064"/>
      <c r="C10" s="2065"/>
      <c r="D10" s="2065"/>
      <c r="E10" s="2065"/>
      <c r="F10" s="2065"/>
      <c r="G10" s="2065"/>
      <c r="H10" s="73"/>
      <c r="I10" s="73"/>
      <c r="J10" s="73"/>
      <c r="K10" s="73"/>
      <c r="L10" s="73"/>
      <c r="M10" s="73"/>
      <c r="N10" s="73"/>
      <c r="O10" s="73"/>
      <c r="P10" s="73"/>
      <c r="Q10" s="73"/>
      <c r="R10" s="73"/>
      <c r="S10" s="73"/>
      <c r="T10" s="73"/>
      <c r="U10" s="73"/>
      <c r="V10" s="73"/>
      <c r="W10" s="73"/>
      <c r="X10" s="73"/>
      <c r="Y10" s="73"/>
      <c r="Z10" s="73"/>
    </row>
    <row r="11" spans="1:26" ht="15" customHeight="1">
      <c r="A11" s="2056"/>
      <c r="B11" s="2064"/>
      <c r="C11" s="2065"/>
      <c r="D11" s="2065"/>
      <c r="E11" s="2065"/>
      <c r="F11" s="2065"/>
      <c r="G11" s="2065"/>
      <c r="H11" s="73"/>
      <c r="I11" s="73"/>
      <c r="J11" s="73"/>
      <c r="K11" s="73"/>
      <c r="L11" s="73"/>
      <c r="M11" s="73"/>
      <c r="N11" s="73"/>
      <c r="O11" s="73"/>
      <c r="P11" s="73"/>
      <c r="Q11" s="73"/>
      <c r="R11" s="73"/>
      <c r="S11" s="73"/>
      <c r="T11" s="73"/>
      <c r="U11" s="73"/>
      <c r="V11" s="73"/>
      <c r="W11" s="73"/>
      <c r="X11" s="73"/>
      <c r="Y11" s="73"/>
      <c r="Z11" s="73"/>
    </row>
    <row r="12" spans="1:26" ht="15" customHeight="1">
      <c r="A12" s="2056"/>
      <c r="B12" s="2064"/>
      <c r="C12" s="2065"/>
      <c r="D12" s="2065"/>
      <c r="E12" s="2065"/>
      <c r="F12" s="2065"/>
      <c r="G12" s="2065"/>
      <c r="H12" s="73"/>
      <c r="I12" s="73"/>
      <c r="J12" s="73"/>
      <c r="K12" s="73"/>
      <c r="L12" s="73"/>
      <c r="M12" s="73"/>
      <c r="N12" s="73"/>
      <c r="O12" s="73"/>
      <c r="P12" s="73"/>
      <c r="Q12" s="73"/>
      <c r="R12" s="73"/>
      <c r="S12" s="73"/>
      <c r="T12" s="73"/>
      <c r="U12" s="73"/>
      <c r="V12" s="73"/>
      <c r="W12" s="73"/>
      <c r="X12" s="73"/>
      <c r="Y12" s="73"/>
      <c r="Z12" s="73"/>
    </row>
    <row r="13" spans="1:26" ht="15" customHeight="1">
      <c r="A13" s="2056"/>
      <c r="B13" s="2293" t="s">
        <v>1721</v>
      </c>
      <c r="C13" s="2294"/>
      <c r="D13" s="2294"/>
      <c r="E13" s="2294"/>
      <c r="F13" s="2294"/>
      <c r="G13" s="2295"/>
      <c r="H13" s="73"/>
      <c r="I13" s="73"/>
      <c r="J13" s="73"/>
      <c r="K13" s="73"/>
      <c r="L13" s="73"/>
      <c r="M13" s="73"/>
      <c r="N13" s="73"/>
      <c r="O13" s="73"/>
      <c r="P13" s="73"/>
      <c r="Q13" s="73"/>
      <c r="R13" s="73"/>
      <c r="S13" s="73"/>
      <c r="T13" s="73"/>
      <c r="U13" s="73"/>
      <c r="V13" s="73"/>
      <c r="W13" s="73"/>
      <c r="X13" s="73"/>
      <c r="Y13" s="73"/>
      <c r="Z13" s="73"/>
    </row>
    <row r="14" spans="1:26" ht="15" customHeight="1">
      <c r="A14" s="73"/>
      <c r="B14" s="73"/>
      <c r="C14" s="73"/>
      <c r="D14" s="73"/>
      <c r="E14" s="73"/>
      <c r="F14" s="73"/>
      <c r="G14" s="73"/>
      <c r="H14" s="73"/>
      <c r="I14" s="73"/>
      <c r="J14" s="73"/>
      <c r="K14" s="73"/>
      <c r="L14" s="73"/>
      <c r="M14" s="73"/>
      <c r="N14" s="73"/>
      <c r="O14" s="73"/>
      <c r="P14" s="73"/>
      <c r="Q14" s="73"/>
      <c r="R14" s="73"/>
      <c r="S14" s="73"/>
      <c r="T14" s="73"/>
      <c r="U14" s="73"/>
      <c r="V14" s="73"/>
      <c r="W14" s="73"/>
      <c r="X14" s="73"/>
      <c r="Y14" s="73"/>
      <c r="Z14" s="73"/>
    </row>
    <row r="15" spans="1:26" ht="15" customHeight="1">
      <c r="A15" s="2056"/>
      <c r="B15" s="2071" t="s">
        <v>1722</v>
      </c>
      <c r="C15" s="2072"/>
      <c r="D15" s="2072"/>
      <c r="E15" s="2072"/>
      <c r="F15" s="2072"/>
      <c r="G15" s="73"/>
      <c r="H15" s="73"/>
      <c r="I15" s="73"/>
      <c r="J15" s="73"/>
      <c r="K15" s="73"/>
      <c r="L15" s="73"/>
      <c r="M15" s="73"/>
      <c r="N15" s="73"/>
      <c r="O15" s="73"/>
      <c r="P15" s="73"/>
      <c r="Q15" s="73"/>
      <c r="R15" s="73"/>
      <c r="S15" s="73"/>
      <c r="T15" s="73"/>
      <c r="U15" s="73"/>
      <c r="V15" s="73"/>
      <c r="W15" s="73"/>
      <c r="X15" s="73"/>
      <c r="Y15" s="73"/>
      <c r="Z15" s="73"/>
    </row>
    <row r="16" spans="1:26" ht="15" customHeight="1">
      <c r="A16" s="73"/>
      <c r="B16" s="182"/>
      <c r="C16" s="182"/>
      <c r="D16" s="182"/>
      <c r="E16" s="182"/>
      <c r="F16" s="182"/>
      <c r="G16" s="182"/>
      <c r="H16" s="73"/>
      <c r="I16" s="73"/>
      <c r="J16" s="73"/>
      <c r="K16" s="73"/>
      <c r="L16" s="73"/>
      <c r="M16" s="73"/>
      <c r="N16" s="73"/>
      <c r="O16" s="73"/>
      <c r="P16" s="73"/>
      <c r="Q16" s="73"/>
      <c r="R16" s="73"/>
      <c r="S16" s="73"/>
      <c r="T16" s="73"/>
      <c r="U16" s="73"/>
      <c r="V16" s="73"/>
      <c r="W16" s="73"/>
      <c r="X16" s="73"/>
      <c r="Y16" s="73"/>
      <c r="Z16" s="73"/>
    </row>
    <row r="17" spans="1:26" ht="15" customHeight="1">
      <c r="A17" s="2056"/>
      <c r="B17" s="2073" t="s">
        <v>92</v>
      </c>
      <c r="C17" s="2074"/>
      <c r="D17" s="2075" t="s">
        <v>1723</v>
      </c>
      <c r="E17" s="2075" t="s">
        <v>881</v>
      </c>
      <c r="F17" s="2075" t="s">
        <v>124</v>
      </c>
      <c r="G17" s="2075" t="s">
        <v>1724</v>
      </c>
      <c r="H17" s="73"/>
      <c r="I17" s="73"/>
      <c r="J17" s="73"/>
      <c r="K17" s="73"/>
      <c r="L17" s="73"/>
      <c r="M17" s="73"/>
      <c r="N17" s="73"/>
      <c r="O17" s="73"/>
      <c r="P17" s="73"/>
      <c r="Q17" s="73"/>
      <c r="R17" s="73"/>
      <c r="S17" s="73"/>
      <c r="T17" s="73"/>
      <c r="U17" s="73"/>
      <c r="V17" s="73"/>
      <c r="W17" s="73"/>
      <c r="X17" s="73"/>
      <c r="Y17" s="73"/>
      <c r="Z17" s="73"/>
    </row>
    <row r="18" spans="1:26" ht="15" customHeight="1">
      <c r="A18" s="2056"/>
      <c r="B18" s="2076"/>
      <c r="C18" s="2077"/>
      <c r="D18" s="2078" t="s">
        <v>1725</v>
      </c>
      <c r="E18" s="2078" t="s">
        <v>1726</v>
      </c>
      <c r="F18" s="2078" t="s">
        <v>1720</v>
      </c>
      <c r="G18" s="2078" t="s">
        <v>954</v>
      </c>
      <c r="H18" s="73"/>
      <c r="I18" s="73"/>
      <c r="J18" s="73"/>
      <c r="K18" s="73"/>
      <c r="L18" s="73"/>
      <c r="M18" s="73"/>
      <c r="N18" s="73"/>
      <c r="O18" s="73"/>
      <c r="P18" s="73"/>
      <c r="Q18" s="73"/>
      <c r="R18" s="73"/>
      <c r="S18" s="73"/>
      <c r="T18" s="73"/>
      <c r="U18" s="73"/>
      <c r="V18" s="73"/>
      <c r="W18" s="73"/>
      <c r="X18" s="73"/>
      <c r="Y18" s="73"/>
      <c r="Z18" s="73"/>
    </row>
    <row r="19" spans="1:26" ht="15" customHeight="1">
      <c r="A19" s="2056"/>
      <c r="B19" s="2064"/>
      <c r="C19" s="2065"/>
      <c r="D19" s="2065"/>
      <c r="E19" s="2065"/>
      <c r="F19" s="2065"/>
      <c r="G19" s="2079"/>
      <c r="H19" s="73"/>
      <c r="I19" s="73"/>
      <c r="J19" s="73"/>
      <c r="K19" s="73"/>
      <c r="L19" s="73"/>
      <c r="M19" s="73"/>
      <c r="N19" s="73"/>
      <c r="O19" s="73"/>
      <c r="P19" s="73"/>
      <c r="Q19" s="73"/>
      <c r="R19" s="73"/>
      <c r="S19" s="73"/>
      <c r="T19" s="73"/>
      <c r="U19" s="73"/>
      <c r="V19" s="73"/>
      <c r="W19" s="73"/>
      <c r="X19" s="73"/>
      <c r="Y19" s="73"/>
      <c r="Z19" s="73"/>
    </row>
    <row r="20" spans="1:26" ht="15" customHeight="1">
      <c r="A20" s="2056"/>
      <c r="B20" s="2080">
        <v>2011</v>
      </c>
      <c r="C20" s="2081" t="s">
        <v>76</v>
      </c>
      <c r="D20" s="2082">
        <v>407.82</v>
      </c>
      <c r="E20" s="2068">
        <v>5.8999999999999997E-2</v>
      </c>
      <c r="F20" s="2083">
        <f t="shared" ref="F20:F21" si="0">D20*E20*(44/12)*1000</f>
        <v>88225.06</v>
      </c>
      <c r="G20" s="2084">
        <f t="shared" ref="G20:G21" si="1">F20/1000000</f>
        <v>8.8225059999999994E-2</v>
      </c>
      <c r="H20" s="73"/>
      <c r="I20" s="73"/>
      <c r="J20" s="73"/>
      <c r="K20" s="73"/>
      <c r="L20" s="73"/>
      <c r="M20" s="73"/>
      <c r="N20" s="73"/>
      <c r="O20" s="73"/>
      <c r="P20" s="73"/>
      <c r="Q20" s="73"/>
      <c r="R20" s="73"/>
      <c r="S20" s="73"/>
      <c r="T20" s="73"/>
      <c r="U20" s="73"/>
      <c r="V20" s="73"/>
      <c r="W20" s="73"/>
      <c r="X20" s="73"/>
      <c r="Y20" s="73"/>
      <c r="Z20" s="73"/>
    </row>
    <row r="21" spans="1:26" ht="15" customHeight="1">
      <c r="A21" s="2056"/>
      <c r="B21" s="2080">
        <v>2011</v>
      </c>
      <c r="C21" s="2081" t="s">
        <v>79</v>
      </c>
      <c r="D21" s="2082">
        <v>68.3</v>
      </c>
      <c r="E21" s="2068">
        <v>6.4000000000000001E-2</v>
      </c>
      <c r="F21" s="2083">
        <f t="shared" si="0"/>
        <v>16027.733333333334</v>
      </c>
      <c r="G21" s="2084">
        <f t="shared" si="1"/>
        <v>1.6027733333333332E-2</v>
      </c>
      <c r="H21" s="73"/>
      <c r="I21" s="73"/>
      <c r="J21" s="73"/>
      <c r="K21" s="73"/>
      <c r="L21" s="73"/>
      <c r="M21" s="73"/>
      <c r="N21" s="73"/>
      <c r="O21" s="73"/>
      <c r="P21" s="73"/>
      <c r="Q21" s="73"/>
      <c r="R21" s="73"/>
      <c r="S21" s="73"/>
      <c r="T21" s="73"/>
      <c r="U21" s="73"/>
      <c r="V21" s="73"/>
      <c r="W21" s="73"/>
      <c r="X21" s="73"/>
      <c r="Y21" s="73"/>
      <c r="Z21" s="73"/>
    </row>
    <row r="22" spans="1:26" ht="15" customHeight="1">
      <c r="A22" s="73"/>
      <c r="B22" s="73"/>
      <c r="C22" s="73"/>
      <c r="D22" s="73"/>
      <c r="E22" s="73"/>
      <c r="F22" s="2065"/>
      <c r="G22" s="147">
        <f>G20+G21</f>
        <v>0.10425279333333333</v>
      </c>
      <c r="H22" s="73"/>
      <c r="I22" s="73"/>
      <c r="J22" s="73"/>
      <c r="K22" s="73"/>
      <c r="L22" s="73"/>
      <c r="M22" s="73"/>
      <c r="N22" s="73"/>
      <c r="O22" s="73"/>
      <c r="P22" s="73"/>
      <c r="Q22" s="73"/>
      <c r="R22" s="73"/>
      <c r="S22" s="73"/>
      <c r="T22" s="73"/>
      <c r="U22" s="73"/>
      <c r="V22" s="73"/>
      <c r="W22" s="73"/>
      <c r="X22" s="73"/>
      <c r="Y22" s="73"/>
      <c r="Z22" s="73"/>
    </row>
    <row r="23" spans="1:26" ht="15" customHeight="1">
      <c r="A23" s="73"/>
      <c r="B23" s="73"/>
      <c r="C23" s="73"/>
      <c r="D23" s="73"/>
      <c r="E23" s="73"/>
      <c r="F23" s="73"/>
      <c r="G23" s="73"/>
      <c r="H23" s="73"/>
      <c r="I23" s="73"/>
      <c r="J23" s="73"/>
      <c r="K23" s="73"/>
      <c r="L23" s="73"/>
      <c r="M23" s="73"/>
      <c r="N23" s="73"/>
      <c r="O23" s="73"/>
      <c r="P23" s="73"/>
      <c r="Q23" s="73"/>
      <c r="R23" s="73"/>
      <c r="S23" s="73"/>
      <c r="T23" s="73"/>
      <c r="U23" s="73"/>
      <c r="V23" s="73"/>
      <c r="W23" s="73"/>
      <c r="X23" s="73"/>
      <c r="Y23" s="73"/>
      <c r="Z23" s="73"/>
    </row>
    <row r="24" spans="1:26" ht="15" customHeight="1">
      <c r="A24" s="73"/>
      <c r="B24" s="73"/>
      <c r="C24" s="73"/>
      <c r="D24" s="73"/>
      <c r="E24" s="73"/>
      <c r="F24" s="73"/>
      <c r="G24" s="73"/>
      <c r="H24" s="73"/>
      <c r="I24" s="73"/>
      <c r="J24" s="73"/>
      <c r="K24" s="73"/>
      <c r="L24" s="73"/>
      <c r="M24" s="73"/>
      <c r="N24" s="73"/>
      <c r="O24" s="73"/>
      <c r="P24" s="73"/>
      <c r="Q24" s="73"/>
      <c r="R24" s="73"/>
      <c r="S24" s="73"/>
      <c r="T24" s="73"/>
      <c r="U24" s="73"/>
      <c r="V24" s="73"/>
      <c r="W24" s="73"/>
      <c r="X24" s="73"/>
      <c r="Y24" s="73"/>
      <c r="Z24" s="73"/>
    </row>
    <row r="25" spans="1:26" ht="15" customHeight="1">
      <c r="A25" s="73"/>
      <c r="B25" s="73"/>
      <c r="C25" s="73"/>
      <c r="D25" s="73"/>
      <c r="E25" s="73"/>
      <c r="F25" s="73"/>
      <c r="G25" s="73"/>
      <c r="H25" s="73"/>
      <c r="I25" s="73"/>
      <c r="J25" s="73"/>
      <c r="K25" s="73"/>
      <c r="L25" s="73"/>
      <c r="M25" s="73"/>
      <c r="N25" s="73"/>
      <c r="O25" s="73"/>
      <c r="P25" s="73"/>
      <c r="Q25" s="73"/>
      <c r="R25" s="73"/>
      <c r="S25" s="73"/>
      <c r="T25" s="73"/>
      <c r="U25" s="73"/>
      <c r="V25" s="73"/>
      <c r="W25" s="73"/>
      <c r="X25" s="73"/>
      <c r="Y25" s="73"/>
      <c r="Z25" s="73"/>
    </row>
    <row r="26" spans="1:26" ht="15" customHeight="1">
      <c r="A26" s="73"/>
      <c r="B26" s="73"/>
      <c r="C26" s="73"/>
      <c r="D26" s="73"/>
      <c r="E26" s="73"/>
      <c r="F26" s="73"/>
      <c r="G26" s="73"/>
      <c r="H26" s="73"/>
      <c r="I26" s="73"/>
      <c r="J26" s="73"/>
      <c r="K26" s="73"/>
      <c r="L26" s="73"/>
      <c r="M26" s="73"/>
      <c r="N26" s="73"/>
      <c r="O26" s="73"/>
      <c r="P26" s="73"/>
      <c r="Q26" s="73"/>
      <c r="R26" s="73"/>
      <c r="S26" s="73"/>
      <c r="T26" s="73"/>
      <c r="U26" s="73"/>
      <c r="V26" s="73"/>
      <c r="W26" s="73"/>
      <c r="X26" s="73"/>
      <c r="Y26" s="73"/>
      <c r="Z26" s="73"/>
    </row>
    <row r="27" spans="1:26" ht="15" customHeight="1">
      <c r="A27" s="73"/>
      <c r="B27" s="73"/>
      <c r="C27" s="73"/>
      <c r="D27" s="73"/>
      <c r="E27" s="73"/>
      <c r="F27" s="73"/>
      <c r="G27" s="73"/>
      <c r="H27" s="73"/>
      <c r="I27" s="73"/>
      <c r="J27" s="73"/>
      <c r="K27" s="73"/>
      <c r="L27" s="73"/>
      <c r="M27" s="73"/>
      <c r="N27" s="73"/>
      <c r="O27" s="73"/>
      <c r="P27" s="73"/>
      <c r="Q27" s="73"/>
      <c r="R27" s="73"/>
      <c r="S27" s="73"/>
      <c r="T27" s="73"/>
      <c r="U27" s="73"/>
      <c r="V27" s="73"/>
      <c r="W27" s="73"/>
      <c r="X27" s="73"/>
      <c r="Y27" s="73"/>
      <c r="Z27" s="73"/>
    </row>
    <row r="28" spans="1:26" ht="15" customHeight="1">
      <c r="A28" s="73"/>
      <c r="B28" s="73"/>
      <c r="C28" s="73"/>
      <c r="D28" s="73"/>
      <c r="E28" s="73"/>
      <c r="F28" s="73"/>
      <c r="G28" s="73"/>
      <c r="H28" s="73"/>
      <c r="I28" s="73"/>
      <c r="J28" s="73"/>
      <c r="K28" s="73"/>
      <c r="L28" s="73"/>
      <c r="M28" s="73"/>
      <c r="N28" s="73"/>
      <c r="O28" s="73"/>
      <c r="P28" s="73"/>
      <c r="Q28" s="73"/>
      <c r="R28" s="73"/>
      <c r="S28" s="73"/>
      <c r="T28" s="73"/>
      <c r="U28" s="73"/>
      <c r="V28" s="73"/>
      <c r="W28" s="73"/>
      <c r="X28" s="73"/>
      <c r="Y28" s="73"/>
      <c r="Z28" s="73"/>
    </row>
    <row r="29" spans="1:26" ht="15" customHeight="1">
      <c r="A29" s="73"/>
      <c r="B29" s="73"/>
      <c r="C29" s="73"/>
      <c r="D29" s="73"/>
      <c r="E29" s="73"/>
      <c r="F29" s="73"/>
      <c r="G29" s="73"/>
      <c r="H29" s="73"/>
      <c r="I29" s="73"/>
      <c r="J29" s="73"/>
      <c r="K29" s="73"/>
      <c r="L29" s="73"/>
      <c r="M29" s="73"/>
      <c r="N29" s="73"/>
      <c r="O29" s="73"/>
      <c r="P29" s="73"/>
      <c r="Q29" s="73"/>
      <c r="R29" s="73"/>
      <c r="S29" s="73"/>
      <c r="T29" s="73"/>
      <c r="U29" s="73"/>
      <c r="V29" s="73"/>
      <c r="W29" s="73"/>
      <c r="X29" s="73"/>
      <c r="Y29" s="73"/>
      <c r="Z29" s="73"/>
    </row>
    <row r="30" spans="1:26" ht="15" customHeight="1">
      <c r="A30" s="73"/>
      <c r="B30" s="73"/>
      <c r="C30" s="73"/>
      <c r="D30" s="73"/>
      <c r="E30" s="73"/>
      <c r="F30" s="73"/>
      <c r="G30" s="73"/>
      <c r="H30" s="73"/>
      <c r="I30" s="73"/>
      <c r="J30" s="73"/>
      <c r="K30" s="73"/>
      <c r="L30" s="73"/>
      <c r="M30" s="73"/>
      <c r="N30" s="73"/>
      <c r="O30" s="73"/>
      <c r="P30" s="73"/>
      <c r="Q30" s="73"/>
      <c r="R30" s="73"/>
      <c r="S30" s="73"/>
      <c r="T30" s="73"/>
      <c r="U30" s="73"/>
      <c r="V30" s="73"/>
      <c r="W30" s="73"/>
      <c r="X30" s="73"/>
      <c r="Y30" s="73"/>
      <c r="Z30" s="73"/>
    </row>
    <row r="31" spans="1:26" ht="15" customHeight="1">
      <c r="A31" s="73"/>
      <c r="B31" s="73"/>
      <c r="C31" s="73"/>
      <c r="D31" s="73"/>
      <c r="E31" s="73"/>
      <c r="F31" s="73"/>
      <c r="G31" s="73"/>
      <c r="H31" s="73"/>
      <c r="I31" s="73"/>
      <c r="J31" s="73"/>
      <c r="K31" s="73"/>
      <c r="L31" s="73"/>
      <c r="M31" s="73"/>
      <c r="N31" s="73"/>
      <c r="O31" s="73"/>
      <c r="P31" s="73"/>
      <c r="Q31" s="73"/>
      <c r="R31" s="73"/>
      <c r="S31" s="73"/>
      <c r="T31" s="73"/>
      <c r="U31" s="73"/>
      <c r="V31" s="73"/>
      <c r="W31" s="73"/>
      <c r="X31" s="73"/>
      <c r="Y31" s="73"/>
      <c r="Z31" s="73"/>
    </row>
    <row r="32" spans="1:26" ht="15" customHeight="1">
      <c r="A32" s="73"/>
      <c r="B32" s="73"/>
      <c r="C32" s="73"/>
      <c r="D32" s="73"/>
      <c r="E32" s="73"/>
      <c r="F32" s="73"/>
      <c r="G32" s="73"/>
      <c r="H32" s="73"/>
      <c r="I32" s="73"/>
      <c r="J32" s="73"/>
      <c r="K32" s="73"/>
      <c r="L32" s="73"/>
      <c r="M32" s="73"/>
      <c r="N32" s="73"/>
      <c r="O32" s="73"/>
      <c r="P32" s="73"/>
      <c r="Q32" s="73"/>
      <c r="R32" s="73"/>
      <c r="S32" s="73"/>
      <c r="T32" s="73"/>
      <c r="U32" s="73"/>
      <c r="V32" s="73"/>
      <c r="W32" s="73"/>
      <c r="X32" s="73"/>
      <c r="Y32" s="73"/>
      <c r="Z32" s="73"/>
    </row>
    <row r="33" spans="1:26" ht="15" customHeight="1">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row>
    <row r="34" spans="1:26" ht="15" customHeight="1">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row>
    <row r="35" spans="1:26" ht="15"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row>
    <row r="36" spans="1:26" ht="15"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row>
    <row r="37" spans="1:26" ht="15" customHeight="1">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row>
    <row r="38" spans="1:26" ht="15" customHeight="1">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row>
    <row r="39" spans="1:26" ht="15"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row>
    <row r="40" spans="1:26" ht="15"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row>
    <row r="41" spans="1:26" ht="15"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row>
    <row r="42" spans="1:26" ht="15"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row>
    <row r="43" spans="1:26" ht="15"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row>
    <row r="44" spans="1:26" ht="15"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row>
    <row r="45" spans="1:26" ht="15"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row>
    <row r="46" spans="1:26" ht="15"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row>
    <row r="47" spans="1:26" ht="15"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row>
    <row r="48" spans="1:26" ht="15"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row>
    <row r="49" spans="1:26" ht="15"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row>
    <row r="50" spans="1:26" ht="15"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row>
    <row r="51" spans="1:26" ht="15"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row>
    <row r="52" spans="1:26" ht="15"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row>
    <row r="53" spans="1:26" ht="15"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row>
    <row r="54" spans="1:26" ht="15"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row>
    <row r="55" spans="1:26" ht="15"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row>
    <row r="56" spans="1:26" ht="15"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row>
    <row r="57" spans="1:26" ht="10.199999999999999">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row>
    <row r="58" spans="1:26" ht="10.199999999999999">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row>
    <row r="59" spans="1:26" ht="10.199999999999999">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row>
    <row r="60" spans="1:26" ht="10.199999999999999">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row>
    <row r="61" spans="1:26" ht="10.199999999999999">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row>
    <row r="62" spans="1:26" ht="10.199999999999999">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row>
    <row r="63" spans="1:26" ht="10.199999999999999">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row>
    <row r="64" spans="1:26" ht="10.199999999999999">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row>
    <row r="65" spans="1:26" ht="10.199999999999999">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row>
    <row r="66" spans="1:26" ht="10.199999999999999">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row>
    <row r="67" spans="1:26" ht="10.199999999999999">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row>
    <row r="68" spans="1:26" ht="10.199999999999999">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row>
    <row r="69" spans="1:26" ht="10.199999999999999">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row>
    <row r="70" spans="1:26" ht="10.199999999999999">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row>
    <row r="71" spans="1:26" ht="10.199999999999999">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row>
    <row r="72" spans="1:26" ht="10.199999999999999">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row>
    <row r="73" spans="1:26" ht="10.199999999999999">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row>
    <row r="74" spans="1:26" ht="10.199999999999999">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row>
    <row r="75" spans="1:26" ht="10.199999999999999">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row>
    <row r="76" spans="1:26" ht="10.199999999999999">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row>
    <row r="77" spans="1:26" ht="10.199999999999999">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row>
    <row r="78" spans="1:26" ht="10.199999999999999">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row>
    <row r="79" spans="1:26" ht="10.199999999999999">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row>
    <row r="80" spans="1:26" ht="10.199999999999999">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row>
    <row r="81" spans="1:26" ht="10.199999999999999">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row>
    <row r="82" spans="1:26" ht="10.199999999999999">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row>
    <row r="83" spans="1:26" ht="10.199999999999999">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row>
    <row r="84" spans="1:26" ht="10.199999999999999">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row>
    <row r="85" spans="1:26" ht="10.199999999999999">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row>
    <row r="86" spans="1:26" ht="10.199999999999999">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row>
    <row r="87" spans="1:26" ht="10.199999999999999">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row>
    <row r="88" spans="1:26" ht="10.199999999999999">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row>
    <row r="89" spans="1:26" ht="10.199999999999999">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row>
    <row r="90" spans="1:26" ht="10.199999999999999">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row>
    <row r="91" spans="1:26" ht="10.199999999999999">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row>
    <row r="92" spans="1:26" ht="10.199999999999999">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row>
    <row r="93" spans="1:26" ht="10.199999999999999">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row>
    <row r="94" spans="1:26" ht="10.199999999999999">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row>
    <row r="95" spans="1:26" ht="10.199999999999999">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row>
    <row r="96" spans="1:26" ht="10.199999999999999">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row>
    <row r="97" spans="1:26" ht="10.199999999999999">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row>
    <row r="98" spans="1:26" ht="10.199999999999999">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row>
    <row r="99" spans="1:26" ht="10.199999999999999">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row>
    <row r="100" spans="1:26" ht="10.199999999999999">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row>
    <row r="101" spans="1:26" ht="10.199999999999999">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row>
    <row r="102" spans="1:26" ht="10.199999999999999">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row>
    <row r="103" spans="1:26" ht="10.199999999999999">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row>
    <row r="104" spans="1:26" ht="10.199999999999999">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row>
    <row r="105" spans="1:26" ht="10.199999999999999">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row>
    <row r="106" spans="1:26" ht="10.199999999999999">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row>
    <row r="107" spans="1:26" ht="10.199999999999999">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row>
    <row r="108" spans="1:26" ht="10.199999999999999">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row>
    <row r="109" spans="1:26" ht="10.199999999999999">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row>
    <row r="110" spans="1:26" ht="10.199999999999999">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row>
    <row r="111" spans="1:26" ht="10.199999999999999">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row>
    <row r="112" spans="1:26" ht="10.199999999999999">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row>
    <row r="113" spans="1:26" ht="10.199999999999999">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row>
    <row r="114" spans="1:26" ht="10.199999999999999">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row>
    <row r="115" spans="1:26" ht="10.199999999999999">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row>
    <row r="116" spans="1:26" ht="10.199999999999999">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row>
    <row r="117" spans="1:26" ht="10.199999999999999">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row>
    <row r="118" spans="1:26" ht="10.199999999999999">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row>
    <row r="119" spans="1:26" ht="10.199999999999999">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row>
    <row r="120" spans="1:26" ht="10.199999999999999">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row>
    <row r="121" spans="1:26" ht="10.199999999999999">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row>
    <row r="122" spans="1:26" ht="10.199999999999999">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row>
    <row r="123" spans="1:26" ht="10.199999999999999">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row>
    <row r="124" spans="1:26" ht="10.199999999999999">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row>
    <row r="125" spans="1:26" ht="10.199999999999999">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row>
    <row r="126" spans="1:26" ht="10.199999999999999">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row>
    <row r="127" spans="1:26" ht="10.199999999999999">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row>
    <row r="128" spans="1:26" ht="10.199999999999999">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row>
    <row r="129" spans="1:26" ht="10.199999999999999">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row>
    <row r="130" spans="1:26" ht="10.199999999999999">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row>
    <row r="131" spans="1:26" ht="10.199999999999999">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row>
    <row r="132" spans="1:26" ht="10.199999999999999">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row>
    <row r="133" spans="1:26" ht="10.199999999999999">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row>
    <row r="134" spans="1:26" ht="10.199999999999999">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row>
    <row r="135" spans="1:26" ht="10.199999999999999">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row>
    <row r="136" spans="1:26" ht="10.199999999999999">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row>
    <row r="137" spans="1:26" ht="10.199999999999999">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row>
    <row r="138" spans="1:26" ht="10.199999999999999">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row>
    <row r="139" spans="1:26" ht="10.199999999999999">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row>
    <row r="140" spans="1:26" ht="10.199999999999999">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row>
    <row r="141" spans="1:26" ht="10.199999999999999">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row>
    <row r="142" spans="1:26" ht="10.199999999999999">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row>
    <row r="143" spans="1:26" ht="10.199999999999999">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row>
    <row r="144" spans="1:26" ht="10.199999999999999">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row>
    <row r="145" spans="1:26" ht="10.199999999999999">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row>
    <row r="146" spans="1:26" ht="10.199999999999999">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row>
    <row r="147" spans="1:26" ht="10.199999999999999">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row>
    <row r="148" spans="1:26" ht="10.199999999999999">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row>
    <row r="149" spans="1:26" ht="10.199999999999999">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row>
    <row r="150" spans="1:26" ht="10.199999999999999">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row>
    <row r="151" spans="1:26" ht="10.199999999999999">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row>
    <row r="152" spans="1:26" ht="10.199999999999999">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row>
    <row r="153" spans="1:26" ht="10.199999999999999">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row>
    <row r="154" spans="1:26" ht="10.199999999999999">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row>
    <row r="155" spans="1:26" ht="10.199999999999999">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row>
    <row r="156" spans="1:26" ht="10.199999999999999">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row>
    <row r="157" spans="1:26" ht="10.199999999999999">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row>
    <row r="158" spans="1:26" ht="10.199999999999999">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row>
    <row r="159" spans="1:26" ht="10.199999999999999">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row>
    <row r="160" spans="1:26" ht="10.199999999999999">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row>
    <row r="161" spans="1:26" ht="10.199999999999999">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row>
    <row r="162" spans="1:26" ht="10.199999999999999">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row>
    <row r="163" spans="1:26" ht="10.199999999999999">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row>
    <row r="164" spans="1:26" ht="10.199999999999999">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row>
    <row r="165" spans="1:26" ht="10.199999999999999">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row>
    <row r="166" spans="1:26" ht="10.199999999999999">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row>
    <row r="167" spans="1:26" ht="10.199999999999999">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row>
    <row r="168" spans="1:26" ht="10.199999999999999">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row>
    <row r="169" spans="1:26" ht="10.199999999999999">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row>
    <row r="170" spans="1:26" ht="10.199999999999999">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row>
    <row r="171" spans="1:26" ht="10.199999999999999">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row>
    <row r="172" spans="1:26" ht="10.199999999999999">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row>
    <row r="173" spans="1:26" ht="10.199999999999999">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row>
    <row r="174" spans="1:26" ht="10.199999999999999">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row>
    <row r="175" spans="1:26" ht="10.199999999999999">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row>
    <row r="176" spans="1:26" ht="10.199999999999999">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row>
    <row r="177" spans="1:26" ht="10.199999999999999">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row>
    <row r="178" spans="1:26" ht="10.199999999999999">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row>
    <row r="179" spans="1:26" ht="10.199999999999999">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row>
    <row r="180" spans="1:26" ht="10.199999999999999">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row>
    <row r="181" spans="1:26" ht="10.199999999999999">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row>
    <row r="182" spans="1:26" ht="10.199999999999999">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row>
    <row r="183" spans="1:26" ht="10.199999999999999">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row>
    <row r="184" spans="1:26" ht="10.199999999999999">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row>
    <row r="185" spans="1:26" ht="10.199999999999999">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row>
    <row r="186" spans="1:26" ht="10.199999999999999">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row>
    <row r="187" spans="1:26" ht="10.199999999999999">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row>
    <row r="188" spans="1:26" ht="10.199999999999999">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row>
    <row r="189" spans="1:26" ht="10.199999999999999">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row>
    <row r="190" spans="1:26" ht="10.199999999999999">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row>
    <row r="191" spans="1:26" ht="10.199999999999999">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row>
    <row r="192" spans="1:26" ht="10.199999999999999">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row>
    <row r="193" spans="1:26" ht="10.199999999999999">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row>
    <row r="194" spans="1:26" ht="10.199999999999999">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row>
    <row r="195" spans="1:26" ht="10.199999999999999">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row>
    <row r="196" spans="1:26" ht="10.199999999999999">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row>
    <row r="197" spans="1:26" ht="10.199999999999999">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row>
    <row r="198" spans="1:26" ht="10.199999999999999">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row>
    <row r="199" spans="1:26" ht="10.199999999999999">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row>
    <row r="200" spans="1:26" ht="10.199999999999999">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row>
    <row r="201" spans="1:26" ht="10.199999999999999">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row>
    <row r="202" spans="1:26" ht="10.199999999999999">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row>
    <row r="203" spans="1:26" ht="10.199999999999999">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row>
    <row r="204" spans="1:26" ht="10.199999999999999">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row>
    <row r="205" spans="1:26" ht="10.199999999999999">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row>
    <row r="206" spans="1:26" ht="10.199999999999999">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row>
    <row r="207" spans="1:26" ht="10.199999999999999">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row>
    <row r="208" spans="1:26" ht="10.199999999999999">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row>
    <row r="209" spans="1:26" ht="10.199999999999999">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row>
    <row r="210" spans="1:26" ht="10.199999999999999">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row>
    <row r="211" spans="1:26" ht="10.199999999999999">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row>
    <row r="212" spans="1:26" ht="10.199999999999999">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row>
    <row r="213" spans="1:26" ht="10.199999999999999">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row>
    <row r="214" spans="1:26" ht="10.199999999999999">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row>
    <row r="215" spans="1:26" ht="10.199999999999999">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row>
    <row r="216" spans="1:26" ht="10.199999999999999">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row>
    <row r="217" spans="1:26" ht="10.199999999999999">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row>
    <row r="218" spans="1:26" ht="10.199999999999999">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row>
    <row r="219" spans="1:26" ht="10.199999999999999">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row>
    <row r="220" spans="1:26" ht="10.199999999999999">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row>
    <row r="221" spans="1:26" ht="10.199999999999999">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row>
    <row r="222" spans="1:26" ht="10.199999999999999">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row>
    <row r="223" spans="1:26" ht="10.199999999999999">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row>
    <row r="224" spans="1:26" ht="10.199999999999999">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row>
    <row r="225" spans="1:26" ht="10.199999999999999">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row>
    <row r="226" spans="1:26" ht="10.199999999999999">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row>
    <row r="227" spans="1:26" ht="10.199999999999999">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row>
    <row r="228" spans="1:26" ht="10.199999999999999">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row>
    <row r="229" spans="1:26" ht="10.199999999999999">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row>
    <row r="230" spans="1:26" ht="10.199999999999999">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row>
    <row r="231" spans="1:26" ht="10.199999999999999">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row>
    <row r="232" spans="1:26" ht="10.199999999999999">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row>
    <row r="233" spans="1:26" ht="10.199999999999999">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row>
    <row r="234" spans="1:26" ht="10.199999999999999">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row>
    <row r="235" spans="1:26" ht="10.199999999999999">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row>
    <row r="236" spans="1:26" ht="10.199999999999999">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row>
    <row r="237" spans="1:26" ht="10.199999999999999">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row>
    <row r="238" spans="1:26" ht="10.199999999999999">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row>
    <row r="239" spans="1:26" ht="10.199999999999999">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row>
    <row r="240" spans="1:26" ht="10.199999999999999">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row>
    <row r="241" spans="1:26" ht="10.199999999999999">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row>
    <row r="242" spans="1:26" ht="10.199999999999999">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row>
    <row r="243" spans="1:26" ht="10.199999999999999">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row>
    <row r="244" spans="1:26" ht="10.199999999999999">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row>
    <row r="245" spans="1:26" ht="10.199999999999999">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row>
    <row r="246" spans="1:26" ht="10.199999999999999">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row>
    <row r="247" spans="1:26" ht="10.199999999999999">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row>
    <row r="248" spans="1:26" ht="10.199999999999999">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row>
    <row r="249" spans="1:26" ht="10.199999999999999">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row>
    <row r="250" spans="1:26" ht="10.199999999999999">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row>
    <row r="251" spans="1:26" ht="10.199999999999999">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row>
    <row r="252" spans="1:26" ht="10.199999999999999">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row>
    <row r="253" spans="1:26" ht="10.199999999999999">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row>
    <row r="254" spans="1:26" ht="10.199999999999999">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row>
    <row r="255" spans="1:26" ht="10.199999999999999">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row>
    <row r="256" spans="1:26" ht="10.199999999999999">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row>
    <row r="257" spans="1:26" ht="10.199999999999999">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row>
    <row r="258" spans="1:26" ht="10.199999999999999">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row>
    <row r="259" spans="1:26" ht="10.199999999999999">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row>
    <row r="260" spans="1:26" ht="10.199999999999999">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row>
    <row r="261" spans="1:26" ht="10.199999999999999">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row>
    <row r="262" spans="1:26" ht="10.199999999999999">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row>
    <row r="263" spans="1:26" ht="10.199999999999999">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row>
    <row r="264" spans="1:26" ht="10.199999999999999">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row>
    <row r="265" spans="1:26" ht="10.199999999999999">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row>
    <row r="266" spans="1:26" ht="10.199999999999999">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row>
    <row r="267" spans="1:26" ht="10.199999999999999">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row>
    <row r="268" spans="1:26" ht="10.199999999999999">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row>
    <row r="269" spans="1:26" ht="10.199999999999999">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row>
    <row r="270" spans="1:26" ht="10.199999999999999">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row>
    <row r="271" spans="1:26" ht="10.199999999999999">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row>
    <row r="272" spans="1:26" ht="10.199999999999999">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row>
    <row r="273" spans="1:26" ht="10.199999999999999">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row>
    <row r="274" spans="1:26" ht="10.199999999999999">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row>
    <row r="275" spans="1:26" ht="10.199999999999999">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row>
    <row r="276" spans="1:26" ht="10.199999999999999">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row>
    <row r="277" spans="1:26" ht="10.199999999999999">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row>
    <row r="278" spans="1:26" ht="10.199999999999999">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row>
    <row r="279" spans="1:26" ht="10.199999999999999">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row>
    <row r="280" spans="1:26" ht="10.199999999999999">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row>
    <row r="281" spans="1:26" ht="10.199999999999999">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row>
    <row r="282" spans="1:26" ht="10.199999999999999">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row>
    <row r="283" spans="1:26" ht="10.199999999999999">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row>
    <row r="284" spans="1:26" ht="10.199999999999999">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row>
    <row r="285" spans="1:26" ht="10.199999999999999">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row>
    <row r="286" spans="1:26" ht="10.199999999999999">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row>
    <row r="287" spans="1:26" ht="10.199999999999999">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row>
    <row r="288" spans="1:26" ht="10.199999999999999">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row>
    <row r="289" spans="1:26" ht="10.199999999999999">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row>
    <row r="290" spans="1:26" ht="10.199999999999999">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row>
    <row r="291" spans="1:26" ht="10.199999999999999">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row>
    <row r="292" spans="1:26" ht="10.199999999999999">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row>
    <row r="293" spans="1:26" ht="10.199999999999999">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row>
    <row r="294" spans="1:26" ht="10.199999999999999">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row>
    <row r="295" spans="1:26" ht="10.199999999999999">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row>
    <row r="296" spans="1:26" ht="10.199999999999999">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row>
    <row r="297" spans="1:26" ht="10.199999999999999">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row>
    <row r="298" spans="1:26" ht="10.199999999999999">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row>
    <row r="299" spans="1:26" ht="10.199999999999999">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row>
    <row r="300" spans="1:26" ht="10.199999999999999">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row>
    <row r="301" spans="1:26" ht="10.199999999999999">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row>
    <row r="302" spans="1:26" ht="10.199999999999999">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row>
    <row r="303" spans="1:26" ht="10.199999999999999">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row>
    <row r="304" spans="1:26" ht="10.199999999999999">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row>
    <row r="305" spans="1:26" ht="10.199999999999999">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row>
    <row r="306" spans="1:26" ht="10.199999999999999">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row>
    <row r="307" spans="1:26" ht="10.199999999999999">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row>
    <row r="308" spans="1:26" ht="10.199999999999999">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row>
    <row r="309" spans="1:26" ht="10.199999999999999">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row>
    <row r="310" spans="1:26" ht="10.199999999999999">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row>
    <row r="311" spans="1:26" ht="10.199999999999999">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row>
    <row r="312" spans="1:26" ht="10.199999999999999">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row>
    <row r="313" spans="1:26" ht="10.199999999999999">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row>
    <row r="314" spans="1:26" ht="10.199999999999999">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row>
    <row r="315" spans="1:26" ht="10.199999999999999">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row>
    <row r="316" spans="1:26" ht="10.199999999999999">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row>
    <row r="317" spans="1:26" ht="10.199999999999999">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row>
    <row r="318" spans="1:26" ht="10.199999999999999">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row>
    <row r="319" spans="1:26" ht="10.199999999999999">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row>
    <row r="320" spans="1:26" ht="10.199999999999999">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row>
    <row r="321" spans="1:26" ht="10.199999999999999">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row>
    <row r="322" spans="1:26" ht="10.199999999999999">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row>
    <row r="323" spans="1:26" ht="10.199999999999999">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row>
    <row r="324" spans="1:26" ht="10.199999999999999">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row>
    <row r="325" spans="1:26" ht="10.199999999999999">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row>
    <row r="326" spans="1:26" ht="10.199999999999999">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row>
    <row r="327" spans="1:26" ht="10.199999999999999">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row>
    <row r="328" spans="1:26" ht="10.199999999999999">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row>
    <row r="329" spans="1:26" ht="10.199999999999999">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row>
    <row r="330" spans="1:26" ht="10.199999999999999">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row>
    <row r="331" spans="1:26" ht="10.199999999999999">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row>
    <row r="332" spans="1:26" ht="10.199999999999999">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row>
    <row r="333" spans="1:26" ht="10.199999999999999">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row>
    <row r="334" spans="1:26" ht="10.199999999999999">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row>
    <row r="335" spans="1:26" ht="10.199999999999999">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row>
    <row r="336" spans="1:26" ht="10.199999999999999">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row>
    <row r="337" spans="1:26" ht="10.199999999999999">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row>
    <row r="338" spans="1:26" ht="10.199999999999999">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row>
    <row r="339" spans="1:26" ht="10.199999999999999">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row>
    <row r="340" spans="1:26" ht="10.199999999999999">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row>
    <row r="341" spans="1:26" ht="10.199999999999999">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row>
    <row r="342" spans="1:26" ht="10.199999999999999">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row>
    <row r="343" spans="1:26" ht="10.199999999999999">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row>
    <row r="344" spans="1:26" ht="10.199999999999999">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row>
    <row r="345" spans="1:26" ht="10.199999999999999">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row>
    <row r="346" spans="1:26" ht="10.199999999999999">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row>
    <row r="347" spans="1:26" ht="10.199999999999999">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row>
    <row r="348" spans="1:26" ht="10.199999999999999">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row>
    <row r="349" spans="1:26" ht="10.199999999999999">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row>
    <row r="350" spans="1:26" ht="10.199999999999999">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row>
    <row r="351" spans="1:26" ht="10.199999999999999">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row>
    <row r="352" spans="1:26" ht="10.199999999999999">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row>
    <row r="353" spans="1:26" ht="10.199999999999999">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row>
    <row r="354" spans="1:26" ht="10.199999999999999">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row>
    <row r="355" spans="1:26" ht="10.199999999999999">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row>
    <row r="356" spans="1:26" ht="10.199999999999999">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row>
    <row r="357" spans="1:26" ht="10.199999999999999">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row>
    <row r="358" spans="1:26" ht="10.199999999999999">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row>
    <row r="359" spans="1:26" ht="10.199999999999999">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row>
    <row r="360" spans="1:26" ht="10.199999999999999">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row>
    <row r="361" spans="1:26" ht="10.199999999999999">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row>
    <row r="362" spans="1:26" ht="10.199999999999999">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row>
    <row r="363" spans="1:26" ht="10.199999999999999">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row>
    <row r="364" spans="1:26" ht="10.199999999999999">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row>
    <row r="365" spans="1:26" ht="10.199999999999999">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row>
    <row r="366" spans="1:26" ht="10.199999999999999">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row>
    <row r="367" spans="1:26" ht="10.199999999999999">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row>
    <row r="368" spans="1:26" ht="10.199999999999999">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row>
    <row r="369" spans="1:26" ht="10.199999999999999">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row>
    <row r="370" spans="1:26" ht="10.199999999999999">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row>
    <row r="371" spans="1:26" ht="10.199999999999999">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row>
    <row r="372" spans="1:26" ht="10.199999999999999">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row>
    <row r="373" spans="1:26" ht="10.199999999999999">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row>
    <row r="374" spans="1:26" ht="10.199999999999999">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row>
    <row r="375" spans="1:26" ht="10.199999999999999">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row>
    <row r="376" spans="1:26" ht="10.199999999999999">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row>
    <row r="377" spans="1:26" ht="10.199999999999999">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row>
    <row r="378" spans="1:26" ht="10.199999999999999">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row>
    <row r="379" spans="1:26" ht="10.199999999999999">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row>
    <row r="380" spans="1:26" ht="10.199999999999999">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row>
    <row r="381" spans="1:26" ht="10.199999999999999">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row>
    <row r="382" spans="1:26" ht="10.199999999999999">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row>
    <row r="383" spans="1:26" ht="10.199999999999999">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row>
    <row r="384" spans="1:26" ht="10.199999999999999">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row>
    <row r="385" spans="1:26" ht="10.199999999999999">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row>
    <row r="386" spans="1:26" ht="10.199999999999999">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row>
    <row r="387" spans="1:26" ht="10.199999999999999">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row>
    <row r="388" spans="1:26" ht="10.199999999999999">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row>
    <row r="389" spans="1:26" ht="10.199999999999999">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row>
    <row r="390" spans="1:26" ht="10.199999999999999">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row>
    <row r="391" spans="1:26" ht="10.199999999999999">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row>
    <row r="392" spans="1:26" ht="10.199999999999999">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row>
    <row r="393" spans="1:26" ht="10.199999999999999">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row>
    <row r="394" spans="1:26" ht="10.199999999999999">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row>
    <row r="395" spans="1:26" ht="10.199999999999999">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row>
    <row r="396" spans="1:26" ht="10.199999999999999">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row>
    <row r="397" spans="1:26" ht="10.199999999999999">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row>
    <row r="398" spans="1:26" ht="10.199999999999999">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row>
    <row r="399" spans="1:26" ht="10.199999999999999">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row>
    <row r="400" spans="1:26" ht="10.199999999999999">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row>
    <row r="401" spans="1:26" ht="10.199999999999999">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row>
    <row r="402" spans="1:26" ht="10.199999999999999">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row>
    <row r="403" spans="1:26" ht="10.199999999999999">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row>
    <row r="404" spans="1:26" ht="10.199999999999999">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row>
    <row r="405" spans="1:26" ht="10.199999999999999">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row>
    <row r="406" spans="1:26" ht="10.199999999999999">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row>
    <row r="407" spans="1:26" ht="10.199999999999999">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row>
    <row r="408" spans="1:26" ht="10.199999999999999">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row>
    <row r="409" spans="1:26" ht="10.199999999999999">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row>
    <row r="410" spans="1:26" ht="10.199999999999999">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row>
    <row r="411" spans="1:26" ht="10.199999999999999">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row>
    <row r="412" spans="1:26" ht="10.199999999999999">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row>
    <row r="413" spans="1:26" ht="10.199999999999999">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row>
    <row r="414" spans="1:26" ht="10.199999999999999">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row>
    <row r="415" spans="1:26" ht="10.199999999999999">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row>
    <row r="416" spans="1:26" ht="10.199999999999999">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row>
    <row r="417" spans="1:26" ht="10.199999999999999">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row>
    <row r="418" spans="1:26" ht="10.199999999999999">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row>
    <row r="419" spans="1:26" ht="10.199999999999999">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row>
    <row r="420" spans="1:26" ht="10.199999999999999">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row>
    <row r="421" spans="1:26" ht="10.199999999999999">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row>
    <row r="422" spans="1:26" ht="10.199999999999999">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row>
    <row r="423" spans="1:26" ht="10.199999999999999">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row>
    <row r="424" spans="1:26" ht="10.199999999999999">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row>
    <row r="425" spans="1:26" ht="10.199999999999999">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row>
    <row r="426" spans="1:26" ht="10.199999999999999">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row>
    <row r="427" spans="1:26" ht="10.199999999999999">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row>
    <row r="428" spans="1:26" ht="10.199999999999999">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row>
    <row r="429" spans="1:26" ht="10.199999999999999">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row>
    <row r="430" spans="1:26" ht="10.199999999999999">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row>
    <row r="431" spans="1:26" ht="10.199999999999999">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row>
    <row r="432" spans="1:26" ht="10.199999999999999">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row>
    <row r="433" spans="1:26" ht="10.199999999999999">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row>
    <row r="434" spans="1:26" ht="10.199999999999999">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row>
    <row r="435" spans="1:26" ht="10.199999999999999">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row>
    <row r="436" spans="1:26" ht="10.199999999999999">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row>
    <row r="437" spans="1:26" ht="10.199999999999999">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row>
    <row r="438" spans="1:26" ht="10.199999999999999">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row>
    <row r="439" spans="1:26" ht="10.199999999999999">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row>
    <row r="440" spans="1:26" ht="10.199999999999999">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row>
    <row r="441" spans="1:26" ht="10.199999999999999">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row>
    <row r="442" spans="1:26" ht="10.199999999999999">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row>
    <row r="443" spans="1:26" ht="10.199999999999999">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row>
    <row r="444" spans="1:26" ht="10.199999999999999">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row>
    <row r="445" spans="1:26" ht="10.199999999999999">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row>
    <row r="446" spans="1:26" ht="10.199999999999999">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row>
    <row r="447" spans="1:26" ht="10.199999999999999">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row>
    <row r="448" spans="1:26" ht="10.199999999999999">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row>
    <row r="449" spans="1:26" ht="10.199999999999999">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row>
    <row r="450" spans="1:26" ht="10.199999999999999">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row>
    <row r="451" spans="1:26" ht="10.199999999999999">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row>
    <row r="452" spans="1:26" ht="10.199999999999999">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row>
    <row r="453" spans="1:26" ht="10.199999999999999">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row>
    <row r="454" spans="1:26" ht="10.199999999999999">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row>
    <row r="455" spans="1:26" ht="10.199999999999999">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row>
    <row r="456" spans="1:26" ht="10.199999999999999">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row>
    <row r="457" spans="1:26" ht="10.199999999999999">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row>
    <row r="458" spans="1:26" ht="10.199999999999999">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row>
    <row r="459" spans="1:26" ht="10.199999999999999">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row>
    <row r="460" spans="1:26" ht="10.199999999999999">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row>
    <row r="461" spans="1:26" ht="10.199999999999999">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row>
    <row r="462" spans="1:26" ht="10.199999999999999">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row>
    <row r="463" spans="1:26" ht="10.199999999999999">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row>
    <row r="464" spans="1:26" ht="10.199999999999999">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row>
    <row r="465" spans="1:26" ht="10.199999999999999">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row>
    <row r="466" spans="1:26" ht="10.199999999999999">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row>
    <row r="467" spans="1:26" ht="10.199999999999999">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row>
    <row r="468" spans="1:26" ht="10.199999999999999">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row>
    <row r="469" spans="1:26" ht="10.199999999999999">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row>
    <row r="470" spans="1:26" ht="10.199999999999999">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row>
    <row r="471" spans="1:26" ht="10.199999999999999">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row>
    <row r="472" spans="1:26" ht="10.199999999999999">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row>
    <row r="473" spans="1:26" ht="10.199999999999999">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row>
    <row r="474" spans="1:26" ht="10.199999999999999">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row>
    <row r="475" spans="1:26" ht="10.199999999999999">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row>
    <row r="476" spans="1:26" ht="10.199999999999999">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row>
    <row r="477" spans="1:26" ht="10.199999999999999">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row>
    <row r="478" spans="1:26" ht="10.199999999999999">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row>
    <row r="479" spans="1:26" ht="10.199999999999999">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row>
    <row r="480" spans="1:26" ht="10.199999999999999">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row>
    <row r="481" spans="1:26" ht="10.199999999999999">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row>
    <row r="482" spans="1:26" ht="10.199999999999999">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row>
    <row r="483" spans="1:26" ht="10.199999999999999">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row>
    <row r="484" spans="1:26" ht="10.199999999999999">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row>
    <row r="485" spans="1:26" ht="10.199999999999999">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row>
    <row r="486" spans="1:26" ht="10.199999999999999">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row>
    <row r="487" spans="1:26" ht="10.199999999999999">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row>
    <row r="488" spans="1:26" ht="10.199999999999999">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row>
    <row r="489" spans="1:26" ht="10.199999999999999">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row>
    <row r="490" spans="1:26" ht="10.199999999999999">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row>
    <row r="491" spans="1:26" ht="10.199999999999999">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row>
    <row r="492" spans="1:26" ht="10.199999999999999">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row>
    <row r="493" spans="1:26" ht="10.199999999999999">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row>
    <row r="494" spans="1:26" ht="10.199999999999999">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row>
    <row r="495" spans="1:26" ht="10.199999999999999">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row>
    <row r="496" spans="1:26" ht="10.199999999999999">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row>
    <row r="497" spans="1:26" ht="10.199999999999999">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row>
    <row r="498" spans="1:26" ht="10.199999999999999">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row>
    <row r="499" spans="1:26" ht="10.199999999999999">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row>
    <row r="500" spans="1:26" ht="10.199999999999999">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row>
    <row r="501" spans="1:26" ht="10.199999999999999">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row>
    <row r="502" spans="1:26" ht="10.199999999999999">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row>
    <row r="503" spans="1:26" ht="10.199999999999999">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row>
    <row r="504" spans="1:26" ht="10.199999999999999">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row>
    <row r="505" spans="1:26" ht="10.199999999999999">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row>
    <row r="506" spans="1:26" ht="10.199999999999999">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row>
    <row r="507" spans="1:26" ht="10.199999999999999">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row>
    <row r="508" spans="1:26" ht="10.199999999999999">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row>
    <row r="509" spans="1:26" ht="10.199999999999999">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row>
    <row r="510" spans="1:26" ht="10.199999999999999">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row>
    <row r="511" spans="1:26" ht="10.199999999999999">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row>
    <row r="512" spans="1:26" ht="10.199999999999999">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row>
    <row r="513" spans="1:26" ht="10.199999999999999">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row>
    <row r="514" spans="1:26" ht="10.199999999999999">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row>
    <row r="515" spans="1:26" ht="10.199999999999999">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row>
    <row r="516" spans="1:26" ht="10.199999999999999">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row>
    <row r="517" spans="1:26" ht="10.199999999999999">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row>
    <row r="518" spans="1:26" ht="10.199999999999999">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row>
    <row r="519" spans="1:26" ht="10.199999999999999">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row>
    <row r="520" spans="1:26" ht="10.199999999999999">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row>
    <row r="521" spans="1:26" ht="10.199999999999999">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row>
    <row r="522" spans="1:26" ht="10.199999999999999">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row>
    <row r="523" spans="1:26" ht="10.199999999999999">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row>
    <row r="524" spans="1:26" ht="10.199999999999999">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row>
    <row r="525" spans="1:26" ht="10.199999999999999">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row>
    <row r="526" spans="1:26" ht="10.199999999999999">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row>
    <row r="527" spans="1:26" ht="10.199999999999999">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row>
    <row r="528" spans="1:26" ht="10.199999999999999">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row>
    <row r="529" spans="1:26" ht="10.199999999999999">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row>
    <row r="530" spans="1:26" ht="10.199999999999999">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row>
    <row r="531" spans="1:26" ht="10.199999999999999">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row>
    <row r="532" spans="1:26" ht="10.199999999999999">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row>
    <row r="533" spans="1:26" ht="10.199999999999999">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row>
    <row r="534" spans="1:26" ht="10.199999999999999">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row>
    <row r="535" spans="1:26" ht="10.199999999999999">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row>
    <row r="536" spans="1:26" ht="10.199999999999999">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row>
    <row r="537" spans="1:26" ht="10.199999999999999">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row>
    <row r="538" spans="1:26" ht="10.199999999999999">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row>
    <row r="539" spans="1:26" ht="10.199999999999999">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row>
    <row r="540" spans="1:26" ht="10.199999999999999">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row>
    <row r="541" spans="1:26" ht="10.199999999999999">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row>
    <row r="542" spans="1:26" ht="10.199999999999999">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row>
    <row r="543" spans="1:26" ht="10.199999999999999">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row>
    <row r="544" spans="1:26" ht="10.199999999999999">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row>
    <row r="545" spans="1:26" ht="10.199999999999999">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row>
    <row r="546" spans="1:26" ht="10.199999999999999">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row>
    <row r="547" spans="1:26" ht="10.199999999999999">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row>
    <row r="548" spans="1:26" ht="10.199999999999999">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row>
    <row r="549" spans="1:26" ht="10.199999999999999">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row>
    <row r="550" spans="1:26" ht="10.199999999999999">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row>
    <row r="551" spans="1:26" ht="10.199999999999999">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row>
    <row r="552" spans="1:26" ht="10.199999999999999">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row>
    <row r="553" spans="1:26" ht="10.199999999999999">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row>
    <row r="554" spans="1:26" ht="10.199999999999999">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row>
    <row r="555" spans="1:26" ht="10.199999999999999">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row>
    <row r="556" spans="1:26" ht="10.199999999999999">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row>
    <row r="557" spans="1:26" ht="10.199999999999999">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row>
    <row r="558" spans="1:26" ht="10.199999999999999">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row>
    <row r="559" spans="1:26" ht="10.199999999999999">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row>
    <row r="560" spans="1:26" ht="10.199999999999999">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row>
    <row r="561" spans="1:26" ht="10.199999999999999">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row>
    <row r="562" spans="1:26" ht="10.199999999999999">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row>
    <row r="563" spans="1:26" ht="10.199999999999999">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row>
    <row r="564" spans="1:26" ht="10.199999999999999">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row>
    <row r="565" spans="1:26" ht="10.199999999999999">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row>
    <row r="566" spans="1:26" ht="10.199999999999999">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row>
    <row r="567" spans="1:26" ht="10.199999999999999">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row>
    <row r="568" spans="1:26" ht="10.199999999999999">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row>
    <row r="569" spans="1:26" ht="10.199999999999999">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row>
    <row r="570" spans="1:26" ht="10.199999999999999">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row>
    <row r="571" spans="1:26" ht="10.199999999999999">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row>
    <row r="572" spans="1:26" ht="10.199999999999999">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row>
    <row r="573" spans="1:26" ht="10.199999999999999">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row>
    <row r="574" spans="1:26" ht="10.199999999999999">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row>
    <row r="575" spans="1:26" ht="10.199999999999999">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row>
    <row r="576" spans="1:26" ht="10.199999999999999">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row>
    <row r="577" spans="1:26" ht="10.199999999999999">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row>
    <row r="578" spans="1:26" ht="10.199999999999999">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row>
    <row r="579" spans="1:26" ht="10.199999999999999">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row>
    <row r="580" spans="1:26" ht="10.199999999999999">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row>
    <row r="581" spans="1:26" ht="10.199999999999999">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row>
    <row r="582" spans="1:26" ht="10.199999999999999">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row>
    <row r="583" spans="1:26" ht="10.199999999999999">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row>
    <row r="584" spans="1:26" ht="10.199999999999999">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row>
    <row r="585" spans="1:26" ht="10.199999999999999">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row>
    <row r="586" spans="1:26" ht="10.199999999999999">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row>
    <row r="587" spans="1:26" ht="10.199999999999999">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row>
    <row r="588" spans="1:26" ht="10.199999999999999">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row>
    <row r="589" spans="1:26" ht="10.199999999999999">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row>
    <row r="590" spans="1:26" ht="10.199999999999999">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row>
    <row r="591" spans="1:26" ht="10.199999999999999">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row>
    <row r="592" spans="1:26" ht="10.199999999999999">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row>
    <row r="593" spans="1:26" ht="10.199999999999999">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row>
    <row r="594" spans="1:26" ht="10.199999999999999">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row>
    <row r="595" spans="1:26" ht="10.199999999999999">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row>
    <row r="596" spans="1:26" ht="10.199999999999999">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row>
    <row r="597" spans="1:26" ht="10.199999999999999">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row>
    <row r="598" spans="1:26" ht="10.199999999999999">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row>
    <row r="599" spans="1:26" ht="10.199999999999999">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row>
    <row r="600" spans="1:26" ht="10.199999999999999">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row>
    <row r="601" spans="1:26" ht="10.199999999999999">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row>
    <row r="602" spans="1:26" ht="10.199999999999999">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row>
    <row r="603" spans="1:26" ht="10.199999999999999">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row>
    <row r="604" spans="1:26" ht="10.199999999999999">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row>
    <row r="605" spans="1:26" ht="10.199999999999999">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row>
    <row r="606" spans="1:26" ht="10.199999999999999">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row>
    <row r="607" spans="1:26" ht="10.199999999999999">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row>
    <row r="608" spans="1:26" ht="10.199999999999999">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row>
    <row r="609" spans="1:26" ht="10.199999999999999">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row>
    <row r="610" spans="1:26" ht="10.199999999999999">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row>
    <row r="611" spans="1:26" ht="10.199999999999999">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row>
    <row r="612" spans="1:26" ht="10.199999999999999">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row>
    <row r="613" spans="1:26" ht="10.199999999999999">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row>
    <row r="614" spans="1:26" ht="10.199999999999999">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row>
    <row r="615" spans="1:26" ht="10.199999999999999">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row>
    <row r="616" spans="1:26" ht="10.199999999999999">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row>
    <row r="617" spans="1:26" ht="10.199999999999999">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row>
    <row r="618" spans="1:26" ht="10.199999999999999">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row>
    <row r="619" spans="1:26" ht="10.199999999999999">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row>
    <row r="620" spans="1:26" ht="10.199999999999999">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row>
    <row r="621" spans="1:26" ht="10.199999999999999">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row>
    <row r="622" spans="1:26" ht="10.199999999999999">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row>
    <row r="623" spans="1:26" ht="10.199999999999999">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row>
    <row r="624" spans="1:26" ht="10.199999999999999">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row>
    <row r="625" spans="1:26" ht="10.199999999999999">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row>
    <row r="626" spans="1:26" ht="10.199999999999999">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row>
    <row r="627" spans="1:26" ht="10.199999999999999">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row>
    <row r="628" spans="1:26" ht="10.199999999999999">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row>
    <row r="629" spans="1:26" ht="10.199999999999999">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row>
    <row r="630" spans="1:26" ht="10.199999999999999">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row>
    <row r="631" spans="1:26" ht="10.199999999999999">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row>
    <row r="632" spans="1:26" ht="10.199999999999999">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row>
    <row r="633" spans="1:26" ht="10.199999999999999">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row>
    <row r="634" spans="1:26" ht="10.199999999999999">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row>
    <row r="635" spans="1:26" ht="10.199999999999999">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row>
    <row r="636" spans="1:26" ht="10.199999999999999">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row>
    <row r="637" spans="1:26" ht="10.199999999999999">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row>
    <row r="638" spans="1:26" ht="10.199999999999999">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row>
    <row r="639" spans="1:26" ht="10.199999999999999">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row>
    <row r="640" spans="1:26" ht="10.199999999999999">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row>
    <row r="641" spans="1:26" ht="10.199999999999999">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row>
    <row r="642" spans="1:26" ht="10.199999999999999">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row>
    <row r="643" spans="1:26" ht="10.199999999999999">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row>
    <row r="644" spans="1:26" ht="10.199999999999999">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row>
    <row r="645" spans="1:26" ht="10.199999999999999">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row>
    <row r="646" spans="1:26" ht="10.199999999999999">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row>
    <row r="647" spans="1:26" ht="10.199999999999999">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row>
    <row r="648" spans="1:26" ht="10.199999999999999">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row>
    <row r="649" spans="1:26" ht="10.199999999999999">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row>
    <row r="650" spans="1:26" ht="10.199999999999999">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row>
    <row r="651" spans="1:26" ht="10.199999999999999">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row>
    <row r="652" spans="1:26" ht="10.199999999999999">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row>
    <row r="653" spans="1:26" ht="10.199999999999999">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row>
    <row r="654" spans="1:26" ht="10.199999999999999">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row>
    <row r="655" spans="1:26" ht="10.199999999999999">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row>
    <row r="656" spans="1:26" ht="10.199999999999999">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row>
    <row r="657" spans="1:26" ht="10.199999999999999">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row>
    <row r="658" spans="1:26" ht="10.199999999999999">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row>
    <row r="659" spans="1:26" ht="10.199999999999999">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row>
    <row r="660" spans="1:26" ht="10.199999999999999">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row>
    <row r="661" spans="1:26" ht="10.199999999999999">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row>
    <row r="662" spans="1:26" ht="10.199999999999999">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row>
    <row r="663" spans="1:26" ht="10.199999999999999">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row>
    <row r="664" spans="1:26" ht="10.199999999999999">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row>
    <row r="665" spans="1:26" ht="10.199999999999999">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row>
    <row r="666" spans="1:26" ht="10.199999999999999">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row>
    <row r="667" spans="1:26" ht="10.199999999999999">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row>
    <row r="668" spans="1:26" ht="10.199999999999999">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row>
    <row r="669" spans="1:26" ht="10.199999999999999">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row>
    <row r="670" spans="1:26" ht="10.199999999999999">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row>
    <row r="671" spans="1:26" ht="10.199999999999999">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row>
    <row r="672" spans="1:26" ht="10.199999999999999">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row>
    <row r="673" spans="1:26" ht="10.199999999999999">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row>
    <row r="674" spans="1:26" ht="10.199999999999999">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row>
    <row r="675" spans="1:26" ht="10.199999999999999">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row>
    <row r="676" spans="1:26" ht="10.199999999999999">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row>
    <row r="677" spans="1:26" ht="10.199999999999999">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row>
    <row r="678" spans="1:26" ht="10.199999999999999">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row>
    <row r="679" spans="1:26" ht="10.199999999999999">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row>
    <row r="680" spans="1:26" ht="10.199999999999999">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row>
    <row r="681" spans="1:26" ht="10.199999999999999">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row>
    <row r="682" spans="1:26" ht="10.199999999999999">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row>
    <row r="683" spans="1:26" ht="10.199999999999999">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row>
    <row r="684" spans="1:26" ht="10.199999999999999">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row>
    <row r="685" spans="1:26" ht="10.199999999999999">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row>
    <row r="686" spans="1:26" ht="10.199999999999999">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row>
    <row r="687" spans="1:26" ht="10.199999999999999">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row>
    <row r="688" spans="1:26" ht="10.199999999999999">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row>
    <row r="689" spans="1:26" ht="10.199999999999999">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row>
    <row r="690" spans="1:26" ht="10.199999999999999">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row>
    <row r="691" spans="1:26" ht="10.199999999999999">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row>
    <row r="692" spans="1:26" ht="10.199999999999999">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row>
    <row r="693" spans="1:26" ht="10.199999999999999">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row>
    <row r="694" spans="1:26" ht="10.199999999999999">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row>
    <row r="695" spans="1:26" ht="10.199999999999999">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row>
    <row r="696" spans="1:26" ht="10.199999999999999">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row>
    <row r="697" spans="1:26" ht="10.199999999999999">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row>
    <row r="698" spans="1:26" ht="10.199999999999999">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row>
    <row r="699" spans="1:26" ht="10.199999999999999">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row>
    <row r="700" spans="1:26" ht="10.199999999999999">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row>
    <row r="701" spans="1:26" ht="10.199999999999999">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row>
    <row r="702" spans="1:26" ht="10.199999999999999">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row>
    <row r="703" spans="1:26" ht="10.199999999999999">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row>
    <row r="704" spans="1:26" ht="10.199999999999999">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row>
    <row r="705" spans="1:26" ht="10.199999999999999">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row>
    <row r="706" spans="1:26" ht="10.199999999999999">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row>
    <row r="707" spans="1:26" ht="10.199999999999999">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row>
    <row r="708" spans="1:26" ht="10.199999999999999">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row>
    <row r="709" spans="1:26" ht="10.199999999999999">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row>
    <row r="710" spans="1:26" ht="10.199999999999999">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row>
    <row r="711" spans="1:26" ht="10.199999999999999">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row>
    <row r="712" spans="1:26" ht="10.199999999999999">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row>
    <row r="713" spans="1:26" ht="10.199999999999999">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row>
    <row r="714" spans="1:26" ht="10.199999999999999">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row>
    <row r="715" spans="1:26" ht="10.199999999999999">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row>
    <row r="716" spans="1:26" ht="10.199999999999999">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row>
    <row r="717" spans="1:26" ht="10.199999999999999">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row>
    <row r="718" spans="1:26" ht="10.199999999999999">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row>
    <row r="719" spans="1:26" ht="10.199999999999999">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row>
    <row r="720" spans="1:26" ht="10.199999999999999">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row>
    <row r="721" spans="1:26" ht="10.199999999999999">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row>
    <row r="722" spans="1:26" ht="10.199999999999999">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row>
    <row r="723" spans="1:26" ht="10.199999999999999">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row>
    <row r="724" spans="1:26" ht="10.199999999999999">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row>
    <row r="725" spans="1:26" ht="10.199999999999999">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row>
    <row r="726" spans="1:26" ht="10.199999999999999">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row>
    <row r="727" spans="1:26" ht="10.199999999999999">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row>
    <row r="728" spans="1:26" ht="10.199999999999999">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row>
    <row r="729" spans="1:26" ht="10.199999999999999">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row>
    <row r="730" spans="1:26" ht="10.199999999999999">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row>
    <row r="731" spans="1:26" ht="10.199999999999999">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row>
    <row r="732" spans="1:26" ht="10.199999999999999">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row>
    <row r="733" spans="1:26" ht="10.199999999999999">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row>
    <row r="734" spans="1:26" ht="10.199999999999999">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row>
    <row r="735" spans="1:26" ht="10.199999999999999">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row>
    <row r="736" spans="1:26" ht="10.199999999999999">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row>
    <row r="737" spans="1:26" ht="10.199999999999999">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row>
    <row r="738" spans="1:26" ht="10.199999999999999">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row>
    <row r="739" spans="1:26" ht="10.199999999999999">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row>
    <row r="740" spans="1:26" ht="10.199999999999999">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row>
    <row r="741" spans="1:26" ht="10.199999999999999">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row>
    <row r="742" spans="1:26" ht="10.199999999999999">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row>
    <row r="743" spans="1:26" ht="10.199999999999999">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row>
    <row r="744" spans="1:26" ht="10.199999999999999">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row>
    <row r="745" spans="1:26" ht="10.199999999999999">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row>
    <row r="746" spans="1:26" ht="10.199999999999999">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row>
    <row r="747" spans="1:26" ht="10.199999999999999">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row>
    <row r="748" spans="1:26" ht="10.199999999999999">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row>
    <row r="749" spans="1:26" ht="10.199999999999999">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row>
    <row r="750" spans="1:26" ht="10.199999999999999">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row>
    <row r="751" spans="1:26" ht="10.199999999999999">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row>
    <row r="752" spans="1:26" ht="10.199999999999999">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row>
    <row r="753" spans="1:26" ht="10.199999999999999">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row>
    <row r="754" spans="1:26" ht="10.199999999999999">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row>
    <row r="755" spans="1:26" ht="10.199999999999999">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row>
    <row r="756" spans="1:26" ht="10.199999999999999">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row>
    <row r="757" spans="1:26" ht="10.199999999999999">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row>
    <row r="758" spans="1:26" ht="10.199999999999999">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row>
    <row r="759" spans="1:26" ht="10.199999999999999">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row>
    <row r="760" spans="1:26" ht="10.199999999999999">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row>
    <row r="761" spans="1:26" ht="10.199999999999999">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row>
    <row r="762" spans="1:26" ht="10.199999999999999">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row>
    <row r="763" spans="1:26" ht="10.199999999999999">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row>
    <row r="764" spans="1:26" ht="10.199999999999999">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row>
    <row r="765" spans="1:26" ht="10.199999999999999">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row>
    <row r="766" spans="1:26" ht="10.199999999999999">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row>
    <row r="767" spans="1:26" ht="10.199999999999999">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row>
    <row r="768" spans="1:26" ht="10.199999999999999">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row>
    <row r="769" spans="1:26" ht="10.199999999999999">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row>
    <row r="770" spans="1:26" ht="10.199999999999999">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row>
    <row r="771" spans="1:26" ht="10.199999999999999">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row>
    <row r="772" spans="1:26" ht="10.199999999999999">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row>
    <row r="773" spans="1:26" ht="10.199999999999999">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row>
    <row r="774" spans="1:26" ht="10.199999999999999">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row>
    <row r="775" spans="1:26" ht="10.199999999999999">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row>
    <row r="776" spans="1:26" ht="10.199999999999999">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row>
    <row r="777" spans="1:26" ht="10.199999999999999">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row>
    <row r="778" spans="1:26" ht="10.199999999999999">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row>
    <row r="779" spans="1:26" ht="10.199999999999999">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row>
    <row r="780" spans="1:26" ht="10.199999999999999">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row>
    <row r="781" spans="1:26" ht="10.199999999999999">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row>
    <row r="782" spans="1:26" ht="10.199999999999999">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row>
    <row r="783" spans="1:26" ht="10.199999999999999">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row>
    <row r="784" spans="1:26" ht="10.199999999999999">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row>
    <row r="785" spans="1:26" ht="10.199999999999999">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row>
    <row r="786" spans="1:26" ht="10.199999999999999">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row>
    <row r="787" spans="1:26" ht="10.199999999999999">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row>
    <row r="788" spans="1:26" ht="10.199999999999999">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row>
    <row r="789" spans="1:26" ht="10.199999999999999">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row>
    <row r="790" spans="1:26" ht="10.199999999999999">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row>
    <row r="791" spans="1:26" ht="10.199999999999999">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row>
    <row r="792" spans="1:26" ht="10.199999999999999">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row>
    <row r="793" spans="1:26" ht="10.199999999999999">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row>
    <row r="794" spans="1:26" ht="10.199999999999999">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row>
    <row r="795" spans="1:26" ht="10.199999999999999">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row>
    <row r="796" spans="1:26" ht="10.199999999999999">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row>
    <row r="797" spans="1:26" ht="10.199999999999999">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row>
    <row r="798" spans="1:26" ht="10.199999999999999">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row>
    <row r="799" spans="1:26" ht="10.199999999999999">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row>
    <row r="800" spans="1:26" ht="10.199999999999999">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row>
    <row r="801" spans="1:26" ht="10.199999999999999">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row>
    <row r="802" spans="1:26" ht="10.199999999999999">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row>
    <row r="803" spans="1:26" ht="10.199999999999999">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row>
    <row r="804" spans="1:26" ht="10.199999999999999">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row>
    <row r="805" spans="1:26" ht="10.199999999999999">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row>
    <row r="806" spans="1:26" ht="10.199999999999999">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row>
    <row r="807" spans="1:26" ht="10.199999999999999">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row>
    <row r="808" spans="1:26" ht="10.199999999999999">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row>
    <row r="809" spans="1:26" ht="10.199999999999999">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row>
    <row r="810" spans="1:26" ht="10.199999999999999">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row>
    <row r="811" spans="1:26" ht="10.199999999999999">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row>
    <row r="812" spans="1:26" ht="10.199999999999999">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row>
    <row r="813" spans="1:26" ht="10.199999999999999">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row>
    <row r="814" spans="1:26" ht="10.199999999999999">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row>
    <row r="815" spans="1:26" ht="10.199999999999999">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row>
    <row r="816" spans="1:26" ht="10.199999999999999">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row>
    <row r="817" spans="1:26" ht="10.199999999999999">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row>
    <row r="818" spans="1:26" ht="10.199999999999999">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row>
    <row r="819" spans="1:26" ht="10.199999999999999">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row>
    <row r="820" spans="1:26" ht="10.199999999999999">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row>
    <row r="821" spans="1:26" ht="10.199999999999999">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row>
    <row r="822" spans="1:26" ht="10.199999999999999">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row>
    <row r="823" spans="1:26" ht="10.199999999999999">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row>
    <row r="824" spans="1:26" ht="10.199999999999999">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row>
    <row r="825" spans="1:26" ht="10.199999999999999">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row>
    <row r="826" spans="1:26" ht="10.199999999999999">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row>
    <row r="827" spans="1:26" ht="10.199999999999999">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row>
    <row r="828" spans="1:26" ht="10.199999999999999">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row>
    <row r="829" spans="1:26" ht="10.199999999999999">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row>
    <row r="830" spans="1:26" ht="10.199999999999999">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row>
    <row r="831" spans="1:26" ht="10.199999999999999">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row>
    <row r="832" spans="1:26" ht="10.199999999999999">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row>
    <row r="833" spans="1:26" ht="10.199999999999999">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row>
    <row r="834" spans="1:26" ht="10.199999999999999">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row>
    <row r="835" spans="1:26" ht="10.199999999999999">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row>
    <row r="836" spans="1:26" ht="10.199999999999999">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row>
    <row r="837" spans="1:26" ht="10.199999999999999">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row>
    <row r="838" spans="1:26" ht="10.199999999999999">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row>
    <row r="839" spans="1:26" ht="10.199999999999999">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row>
    <row r="840" spans="1:26" ht="10.199999999999999">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row>
    <row r="841" spans="1:26" ht="10.199999999999999">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row>
    <row r="842" spans="1:26" ht="10.199999999999999">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row>
    <row r="843" spans="1:26" ht="10.199999999999999">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row>
    <row r="844" spans="1:26" ht="10.199999999999999">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row>
    <row r="845" spans="1:26" ht="10.199999999999999">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row>
    <row r="846" spans="1:26" ht="10.199999999999999">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row>
    <row r="847" spans="1:26" ht="10.199999999999999">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row>
    <row r="848" spans="1:26" ht="10.199999999999999">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row>
    <row r="849" spans="1:26" ht="10.199999999999999">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row>
    <row r="850" spans="1:26" ht="10.199999999999999">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row>
    <row r="851" spans="1:26" ht="10.199999999999999">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row>
    <row r="852" spans="1:26" ht="10.199999999999999">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row>
    <row r="853" spans="1:26" ht="10.199999999999999">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row>
    <row r="854" spans="1:26" ht="10.199999999999999">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row>
    <row r="855" spans="1:26" ht="10.199999999999999">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row>
    <row r="856" spans="1:26" ht="10.199999999999999">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row>
    <row r="857" spans="1:26" ht="10.199999999999999">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row>
    <row r="858" spans="1:26" ht="10.199999999999999">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row>
    <row r="859" spans="1:26" ht="10.199999999999999">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row>
    <row r="860" spans="1:26" ht="10.199999999999999">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row>
    <row r="861" spans="1:26" ht="10.199999999999999">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row>
    <row r="862" spans="1:26" ht="10.199999999999999">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row>
    <row r="863" spans="1:26" ht="10.199999999999999">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row>
    <row r="864" spans="1:26" ht="10.199999999999999">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row>
    <row r="865" spans="1:26" ht="10.199999999999999">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row>
    <row r="866" spans="1:26" ht="10.199999999999999">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row>
    <row r="867" spans="1:26" ht="10.199999999999999">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row>
    <row r="868" spans="1:26" ht="10.199999999999999">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row>
    <row r="869" spans="1:26" ht="10.199999999999999">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row>
    <row r="870" spans="1:26" ht="10.199999999999999">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row>
    <row r="871" spans="1:26" ht="10.199999999999999">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row>
    <row r="872" spans="1:26" ht="10.199999999999999">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row>
    <row r="873" spans="1:26" ht="10.199999999999999">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row>
    <row r="874" spans="1:26" ht="10.199999999999999">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row>
    <row r="875" spans="1:26" ht="10.199999999999999">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row>
    <row r="876" spans="1:26" ht="10.199999999999999">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row>
    <row r="877" spans="1:26" ht="10.199999999999999">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row>
    <row r="878" spans="1:26" ht="10.199999999999999">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row>
    <row r="879" spans="1:26" ht="10.199999999999999">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row>
    <row r="880" spans="1:26" ht="10.199999999999999">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row>
    <row r="881" spans="1:26" ht="10.199999999999999">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row>
    <row r="882" spans="1:26" ht="10.199999999999999">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row>
    <row r="883" spans="1:26" ht="10.199999999999999">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row>
    <row r="884" spans="1:26" ht="10.199999999999999">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row>
    <row r="885" spans="1:26" ht="10.199999999999999">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row>
    <row r="886" spans="1:26" ht="10.199999999999999">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row>
    <row r="887" spans="1:26" ht="10.199999999999999">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row>
    <row r="888" spans="1:26" ht="10.199999999999999">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row>
    <row r="889" spans="1:26" ht="10.199999999999999">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row>
    <row r="890" spans="1:26" ht="10.199999999999999">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row>
    <row r="891" spans="1:26" ht="10.199999999999999">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row>
    <row r="892" spans="1:26" ht="10.199999999999999">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row>
    <row r="893" spans="1:26" ht="10.199999999999999">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row>
    <row r="894" spans="1:26" ht="10.199999999999999">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row>
    <row r="895" spans="1:26" ht="10.199999999999999">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row>
    <row r="896" spans="1:26" ht="10.199999999999999">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row>
    <row r="897" spans="1:26" ht="10.199999999999999">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row>
    <row r="898" spans="1:26" ht="10.199999999999999">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row>
    <row r="899" spans="1:26" ht="10.199999999999999">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row>
    <row r="900" spans="1:26" ht="10.199999999999999">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row>
    <row r="901" spans="1:26" ht="10.199999999999999">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row>
    <row r="902" spans="1:26" ht="10.199999999999999">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row>
    <row r="903" spans="1:26" ht="10.199999999999999">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row>
    <row r="904" spans="1:26" ht="10.199999999999999">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row>
    <row r="905" spans="1:26" ht="10.199999999999999">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row>
    <row r="906" spans="1:26" ht="10.199999999999999">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row>
    <row r="907" spans="1:26" ht="10.199999999999999">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row>
    <row r="908" spans="1:26" ht="10.199999999999999">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row>
    <row r="909" spans="1:26" ht="10.199999999999999">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row>
    <row r="910" spans="1:26" ht="10.199999999999999">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row>
    <row r="911" spans="1:26" ht="10.199999999999999">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row>
    <row r="912" spans="1:26" ht="10.199999999999999">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row>
    <row r="913" spans="1:26" ht="10.199999999999999">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row>
    <row r="914" spans="1:26" ht="10.199999999999999">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row>
    <row r="915" spans="1:26" ht="10.199999999999999">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row>
    <row r="916" spans="1:26" ht="10.199999999999999">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row>
    <row r="917" spans="1:26" ht="10.199999999999999">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row>
    <row r="918" spans="1:26" ht="10.199999999999999">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row>
    <row r="919" spans="1:26" ht="10.199999999999999">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row>
    <row r="920" spans="1:26" ht="10.199999999999999">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row>
    <row r="921" spans="1:26" ht="10.199999999999999">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row>
    <row r="922" spans="1:26" ht="10.199999999999999">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row>
    <row r="923" spans="1:26" ht="10.199999999999999">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row>
    <row r="924" spans="1:26" ht="10.199999999999999">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row>
    <row r="925" spans="1:26" ht="10.199999999999999">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row>
    <row r="926" spans="1:26" ht="10.199999999999999">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row>
    <row r="927" spans="1:26" ht="10.199999999999999">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row>
    <row r="928" spans="1:26" ht="10.199999999999999">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row>
    <row r="929" spans="1:26" ht="10.199999999999999">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row>
    <row r="930" spans="1:26" ht="10.199999999999999">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row>
    <row r="931" spans="1:26" ht="10.199999999999999">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row>
    <row r="932" spans="1:26" ht="10.199999999999999">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row>
    <row r="933" spans="1:26" ht="10.199999999999999">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row>
    <row r="934" spans="1:26" ht="10.199999999999999">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row>
    <row r="935" spans="1:26" ht="10.199999999999999">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row>
    <row r="936" spans="1:26" ht="10.199999999999999">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row>
    <row r="937" spans="1:26" ht="10.199999999999999">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row>
    <row r="938" spans="1:26" ht="10.199999999999999">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row>
    <row r="939" spans="1:26" ht="10.199999999999999">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row>
    <row r="940" spans="1:26" ht="10.199999999999999">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row>
    <row r="941" spans="1:26" ht="10.199999999999999">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row>
    <row r="942" spans="1:26" ht="10.199999999999999">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row>
    <row r="943" spans="1:26" ht="10.199999999999999">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row>
    <row r="944" spans="1:26" ht="10.199999999999999">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row>
    <row r="945" spans="1:26" ht="10.199999999999999">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row>
    <row r="946" spans="1:26" ht="10.199999999999999">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row>
    <row r="947" spans="1:26" ht="10.199999999999999">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row>
    <row r="948" spans="1:26" ht="10.199999999999999">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row>
    <row r="949" spans="1:26" ht="10.199999999999999">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row>
    <row r="950" spans="1:26" ht="10.199999999999999">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row>
    <row r="951" spans="1:26" ht="10.199999999999999">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row>
    <row r="952" spans="1:26" ht="10.199999999999999">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row>
    <row r="953" spans="1:26" ht="10.199999999999999">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row>
    <row r="954" spans="1:26" ht="10.199999999999999">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row>
    <row r="955" spans="1:26" ht="10.199999999999999">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row>
    <row r="956" spans="1:26" ht="10.199999999999999">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row>
    <row r="957" spans="1:26" ht="10.199999999999999">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row>
    <row r="958" spans="1:26" ht="10.199999999999999">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row>
    <row r="959" spans="1:26" ht="10.199999999999999">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row>
    <row r="960" spans="1:26" ht="10.199999999999999">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row>
    <row r="961" spans="1:26" ht="10.199999999999999">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row>
    <row r="962" spans="1:26" ht="10.199999999999999">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row>
    <row r="963" spans="1:26" ht="10.199999999999999">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row>
    <row r="964" spans="1:26" ht="10.199999999999999">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row>
    <row r="965" spans="1:26" ht="10.199999999999999">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row>
    <row r="966" spans="1:26" ht="10.199999999999999">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row>
    <row r="967" spans="1:26" ht="10.199999999999999">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row>
    <row r="968" spans="1:26" ht="10.199999999999999">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row>
    <row r="969" spans="1:26" ht="10.199999999999999">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row>
    <row r="970" spans="1:26" ht="10.199999999999999">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row>
    <row r="971" spans="1:26" ht="10.199999999999999">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row>
    <row r="972" spans="1:26" ht="10.199999999999999">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row>
    <row r="973" spans="1:26" ht="10.199999999999999">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row>
    <row r="974" spans="1:26" ht="10.199999999999999">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row>
    <row r="975" spans="1:26" ht="10.199999999999999">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row>
    <row r="976" spans="1:26" ht="10.199999999999999">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row>
    <row r="977" spans="1:26" ht="10.199999999999999">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row>
    <row r="978" spans="1:26" ht="10.199999999999999">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row>
    <row r="979" spans="1:26" ht="10.199999999999999">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row>
    <row r="980" spans="1:26" ht="10.199999999999999">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row>
    <row r="981" spans="1:26" ht="10.199999999999999">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row>
    <row r="982" spans="1:26" ht="10.199999999999999">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row>
    <row r="983" spans="1:26" ht="10.199999999999999">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row>
    <row r="984" spans="1:26" ht="10.199999999999999">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row>
    <row r="985" spans="1:26" ht="10.199999999999999">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row>
    <row r="986" spans="1:26" ht="10.199999999999999">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row>
    <row r="987" spans="1:26" ht="10.199999999999999">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row>
    <row r="988" spans="1:26" ht="10.199999999999999">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row>
    <row r="989" spans="1:26" ht="10.199999999999999">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row>
    <row r="990" spans="1:26" ht="10.199999999999999">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row>
    <row r="991" spans="1:26" ht="10.199999999999999">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row>
    <row r="992" spans="1:26" ht="10.199999999999999">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row>
    <row r="993" spans="1:26" ht="10.199999999999999">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row>
    <row r="994" spans="1:26" ht="10.199999999999999">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row>
    <row r="995" spans="1:26" ht="10.199999999999999">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row>
    <row r="996" spans="1:26" ht="10.199999999999999">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row>
    <row r="997" spans="1:26" ht="10.199999999999999">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row>
    <row r="998" spans="1:26" ht="10.199999999999999">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row>
    <row r="999" spans="1:26" ht="10.199999999999999">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row>
    <row r="1000" spans="1:26" ht="10.199999999999999">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row>
    <row r="1001" spans="1:26" ht="10.199999999999999">
      <c r="A1001" s="73"/>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X1001" s="73"/>
      <c r="Y1001" s="73"/>
      <c r="Z1001" s="73"/>
    </row>
  </sheetData>
  <mergeCells count="1">
    <mergeCell ref="B13:G1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D1000"/>
  <sheetViews>
    <sheetView workbookViewId="0"/>
  </sheetViews>
  <sheetFormatPr defaultColWidth="16.85546875" defaultRowHeight="15" customHeight="1"/>
  <cols>
    <col min="1" max="1" width="6.28515625" customWidth="1"/>
    <col min="2" max="2" width="35.7109375" customWidth="1"/>
    <col min="3" max="3" width="21.7109375" customWidth="1"/>
    <col min="4" max="5" width="18.140625" customWidth="1"/>
    <col min="6" max="6" width="17.140625" customWidth="1"/>
    <col min="7" max="7" width="11.42578125" customWidth="1"/>
    <col min="8" max="8" width="3" customWidth="1"/>
    <col min="9" max="9" width="33.7109375" customWidth="1"/>
    <col min="10" max="10" width="25.42578125" customWidth="1"/>
    <col min="11" max="12" width="20.42578125" customWidth="1"/>
    <col min="13" max="13" width="16.28515625" customWidth="1"/>
    <col min="14" max="14" width="11.42578125" customWidth="1"/>
    <col min="15" max="15" width="2" customWidth="1"/>
    <col min="16" max="16" width="32.28515625" customWidth="1"/>
    <col min="17" max="18" width="15.42578125" customWidth="1"/>
    <col min="19" max="20" width="14.85546875" customWidth="1"/>
    <col min="21" max="21" width="9.42578125" customWidth="1"/>
    <col min="22" max="22" width="9.28515625" customWidth="1"/>
    <col min="23" max="23" width="4.140625" customWidth="1"/>
    <col min="24" max="24" width="31.7109375" customWidth="1"/>
    <col min="25" max="25" width="21.28515625" customWidth="1"/>
    <col min="26" max="26" width="9.28515625" customWidth="1"/>
    <col min="27" max="27" width="4" customWidth="1"/>
    <col min="28" max="28" width="38.140625" customWidth="1"/>
    <col min="29" max="29" width="19.85546875" customWidth="1"/>
    <col min="30" max="30" width="12.42578125" customWidth="1"/>
  </cols>
  <sheetData>
    <row r="1" spans="1:30" ht="14.4">
      <c r="A1" s="1" t="s">
        <v>1211</v>
      </c>
      <c r="B1" s="403"/>
      <c r="C1" s="42"/>
      <c r="D1" s="1"/>
      <c r="E1" s="1"/>
      <c r="F1" s="1"/>
      <c r="G1" s="1"/>
      <c r="H1" s="1"/>
      <c r="I1" s="1"/>
      <c r="J1" s="1"/>
      <c r="K1" s="1"/>
      <c r="L1" s="1"/>
      <c r="M1" s="1"/>
      <c r="N1" s="1"/>
      <c r="O1" s="1"/>
      <c r="P1" s="1"/>
      <c r="Q1" s="1"/>
      <c r="R1" s="1"/>
      <c r="S1" s="1"/>
      <c r="T1" s="1"/>
      <c r="U1" s="1"/>
      <c r="V1" s="1"/>
      <c r="W1" s="1"/>
      <c r="X1" s="1"/>
      <c r="Y1" s="1"/>
      <c r="Z1" s="1"/>
      <c r="AA1" s="1"/>
      <c r="AB1" s="1"/>
      <c r="AC1" s="1"/>
      <c r="AD1" s="1"/>
    </row>
    <row r="2" spans="1:30" ht="60.7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ht="14.4">
      <c r="A3" s="1"/>
      <c r="B3" s="1"/>
      <c r="C3" s="1"/>
      <c r="D3" s="1"/>
      <c r="E3" s="1"/>
      <c r="F3" s="1"/>
      <c r="G3" s="1"/>
      <c r="H3" s="1"/>
      <c r="I3" s="1"/>
      <c r="J3" s="1"/>
      <c r="K3" s="1"/>
      <c r="L3" s="1"/>
      <c r="M3" s="1"/>
      <c r="N3" s="1"/>
      <c r="O3" s="1"/>
      <c r="P3" s="1"/>
      <c r="Q3" s="1"/>
      <c r="R3" s="1"/>
      <c r="S3" s="1"/>
      <c r="T3" s="1"/>
      <c r="U3" s="1"/>
      <c r="V3" s="1"/>
      <c r="W3" s="1"/>
      <c r="X3" s="1"/>
      <c r="Y3" s="1"/>
      <c r="Z3" s="1"/>
      <c r="AA3" s="1"/>
      <c r="AB3" s="1"/>
      <c r="AC3" s="1"/>
      <c r="AD3" s="1"/>
    </row>
    <row r="4" spans="1:30" ht="14.4">
      <c r="A4" s="1"/>
      <c r="B4" s="1"/>
      <c r="C4" s="1"/>
      <c r="D4" s="1"/>
      <c r="E4" s="1"/>
      <c r="F4" s="1"/>
      <c r="G4" s="1"/>
      <c r="H4" s="1"/>
      <c r="I4" s="1"/>
      <c r="J4" s="1"/>
      <c r="K4" s="1"/>
      <c r="L4" s="1"/>
      <c r="M4" s="1"/>
      <c r="N4" s="1"/>
      <c r="O4" s="1"/>
      <c r="P4" s="1"/>
      <c r="Q4" s="1"/>
      <c r="R4" s="1"/>
      <c r="S4" s="1"/>
      <c r="T4" s="1"/>
      <c r="U4" s="1"/>
      <c r="V4" s="1"/>
      <c r="W4" s="1"/>
      <c r="X4" s="1"/>
      <c r="Y4" s="1"/>
      <c r="Z4" s="1"/>
      <c r="AA4" s="1"/>
      <c r="AB4" s="1"/>
      <c r="AC4" s="1"/>
      <c r="AD4" s="1"/>
    </row>
    <row r="5" spans="1:30" ht="14.4">
      <c r="A5" s="1"/>
      <c r="B5" s="255"/>
      <c r="C5" s="916">
        <v>2011</v>
      </c>
      <c r="D5" s="256"/>
      <c r="E5" s="256"/>
      <c r="F5" s="256"/>
      <c r="G5" s="1579"/>
      <c r="H5" s="1"/>
      <c r="I5" s="255"/>
      <c r="J5" s="256">
        <v>2011</v>
      </c>
      <c r="K5" s="256"/>
      <c r="L5" s="256"/>
      <c r="M5" s="256"/>
      <c r="N5" s="1579"/>
      <c r="O5" s="1"/>
      <c r="P5" s="255"/>
      <c r="Q5" s="256">
        <v>2011</v>
      </c>
      <c r="R5" s="256"/>
      <c r="S5" s="256"/>
      <c r="T5" s="256"/>
      <c r="U5" s="256"/>
      <c r="V5" s="1579"/>
      <c r="W5" s="1"/>
      <c r="X5" s="255"/>
      <c r="Y5" s="256">
        <v>2011</v>
      </c>
      <c r="Z5" s="1579"/>
      <c r="AA5" s="1"/>
      <c r="AB5" s="90"/>
      <c r="AC5" s="1552">
        <v>2011</v>
      </c>
      <c r="AD5" s="1580"/>
    </row>
    <row r="6" spans="1:30" ht="14.4">
      <c r="A6" s="1"/>
      <c r="B6" s="84"/>
      <c r="C6" s="75"/>
      <c r="D6" s="75"/>
      <c r="E6" s="75"/>
      <c r="F6" s="75"/>
      <c r="G6" s="85"/>
      <c r="H6" s="1"/>
      <c r="I6" s="84"/>
      <c r="J6" s="75"/>
      <c r="K6" s="75"/>
      <c r="L6" s="75"/>
      <c r="M6" s="75"/>
      <c r="N6" s="85"/>
      <c r="O6" s="1"/>
      <c r="P6" s="84"/>
      <c r="Q6" s="75"/>
      <c r="R6" s="75"/>
      <c r="S6" s="75"/>
      <c r="T6" s="75"/>
      <c r="U6" s="75"/>
      <c r="V6" s="85"/>
      <c r="W6" s="1"/>
      <c r="X6" s="1581" t="s">
        <v>1156</v>
      </c>
      <c r="Y6" s="75"/>
      <c r="Z6" s="85"/>
      <c r="AA6" s="1"/>
      <c r="AB6" s="1582" t="s">
        <v>1212</v>
      </c>
      <c r="AC6" s="75"/>
      <c r="AD6" s="1223"/>
    </row>
    <row r="7" spans="1:30" ht="14.4">
      <c r="A7" s="1"/>
      <c r="B7" s="1474" t="s">
        <v>1213</v>
      </c>
      <c r="C7" s="260" t="s">
        <v>369</v>
      </c>
      <c r="D7" s="260" t="s">
        <v>373</v>
      </c>
      <c r="E7" s="260" t="s">
        <v>390</v>
      </c>
      <c r="F7" s="260" t="s">
        <v>177</v>
      </c>
      <c r="G7" s="85"/>
      <c r="H7" s="1"/>
      <c r="I7" s="1474" t="s">
        <v>1162</v>
      </c>
      <c r="J7" s="260" t="s">
        <v>369</v>
      </c>
      <c r="K7" s="260" t="s">
        <v>373</v>
      </c>
      <c r="L7" s="260" t="s">
        <v>390</v>
      </c>
      <c r="M7" s="260" t="s">
        <v>177</v>
      </c>
      <c r="N7" s="85"/>
      <c r="O7" s="1"/>
      <c r="P7" s="1474" t="s">
        <v>1214</v>
      </c>
      <c r="Q7" s="75" t="s">
        <v>1215</v>
      </c>
      <c r="R7" s="75" t="s">
        <v>1216</v>
      </c>
      <c r="S7" s="75" t="s">
        <v>1217</v>
      </c>
      <c r="T7" s="75" t="s">
        <v>1218</v>
      </c>
      <c r="U7" s="260" t="s">
        <v>177</v>
      </c>
      <c r="V7" s="85"/>
      <c r="W7" s="1"/>
      <c r="X7" s="84"/>
      <c r="Y7" s="75"/>
      <c r="Z7" s="85"/>
      <c r="AA7" s="1"/>
      <c r="AB7" s="376"/>
      <c r="AC7" s="75"/>
      <c r="AD7" s="1223"/>
    </row>
    <row r="8" spans="1:30" ht="14.4">
      <c r="A8" s="1"/>
      <c r="B8" s="84"/>
      <c r="C8" s="75"/>
      <c r="D8" s="75"/>
      <c r="E8" s="75"/>
      <c r="F8" s="75"/>
      <c r="G8" s="85"/>
      <c r="H8" s="1"/>
      <c r="I8" s="84"/>
      <c r="J8" s="75"/>
      <c r="K8" s="75"/>
      <c r="L8" s="75"/>
      <c r="M8" s="75"/>
      <c r="N8" s="85"/>
      <c r="O8" s="1"/>
      <c r="P8" s="84"/>
      <c r="Q8" s="75"/>
      <c r="R8" s="75"/>
      <c r="S8" s="75"/>
      <c r="T8" s="75"/>
      <c r="U8" s="75"/>
      <c r="V8" s="85"/>
      <c r="W8" s="1"/>
      <c r="X8" s="84"/>
      <c r="Y8" s="75"/>
      <c r="Z8" s="85"/>
      <c r="AA8" s="1"/>
      <c r="AB8" s="376"/>
      <c r="AC8" s="75"/>
      <c r="AD8" s="1223"/>
    </row>
    <row r="9" spans="1:30" ht="14.4">
      <c r="A9" s="1"/>
      <c r="B9" s="84" t="s">
        <v>1219</v>
      </c>
      <c r="C9" s="49">
        <v>237676</v>
      </c>
      <c r="D9" s="49">
        <v>234367</v>
      </c>
      <c r="E9" s="49">
        <v>231974</v>
      </c>
      <c r="F9" s="1568">
        <f>SUM(C9:E9)</f>
        <v>704017</v>
      </c>
      <c r="G9" s="85"/>
      <c r="H9" s="1"/>
      <c r="I9" s="84" t="s">
        <v>1219</v>
      </c>
      <c r="J9" s="49">
        <v>183061</v>
      </c>
      <c r="K9" s="49">
        <v>185329</v>
      </c>
      <c r="L9" s="49">
        <v>188523</v>
      </c>
      <c r="M9" s="1568">
        <f>SUM(J9:L9)</f>
        <v>556913</v>
      </c>
      <c r="N9" s="85"/>
      <c r="O9" s="1"/>
      <c r="P9" s="84" t="s">
        <v>1219</v>
      </c>
      <c r="Q9" s="71">
        <f>1945493*0.0005</f>
        <v>972.74649999999997</v>
      </c>
      <c r="R9" s="71">
        <f>1687072*0.0005</f>
        <v>843.53600000000006</v>
      </c>
      <c r="S9" s="71">
        <f>653682*0.0005</f>
        <v>326.84100000000001</v>
      </c>
      <c r="T9" s="71">
        <f>600688*0.0005</f>
        <v>300.34399999999999</v>
      </c>
      <c r="U9" s="990">
        <f>SUM(Q9:S9)</f>
        <v>2143.1235000000001</v>
      </c>
      <c r="V9" s="85"/>
      <c r="W9" s="1"/>
      <c r="X9" s="84" t="s">
        <v>1219</v>
      </c>
      <c r="Y9" s="1568">
        <v>118186</v>
      </c>
      <c r="Z9" s="85"/>
      <c r="AA9" s="1"/>
      <c r="AB9" s="376" t="s">
        <v>1219</v>
      </c>
      <c r="AC9" s="49">
        <f>F9+M9+U9+Y9</f>
        <v>1381259.1235</v>
      </c>
      <c r="AD9" s="1223"/>
    </row>
    <row r="10" spans="1:30" ht="14.4">
      <c r="A10" s="1"/>
      <c r="B10" s="84"/>
      <c r="C10" s="49"/>
      <c r="D10" s="49"/>
      <c r="E10" s="49"/>
      <c r="F10" s="49"/>
      <c r="G10" s="85"/>
      <c r="H10" s="1"/>
      <c r="I10" s="84"/>
      <c r="J10" s="71"/>
      <c r="K10" s="71"/>
      <c r="L10" s="71"/>
      <c r="M10" s="71"/>
      <c r="N10" s="85"/>
      <c r="O10" s="1"/>
      <c r="P10" s="84"/>
      <c r="Q10" s="75"/>
      <c r="R10" s="75"/>
      <c r="S10" s="75"/>
      <c r="T10" s="75"/>
      <c r="U10" s="75"/>
      <c r="V10" s="85"/>
      <c r="W10" s="1"/>
      <c r="X10" s="84"/>
      <c r="Y10" s="75"/>
      <c r="Z10" s="85"/>
      <c r="AA10" s="1"/>
      <c r="AB10" s="376"/>
      <c r="AC10" s="75"/>
      <c r="AD10" s="1223"/>
    </row>
    <row r="11" spans="1:30" ht="14.4">
      <c r="A11" s="1"/>
      <c r="B11" s="84" t="s">
        <v>1220</v>
      </c>
      <c r="C11" s="71">
        <v>9.9499999999999993</v>
      </c>
      <c r="D11" s="71">
        <v>9.9499999999999993</v>
      </c>
      <c r="E11" s="71">
        <v>9.9499999999999993</v>
      </c>
      <c r="F11" s="71"/>
      <c r="G11" s="85"/>
      <c r="H11" s="1"/>
      <c r="I11" s="84" t="s">
        <v>1220</v>
      </c>
      <c r="J11" s="71">
        <v>9.9499999999999993</v>
      </c>
      <c r="K11" s="71">
        <v>9.9499999999999993</v>
      </c>
      <c r="L11" s="71">
        <v>9.9499999999999993</v>
      </c>
      <c r="M11" s="71"/>
      <c r="N11" s="85" t="s">
        <v>1221</v>
      </c>
      <c r="O11" s="1"/>
      <c r="P11" s="84" t="s">
        <v>1220</v>
      </c>
      <c r="Q11" s="75">
        <v>9.9499999999999993</v>
      </c>
      <c r="R11" s="75">
        <v>9.9499999999999993</v>
      </c>
      <c r="S11" s="75">
        <v>9.9499999999999993</v>
      </c>
      <c r="T11" s="75">
        <v>9.9499999999999993</v>
      </c>
      <c r="U11" s="75"/>
      <c r="V11" s="85" t="s">
        <v>1221</v>
      </c>
      <c r="W11" s="1"/>
      <c r="X11" s="84" t="s">
        <v>1220</v>
      </c>
      <c r="Y11" s="75">
        <v>9.9499999999999993</v>
      </c>
      <c r="Z11" s="85" t="s">
        <v>1221</v>
      </c>
      <c r="AA11" s="1"/>
      <c r="AB11" s="376" t="s">
        <v>1220</v>
      </c>
      <c r="AC11" s="75">
        <v>9.9499999999999993</v>
      </c>
      <c r="AD11" s="1223" t="s">
        <v>1221</v>
      </c>
    </row>
    <row r="12" spans="1:30" ht="14.4">
      <c r="A12" s="1"/>
      <c r="B12" s="84"/>
      <c r="C12" s="71"/>
      <c r="D12" s="71"/>
      <c r="E12" s="71"/>
      <c r="F12" s="71"/>
      <c r="G12" s="85"/>
      <c r="H12" s="1"/>
      <c r="I12" s="84"/>
      <c r="J12" s="71"/>
      <c r="K12" s="71"/>
      <c r="L12" s="71"/>
      <c r="M12" s="71"/>
      <c r="N12" s="85"/>
      <c r="O12" s="1"/>
      <c r="P12" s="84"/>
      <c r="Q12" s="75"/>
      <c r="R12" s="75"/>
      <c r="S12" s="75"/>
      <c r="T12" s="75"/>
      <c r="U12" s="75"/>
      <c r="V12" s="85"/>
      <c r="W12" s="1"/>
      <c r="X12" s="84"/>
      <c r="Y12" s="75"/>
      <c r="Z12" s="85"/>
      <c r="AA12" s="1"/>
      <c r="AB12" s="376"/>
      <c r="AC12" s="75"/>
      <c r="AD12" s="1223"/>
    </row>
    <row r="13" spans="1:30" ht="14.4">
      <c r="A13" s="1"/>
      <c r="B13" s="84" t="s">
        <v>1222</v>
      </c>
      <c r="C13" s="71">
        <f t="shared" ref="C13:E13" si="0">C9*C11</f>
        <v>2364876.1999999997</v>
      </c>
      <c r="D13" s="71">
        <f t="shared" si="0"/>
        <v>2331951.65</v>
      </c>
      <c r="E13" s="71">
        <f t="shared" si="0"/>
        <v>2308141.2999999998</v>
      </c>
      <c r="F13" s="71"/>
      <c r="G13" s="85"/>
      <c r="H13" s="1"/>
      <c r="I13" s="84" t="s">
        <v>1222</v>
      </c>
      <c r="J13" s="71">
        <f t="shared" ref="J13:L13" si="1">J9*J11</f>
        <v>1821456.95</v>
      </c>
      <c r="K13" s="71">
        <f t="shared" si="1"/>
        <v>1844023.5499999998</v>
      </c>
      <c r="L13" s="71">
        <f t="shared" si="1"/>
        <v>1875803.8499999999</v>
      </c>
      <c r="M13" s="71"/>
      <c r="N13" s="85"/>
      <c r="O13" s="1"/>
      <c r="P13" s="84" t="s">
        <v>1222</v>
      </c>
      <c r="Q13" s="71">
        <f t="shared" ref="Q13:T13" si="2">Q9*Q11</f>
        <v>9678.8276749999986</v>
      </c>
      <c r="R13" s="71">
        <f t="shared" si="2"/>
        <v>8393.1831999999995</v>
      </c>
      <c r="S13" s="71">
        <f t="shared" si="2"/>
        <v>3252.0679499999997</v>
      </c>
      <c r="T13" s="71">
        <f t="shared" si="2"/>
        <v>2988.4227999999998</v>
      </c>
      <c r="U13" s="75"/>
      <c r="V13" s="85"/>
      <c r="W13" s="1"/>
      <c r="X13" s="84" t="s">
        <v>1222</v>
      </c>
      <c r="Y13" s="49">
        <f>Y9*Y11</f>
        <v>1175950.7</v>
      </c>
      <c r="Z13" s="85"/>
      <c r="AA13" s="1"/>
      <c r="AB13" s="376" t="s">
        <v>1222</v>
      </c>
      <c r="AC13" s="49">
        <f>AC9*AC11</f>
        <v>13743528.278824998</v>
      </c>
      <c r="AD13" s="1223"/>
    </row>
    <row r="14" spans="1:30" ht="14.4">
      <c r="A14" s="1"/>
      <c r="B14" s="84"/>
      <c r="C14" s="71"/>
      <c r="D14" s="71"/>
      <c r="E14" s="71"/>
      <c r="F14" s="71"/>
      <c r="G14" s="85"/>
      <c r="H14" s="1"/>
      <c r="I14" s="84"/>
      <c r="J14" s="71"/>
      <c r="K14" s="71"/>
      <c r="L14" s="71"/>
      <c r="M14" s="71"/>
      <c r="N14" s="85"/>
      <c r="O14" s="1"/>
      <c r="P14" s="84"/>
      <c r="Q14" s="75"/>
      <c r="R14" s="75"/>
      <c r="S14" s="75"/>
      <c r="T14" s="75"/>
      <c r="U14" s="75"/>
      <c r="V14" s="85"/>
      <c r="W14" s="1"/>
      <c r="X14" s="84"/>
      <c r="Y14" s="75"/>
      <c r="Z14" s="85"/>
      <c r="AA14" s="1"/>
      <c r="AB14" s="376"/>
      <c r="AC14" s="75"/>
      <c r="AD14" s="1223"/>
    </row>
    <row r="15" spans="1:30" ht="14.4">
      <c r="A15" s="1"/>
      <c r="B15" s="84" t="s">
        <v>1223</v>
      </c>
      <c r="C15" s="71">
        <v>90.7</v>
      </c>
      <c r="D15" s="71">
        <v>90.7</v>
      </c>
      <c r="E15" s="71">
        <v>90.7</v>
      </c>
      <c r="F15" s="71"/>
      <c r="G15" s="85"/>
      <c r="H15" s="1"/>
      <c r="I15" s="84" t="s">
        <v>1224</v>
      </c>
      <c r="J15" s="71">
        <v>90.7</v>
      </c>
      <c r="K15" s="71">
        <v>90.7</v>
      </c>
      <c r="L15" s="71">
        <v>90.7</v>
      </c>
      <c r="M15" s="71"/>
      <c r="N15" s="85" t="s">
        <v>1221</v>
      </c>
      <c r="O15" s="1"/>
      <c r="P15" s="84" t="s">
        <v>1225</v>
      </c>
      <c r="Q15" s="75">
        <v>90.7</v>
      </c>
      <c r="R15" s="75">
        <v>90.7</v>
      </c>
      <c r="S15" s="75">
        <v>90.7</v>
      </c>
      <c r="T15" s="75">
        <v>90.7</v>
      </c>
      <c r="U15" s="75"/>
      <c r="V15" s="85"/>
      <c r="W15" s="1"/>
      <c r="X15" s="84" t="s">
        <v>1226</v>
      </c>
      <c r="Y15" s="75">
        <v>90.7</v>
      </c>
      <c r="Z15" s="85" t="s">
        <v>1221</v>
      </c>
      <c r="AA15" s="1"/>
      <c r="AB15" s="376" t="s">
        <v>1227</v>
      </c>
      <c r="AC15" s="75">
        <v>90.7</v>
      </c>
      <c r="AD15" s="1223" t="s">
        <v>1221</v>
      </c>
    </row>
    <row r="16" spans="1:30" ht="14.4">
      <c r="A16" s="1"/>
      <c r="B16" s="84"/>
      <c r="C16" s="71"/>
      <c r="D16" s="71"/>
      <c r="E16" s="71"/>
      <c r="F16" s="71"/>
      <c r="G16" s="85"/>
      <c r="H16" s="1"/>
      <c r="I16" s="84"/>
      <c r="J16" s="71"/>
      <c r="K16" s="71"/>
      <c r="L16" s="71"/>
      <c r="M16" s="71"/>
      <c r="N16" s="85"/>
      <c r="O16" s="1"/>
      <c r="P16" s="84"/>
      <c r="Q16" s="75"/>
      <c r="R16" s="75"/>
      <c r="S16" s="75"/>
      <c r="T16" s="75"/>
      <c r="U16" s="75"/>
      <c r="V16" s="85"/>
      <c r="W16" s="1"/>
      <c r="X16" s="84"/>
      <c r="Y16" s="75"/>
      <c r="Z16" s="85"/>
      <c r="AA16" s="1"/>
      <c r="AB16" s="376"/>
      <c r="AC16" s="75"/>
      <c r="AD16" s="1223"/>
    </row>
    <row r="17" spans="1:30" ht="14.4">
      <c r="A17" s="1"/>
      <c r="B17" s="84" t="s">
        <v>1228</v>
      </c>
      <c r="C17" s="49">
        <f t="shared" ref="C17:E17" si="3">C13*C15</f>
        <v>214494271.33999997</v>
      </c>
      <c r="D17" s="49">
        <f t="shared" si="3"/>
        <v>211508014.655</v>
      </c>
      <c r="E17" s="49">
        <f t="shared" si="3"/>
        <v>209348415.91</v>
      </c>
      <c r="F17" s="71"/>
      <c r="G17" s="85"/>
      <c r="H17" s="1"/>
      <c r="I17" s="84" t="s">
        <v>1229</v>
      </c>
      <c r="J17" s="71">
        <f t="shared" ref="J17:L17" si="4">J13*J15</f>
        <v>165206145.36500001</v>
      </c>
      <c r="K17" s="71">
        <f t="shared" si="4"/>
        <v>167252935.98499998</v>
      </c>
      <c r="L17" s="71">
        <f t="shared" si="4"/>
        <v>170135409.19499999</v>
      </c>
      <c r="M17" s="71"/>
      <c r="N17" s="85"/>
      <c r="O17" s="1"/>
      <c r="P17" s="84" t="s">
        <v>1230</v>
      </c>
      <c r="Q17" s="71">
        <f t="shared" ref="Q17:T17" si="5">Q13*Q15</f>
        <v>877869.67012249993</v>
      </c>
      <c r="R17" s="71">
        <f t="shared" si="5"/>
        <v>761261.71623999998</v>
      </c>
      <c r="S17" s="71">
        <f t="shared" si="5"/>
        <v>294962.56306499999</v>
      </c>
      <c r="T17" s="71">
        <f t="shared" si="5"/>
        <v>271049.94796000002</v>
      </c>
      <c r="U17" s="75"/>
      <c r="V17" s="85"/>
      <c r="W17" s="1"/>
      <c r="X17" s="84" t="s">
        <v>1231</v>
      </c>
      <c r="Y17" s="71">
        <f>Y13*Y15</f>
        <v>106658728.48999999</v>
      </c>
      <c r="Z17" s="85"/>
      <c r="AA17" s="1"/>
      <c r="AB17" s="376" t="s">
        <v>1232</v>
      </c>
      <c r="AC17" s="49">
        <f>AC13*AC15</f>
        <v>1246538014.8894274</v>
      </c>
      <c r="AD17" s="1223"/>
    </row>
    <row r="18" spans="1:30" ht="14.4">
      <c r="A18" s="1"/>
      <c r="B18" s="84"/>
      <c r="C18" s="71"/>
      <c r="D18" s="71"/>
      <c r="E18" s="71"/>
      <c r="F18" s="71"/>
      <c r="G18" s="85"/>
      <c r="H18" s="1"/>
      <c r="I18" s="84"/>
      <c r="J18" s="71"/>
      <c r="K18" s="71"/>
      <c r="L18" s="71"/>
      <c r="M18" s="71"/>
      <c r="N18" s="85"/>
      <c r="O18" s="1"/>
      <c r="P18" s="84"/>
      <c r="Q18" s="75"/>
      <c r="R18" s="75"/>
      <c r="S18" s="75"/>
      <c r="T18" s="75"/>
      <c r="U18" s="75"/>
      <c r="V18" s="85"/>
      <c r="W18" s="1"/>
      <c r="X18" s="84"/>
      <c r="Y18" s="75"/>
      <c r="Z18" s="85"/>
      <c r="AA18" s="1"/>
      <c r="AB18" s="376"/>
      <c r="AC18" s="75"/>
      <c r="AD18" s="1223"/>
    </row>
    <row r="19" spans="1:30" ht="14.4">
      <c r="A19" s="1"/>
      <c r="B19" s="84" t="s">
        <v>1233</v>
      </c>
      <c r="C19" s="49">
        <f t="shared" ref="C19:E19" si="6">C17*0.0011023</f>
        <v>236437.03529808199</v>
      </c>
      <c r="D19" s="49">
        <f t="shared" si="6"/>
        <v>233145.2845542065</v>
      </c>
      <c r="E19" s="49">
        <f t="shared" si="6"/>
        <v>230764.758857593</v>
      </c>
      <c r="F19" s="990">
        <f>SUM(C19:E19)</f>
        <v>700347.07870988152</v>
      </c>
      <c r="G19" s="85" t="s">
        <v>1221</v>
      </c>
      <c r="H19" s="1"/>
      <c r="I19" s="84" t="s">
        <v>1234</v>
      </c>
      <c r="J19" s="71">
        <f t="shared" ref="J19:L19" si="7">J17*0.0011023</f>
        <v>182106.73403583953</v>
      </c>
      <c r="K19" s="71">
        <f t="shared" si="7"/>
        <v>184362.9113362655</v>
      </c>
      <c r="L19" s="71">
        <f t="shared" si="7"/>
        <v>187540.2615556485</v>
      </c>
      <c r="M19" s="71">
        <v>554009.90692775359</v>
      </c>
      <c r="N19" s="85" t="s">
        <v>1221</v>
      </c>
      <c r="O19" s="1"/>
      <c r="P19" s="84" t="s">
        <v>1235</v>
      </c>
      <c r="Q19" s="71">
        <f t="shared" ref="Q19:T19" si="8">Q17*0.0011023</f>
        <v>967.67573737603175</v>
      </c>
      <c r="R19" s="71">
        <f t="shared" si="8"/>
        <v>839.13878981135201</v>
      </c>
      <c r="S19" s="71">
        <f t="shared" si="8"/>
        <v>325.13723326654952</v>
      </c>
      <c r="T19" s="71">
        <f t="shared" si="8"/>
        <v>298.77835763630804</v>
      </c>
      <c r="U19" s="71">
        <f>SUM(Q19:S19)</f>
        <v>2131.9517604539333</v>
      </c>
      <c r="V19" s="85" t="s">
        <v>1221</v>
      </c>
      <c r="W19" s="1"/>
      <c r="X19" s="84" t="s">
        <v>1236</v>
      </c>
      <c r="Y19" s="1583">
        <f>Y17*0.0011023</f>
        <v>117569.916414527</v>
      </c>
      <c r="Z19" s="85" t="s">
        <v>1221</v>
      </c>
      <c r="AA19" s="1"/>
      <c r="AB19" s="376" t="s">
        <v>1237</v>
      </c>
      <c r="AC19" s="49">
        <f>AC17*0.0011023</f>
        <v>1374058.8538126159</v>
      </c>
      <c r="AD19" s="1223" t="s">
        <v>1221</v>
      </c>
    </row>
    <row r="20" spans="1:30" ht="14.4">
      <c r="A20" s="1"/>
      <c r="B20" s="84"/>
      <c r="C20" s="71"/>
      <c r="D20" s="71"/>
      <c r="E20" s="71"/>
      <c r="F20" s="71"/>
      <c r="G20" s="85"/>
      <c r="H20" s="1"/>
      <c r="I20" s="84"/>
      <c r="J20" s="71"/>
      <c r="K20" s="71"/>
      <c r="L20" s="71"/>
      <c r="M20" s="71"/>
      <c r="N20" s="85"/>
      <c r="O20" s="1"/>
      <c r="P20" s="84"/>
      <c r="Q20" s="75"/>
      <c r="R20" s="75"/>
      <c r="S20" s="75"/>
      <c r="T20" s="75"/>
      <c r="U20" s="75"/>
      <c r="V20" s="85"/>
      <c r="W20" s="1"/>
      <c r="X20" s="84"/>
      <c r="Y20" s="1583"/>
      <c r="Z20" s="85"/>
      <c r="AA20" s="1"/>
      <c r="AB20" s="376"/>
      <c r="AC20" s="75"/>
      <c r="AD20" s="1223"/>
    </row>
    <row r="21" spans="1:30" ht="15.75" customHeight="1">
      <c r="A21" s="1"/>
      <c r="B21" s="84" t="s">
        <v>1238</v>
      </c>
      <c r="C21" s="49">
        <v>238291</v>
      </c>
      <c r="D21" s="49">
        <v>199914</v>
      </c>
      <c r="E21" s="49">
        <v>233471</v>
      </c>
      <c r="F21" s="71">
        <v>671676</v>
      </c>
      <c r="G21" s="85" t="s">
        <v>305</v>
      </c>
      <c r="H21" s="1"/>
      <c r="I21" s="84" t="s">
        <v>1239</v>
      </c>
      <c r="J21" s="71">
        <f t="shared" ref="J21:L21" si="9">J23*0.90718474</f>
        <v>222307.79778037601</v>
      </c>
      <c r="K21" s="71">
        <f t="shared" si="9"/>
        <v>214955.88192894199</v>
      </c>
      <c r="L21" s="71">
        <f t="shared" si="9"/>
        <v>213570.06652011801</v>
      </c>
      <c r="M21" s="71"/>
      <c r="N21" s="1584" t="s">
        <v>1240</v>
      </c>
      <c r="O21" s="1"/>
      <c r="P21" s="84" t="s">
        <v>1241</v>
      </c>
      <c r="Q21" s="71">
        <f t="shared" ref="Q21:T21" si="10">Q23*0.90718474</f>
        <v>563.36172354000007</v>
      </c>
      <c r="R21" s="71">
        <f t="shared" si="10"/>
        <v>445.42770734000004</v>
      </c>
      <c r="S21" s="71">
        <f t="shared" si="10"/>
        <v>273.96979148000003</v>
      </c>
      <c r="T21" s="71">
        <f t="shared" si="10"/>
        <v>288.48474732</v>
      </c>
      <c r="U21" s="75"/>
      <c r="V21" s="1584" t="s">
        <v>1240</v>
      </c>
      <c r="W21" s="1"/>
      <c r="X21" s="84" t="s">
        <v>1242</v>
      </c>
      <c r="Y21" s="1583">
        <f>Y23*0.90718474</f>
        <v>105608.09713762</v>
      </c>
      <c r="Z21" s="1584" t="s">
        <v>1240</v>
      </c>
      <c r="AA21" s="1"/>
      <c r="AB21" s="376"/>
      <c r="AC21" s="75"/>
      <c r="AD21" s="1223"/>
    </row>
    <row r="22" spans="1:30" ht="15.75" customHeight="1">
      <c r="A22" s="1"/>
      <c r="B22" s="84"/>
      <c r="C22" s="71"/>
      <c r="D22" s="71"/>
      <c r="E22" s="71"/>
      <c r="F22" s="71"/>
      <c r="G22" s="85"/>
      <c r="H22" s="1"/>
      <c r="I22" s="84"/>
      <c r="J22" s="71"/>
      <c r="K22" s="71"/>
      <c r="L22" s="71"/>
      <c r="M22" s="71"/>
      <c r="N22" s="85"/>
      <c r="O22" s="1"/>
      <c r="P22" s="84"/>
      <c r="Q22" s="75"/>
      <c r="R22" s="75"/>
      <c r="S22" s="75"/>
      <c r="T22" s="75"/>
      <c r="U22" s="75"/>
      <c r="V22" s="85"/>
      <c r="W22" s="1"/>
      <c r="X22" s="84"/>
      <c r="Y22" s="1583"/>
      <c r="Z22" s="85"/>
      <c r="AA22" s="1"/>
      <c r="AB22" s="376"/>
      <c r="AC22" s="75"/>
      <c r="AD22" s="1223"/>
    </row>
    <row r="23" spans="1:30" ht="15.75" customHeight="1">
      <c r="A23" s="1"/>
      <c r="B23" s="1581" t="s">
        <v>1243</v>
      </c>
      <c r="C23" s="1585">
        <f t="shared" ref="C23:E23" si="11">C21*1.1023</f>
        <v>262668.16930000001</v>
      </c>
      <c r="D23" s="1585">
        <f t="shared" si="11"/>
        <v>220365.2022</v>
      </c>
      <c r="E23" s="1585">
        <f t="shared" si="11"/>
        <v>257355.08330000003</v>
      </c>
      <c r="F23" s="1586">
        <f>SUM(C23:E23)</f>
        <v>740388.45480000007</v>
      </c>
      <c r="G23" s="1584" t="s">
        <v>305</v>
      </c>
      <c r="H23" s="1"/>
      <c r="I23" s="1581" t="s">
        <v>1244</v>
      </c>
      <c r="J23" s="1585">
        <v>245052.4</v>
      </c>
      <c r="K23" s="1585">
        <v>236948.3</v>
      </c>
      <c r="L23" s="1585">
        <v>235420.7</v>
      </c>
      <c r="M23" s="1586">
        <f>SUM(J23:L23)</f>
        <v>717421.39999999991</v>
      </c>
      <c r="N23" s="1584" t="s">
        <v>1240</v>
      </c>
      <c r="O23" s="1"/>
      <c r="P23" s="1581" t="s">
        <v>1245</v>
      </c>
      <c r="Q23" s="1587">
        <v>621</v>
      </c>
      <c r="R23" s="1587">
        <v>491</v>
      </c>
      <c r="S23" s="1587">
        <v>302</v>
      </c>
      <c r="T23" s="1587">
        <v>318</v>
      </c>
      <c r="U23" s="1588">
        <f>SUM(Q23:S23)</f>
        <v>1414</v>
      </c>
      <c r="V23" s="1584" t="s">
        <v>1240</v>
      </c>
      <c r="W23" s="1"/>
      <c r="X23" s="1581" t="s">
        <v>1246</v>
      </c>
      <c r="Y23" s="1589">
        <v>116413</v>
      </c>
      <c r="Z23" s="1584" t="s">
        <v>1240</v>
      </c>
      <c r="AA23" s="1"/>
      <c r="AB23" s="1590" t="s">
        <v>1247</v>
      </c>
      <c r="AC23" s="1588">
        <f>F23+M23+U23+Y23</f>
        <v>1575636.8547999999</v>
      </c>
      <c r="AD23" s="1223"/>
    </row>
    <row r="24" spans="1:30" ht="15.75" customHeight="1">
      <c r="A24" s="1"/>
      <c r="B24" s="84"/>
      <c r="C24" s="71"/>
      <c r="D24" s="71"/>
      <c r="E24" s="71"/>
      <c r="F24" s="71"/>
      <c r="G24" s="85"/>
      <c r="H24" s="1"/>
      <c r="I24" s="84"/>
      <c r="J24" s="71"/>
      <c r="K24" s="71"/>
      <c r="L24" s="71"/>
      <c r="M24" s="71"/>
      <c r="N24" s="85"/>
      <c r="O24" s="1"/>
      <c r="P24" s="84"/>
      <c r="Q24" s="75"/>
      <c r="R24" s="75"/>
      <c r="S24" s="75"/>
      <c r="T24" s="75"/>
      <c r="U24" s="75"/>
      <c r="V24" s="85"/>
      <c r="W24" s="1"/>
      <c r="X24" s="84"/>
      <c r="Y24" s="1583"/>
      <c r="Z24" s="85"/>
      <c r="AA24" s="1"/>
      <c r="AB24" s="376"/>
      <c r="AC24" s="75"/>
      <c r="AD24" s="1223"/>
    </row>
    <row r="25" spans="1:30" ht="15.75" customHeight="1">
      <c r="A25" s="1"/>
      <c r="B25" s="84" t="s">
        <v>1248</v>
      </c>
      <c r="C25" s="71">
        <v>3.2000000000000001E-2</v>
      </c>
      <c r="D25" s="71">
        <v>3.2000000000000001E-2</v>
      </c>
      <c r="E25" s="71">
        <v>3.2000000000000001E-2</v>
      </c>
      <c r="F25" s="71"/>
      <c r="G25" s="85"/>
      <c r="H25" s="1"/>
      <c r="I25" s="84" t="s">
        <v>1249</v>
      </c>
      <c r="J25" s="71">
        <v>3.2000000000000001E-2</v>
      </c>
      <c r="K25" s="71">
        <v>3.2000000000000001E-2</v>
      </c>
      <c r="L25" s="71">
        <v>3.2000000000000001E-2</v>
      </c>
      <c r="M25" s="71"/>
      <c r="N25" s="85"/>
      <c r="O25" s="1"/>
      <c r="P25" s="84" t="s">
        <v>1250</v>
      </c>
      <c r="Q25" s="75">
        <v>3.2000000000000001E-2</v>
      </c>
      <c r="R25" s="75">
        <v>3.2000000000000001E-2</v>
      </c>
      <c r="S25" s="75">
        <v>3.2000000000000001E-2</v>
      </c>
      <c r="T25" s="75">
        <v>3.2000000000000001E-2</v>
      </c>
      <c r="U25" s="75"/>
      <c r="V25" s="85" t="s">
        <v>1221</v>
      </c>
      <c r="W25" s="1"/>
      <c r="X25" s="84" t="s">
        <v>1251</v>
      </c>
      <c r="Y25" s="1583">
        <v>3.2000000000000001E-2</v>
      </c>
      <c r="Z25" s="85"/>
      <c r="AA25" s="1"/>
      <c r="AB25" s="376" t="s">
        <v>1252</v>
      </c>
      <c r="AC25" s="75">
        <v>3.2000000000000001E-2</v>
      </c>
      <c r="AD25" s="1223"/>
    </row>
    <row r="26" spans="1:30" ht="15.75" customHeight="1">
      <c r="A26" s="1"/>
      <c r="B26" s="84" t="s">
        <v>1253</v>
      </c>
      <c r="C26" s="71">
        <f t="shared" ref="C26:E26" si="12">C13*C25</f>
        <v>75676.03839999999</v>
      </c>
      <c r="D26" s="71">
        <f t="shared" si="12"/>
        <v>74622.452799999999</v>
      </c>
      <c r="E26" s="71">
        <f t="shared" si="12"/>
        <v>73860.521599999993</v>
      </c>
      <c r="F26" s="71"/>
      <c r="G26" s="85"/>
      <c r="H26" s="1"/>
      <c r="I26" s="84" t="s">
        <v>1254</v>
      </c>
      <c r="J26" s="71">
        <f t="shared" ref="J26:L26" si="13">J13*J25</f>
        <v>58286.6224</v>
      </c>
      <c r="K26" s="71">
        <f t="shared" si="13"/>
        <v>59008.753599999996</v>
      </c>
      <c r="L26" s="71">
        <f t="shared" si="13"/>
        <v>60025.7232</v>
      </c>
      <c r="M26" s="71"/>
      <c r="N26" s="85"/>
      <c r="O26" s="1"/>
      <c r="P26" s="84" t="s">
        <v>1255</v>
      </c>
      <c r="Q26" s="71">
        <f t="shared" ref="Q26:T26" si="14">Q13*Q25</f>
        <v>309.72248559999997</v>
      </c>
      <c r="R26" s="71">
        <f t="shared" si="14"/>
        <v>268.58186239999998</v>
      </c>
      <c r="S26" s="71">
        <f t="shared" si="14"/>
        <v>104.06617439999999</v>
      </c>
      <c r="T26" s="71">
        <f t="shared" si="14"/>
        <v>95.629529599999998</v>
      </c>
      <c r="U26" s="75"/>
      <c r="V26" s="85"/>
      <c r="W26" s="1"/>
      <c r="X26" s="84" t="s">
        <v>1256</v>
      </c>
      <c r="Y26" s="1583">
        <v>37630.422399999996</v>
      </c>
      <c r="Z26" s="85"/>
      <c r="AA26" s="1"/>
      <c r="AB26" s="376" t="s">
        <v>1257</v>
      </c>
      <c r="AC26" s="71">
        <f>AC13*AC25</f>
        <v>439792.90492239996</v>
      </c>
      <c r="AD26" s="1223"/>
    </row>
    <row r="27" spans="1:30" ht="15.75" customHeight="1">
      <c r="A27" s="1"/>
      <c r="B27" s="84" t="s">
        <v>1258</v>
      </c>
      <c r="C27" s="71">
        <f t="shared" ref="C27:E27" si="15">C26*0.0011023</f>
        <v>83.41769712832</v>
      </c>
      <c r="D27" s="71">
        <f t="shared" si="15"/>
        <v>82.256329721440011</v>
      </c>
      <c r="E27" s="71">
        <f t="shared" si="15"/>
        <v>81.416452959680001</v>
      </c>
      <c r="F27" s="71">
        <f>SUM(C27:E27)</f>
        <v>247.09047980944001</v>
      </c>
      <c r="G27" s="85" t="s">
        <v>1221</v>
      </c>
      <c r="H27" s="1"/>
      <c r="I27" s="84" t="s">
        <v>1259</v>
      </c>
      <c r="J27" s="71">
        <v>83.394994316799981</v>
      </c>
      <c r="K27" s="71">
        <v>82.256329721440011</v>
      </c>
      <c r="L27" s="71">
        <v>81.416452959680001</v>
      </c>
      <c r="M27" s="71">
        <v>195.44356166143999</v>
      </c>
      <c r="N27" s="85" t="s">
        <v>1221</v>
      </c>
      <c r="O27" s="1"/>
      <c r="P27" s="84" t="s">
        <v>1260</v>
      </c>
      <c r="Q27" s="71">
        <f t="shared" ref="Q27:T27" si="16">Q26*0.0011023</f>
        <v>0.34140709587688001</v>
      </c>
      <c r="R27" s="71">
        <f t="shared" si="16"/>
        <v>0.29605778692351997</v>
      </c>
      <c r="S27" s="71">
        <f t="shared" si="16"/>
        <v>0.11471214404112</v>
      </c>
      <c r="T27" s="71">
        <f t="shared" si="16"/>
        <v>0.10541243047808001</v>
      </c>
      <c r="U27" s="71">
        <f>SUM(Q27:S27)</f>
        <v>0.75217702684151988</v>
      </c>
      <c r="V27" s="85"/>
      <c r="W27" s="1"/>
      <c r="X27" s="84" t="s">
        <v>1261</v>
      </c>
      <c r="Y27" s="1583">
        <v>41.46872548479999</v>
      </c>
      <c r="Z27" s="85" t="s">
        <v>1221</v>
      </c>
      <c r="AA27" s="1"/>
      <c r="AB27" s="376" t="s">
        <v>1262</v>
      </c>
      <c r="AC27" s="71">
        <f>AC26*0.0011023</f>
        <v>484.78371909596149</v>
      </c>
      <c r="AD27" s="1223" t="s">
        <v>1221</v>
      </c>
    </row>
    <row r="28" spans="1:30" ht="15.75" customHeight="1">
      <c r="A28" s="1"/>
      <c r="B28" s="84"/>
      <c r="C28" s="71"/>
      <c r="D28" s="71"/>
      <c r="E28" s="71"/>
      <c r="F28" s="990"/>
      <c r="G28" s="85"/>
      <c r="H28" s="1"/>
      <c r="I28" s="84"/>
      <c r="J28" s="71"/>
      <c r="K28" s="71"/>
      <c r="L28" s="71"/>
      <c r="M28" s="71"/>
      <c r="N28" s="85"/>
      <c r="O28" s="1"/>
      <c r="P28" s="84"/>
      <c r="Q28" s="71"/>
      <c r="R28" s="71"/>
      <c r="S28" s="71"/>
      <c r="T28" s="71"/>
      <c r="U28" s="75"/>
      <c r="V28" s="85"/>
      <c r="W28" s="1"/>
      <c r="X28" s="84"/>
      <c r="Y28" s="1583"/>
      <c r="Z28" s="85"/>
      <c r="AA28" s="1"/>
      <c r="AB28" s="376"/>
      <c r="AC28" s="75"/>
      <c r="AD28" s="1223"/>
    </row>
    <row r="29" spans="1:30" ht="15.75" customHeight="1">
      <c r="A29" s="1"/>
      <c r="B29" s="1591" t="s">
        <v>1263</v>
      </c>
      <c r="C29" s="1592">
        <v>1.44</v>
      </c>
      <c r="D29" s="1592">
        <v>1.42</v>
      </c>
      <c r="E29" s="1592">
        <v>1.4</v>
      </c>
      <c r="F29" s="1593">
        <f>SUM(C29:E29)</f>
        <v>4.26</v>
      </c>
      <c r="G29" s="1594" t="s">
        <v>305</v>
      </c>
      <c r="H29" s="1"/>
      <c r="I29" s="1591" t="s">
        <v>1264</v>
      </c>
      <c r="J29" s="1595">
        <v>1.29E-2</v>
      </c>
      <c r="K29" s="1595">
        <v>9.5999999999999992E-3</v>
      </c>
      <c r="L29" s="1595">
        <v>7.6E-3</v>
      </c>
      <c r="M29" s="1595">
        <f>SUM(J29:L29)</f>
        <v>3.0099999999999998E-2</v>
      </c>
      <c r="N29" s="1594" t="s">
        <v>1240</v>
      </c>
      <c r="O29" s="1"/>
      <c r="P29" s="1591" t="s">
        <v>1265</v>
      </c>
      <c r="Q29" s="1596">
        <v>1.1900000000000001E-2</v>
      </c>
      <c r="R29" s="1596">
        <v>9.41E-3</v>
      </c>
      <c r="S29" s="1596">
        <v>5.79E-3</v>
      </c>
      <c r="T29" s="1596">
        <v>6.1000000000000004E-3</v>
      </c>
      <c r="U29" s="1597">
        <f>SUM(Q29:T29)</f>
        <v>3.32E-2</v>
      </c>
      <c r="V29" s="1594" t="s">
        <v>1240</v>
      </c>
      <c r="W29" s="1"/>
      <c r="X29" s="1591" t="s">
        <v>1266</v>
      </c>
      <c r="Y29" s="1598">
        <f>Y33</f>
        <v>5.4442519177619992</v>
      </c>
      <c r="Z29" s="1594"/>
      <c r="AA29" s="1"/>
      <c r="AB29" s="1599" t="s">
        <v>1267</v>
      </c>
      <c r="AC29" s="1593">
        <f>(F29+M29+U29+Y29)*$C$44</f>
        <v>273.49145369733594</v>
      </c>
      <c r="AD29" s="1594" t="s">
        <v>1240</v>
      </c>
    </row>
    <row r="30" spans="1:30" ht="15.75" customHeight="1">
      <c r="A30" s="1"/>
      <c r="B30" s="84"/>
      <c r="C30" s="71"/>
      <c r="D30" s="71"/>
      <c r="E30" s="71"/>
      <c r="F30" s="71"/>
      <c r="G30" s="85"/>
      <c r="H30" s="1"/>
      <c r="I30" s="84"/>
      <c r="J30" s="71"/>
      <c r="K30" s="71"/>
      <c r="L30" s="71"/>
      <c r="M30" s="71"/>
      <c r="N30" s="85"/>
      <c r="O30" s="1"/>
      <c r="P30" s="84"/>
      <c r="Q30" s="75"/>
      <c r="R30" s="75"/>
      <c r="S30" s="75"/>
      <c r="T30" s="75"/>
      <c r="U30" s="75"/>
      <c r="V30" s="85"/>
      <c r="W30" s="1"/>
      <c r="X30" s="84"/>
      <c r="Y30" s="1583"/>
      <c r="Z30" s="85"/>
      <c r="AA30" s="1"/>
      <c r="AB30" s="376"/>
      <c r="AC30" s="75"/>
      <c r="AD30" s="1223"/>
    </row>
    <row r="31" spans="1:30" ht="15.75" customHeight="1">
      <c r="A31" s="1"/>
      <c r="B31" s="84" t="s">
        <v>1268</v>
      </c>
      <c r="C31" s="391">
        <v>4.1999999999999997E-3</v>
      </c>
      <c r="D31" s="391">
        <v>4.1999999999999997E-3</v>
      </c>
      <c r="E31" s="391">
        <v>4.1999999999999997E-3</v>
      </c>
      <c r="F31" s="71"/>
      <c r="G31" s="85"/>
      <c r="H31" s="1"/>
      <c r="I31" s="84" t="s">
        <v>1269</v>
      </c>
      <c r="J31" s="391">
        <v>4.1999999999999997E-3</v>
      </c>
      <c r="K31" s="391">
        <v>4.1999999999999997E-3</v>
      </c>
      <c r="L31" s="391">
        <v>4.1999999999999997E-3</v>
      </c>
      <c r="M31" s="71"/>
      <c r="N31" s="85"/>
      <c r="O31" s="1"/>
      <c r="P31" s="84" t="s">
        <v>1270</v>
      </c>
      <c r="Q31" s="75">
        <v>4.1999999999999997E-3</v>
      </c>
      <c r="R31" s="75">
        <v>4.1999999999999997E-3</v>
      </c>
      <c r="S31" s="75">
        <v>4.1999999999999997E-3</v>
      </c>
      <c r="T31" s="75">
        <v>4.1999999999999997E-3</v>
      </c>
      <c r="U31" s="75"/>
      <c r="V31" s="85" t="s">
        <v>1221</v>
      </c>
      <c r="W31" s="1"/>
      <c r="X31" s="84" t="s">
        <v>1271</v>
      </c>
      <c r="Y31" s="391">
        <v>4.1999999999999997E-3</v>
      </c>
      <c r="Z31" s="85"/>
      <c r="AA31" s="1"/>
      <c r="AB31" s="376" t="s">
        <v>1272</v>
      </c>
      <c r="AC31" s="75">
        <v>4.1999999999999997E-3</v>
      </c>
      <c r="AD31" s="1223"/>
    </row>
    <row r="32" spans="1:30" ht="15.75" customHeight="1">
      <c r="A32" s="1"/>
      <c r="B32" s="84" t="s">
        <v>1273</v>
      </c>
      <c r="C32" s="71">
        <f t="shared" ref="C32:E32" si="17">C13*C31</f>
        <v>9932.4800399999986</v>
      </c>
      <c r="D32" s="71">
        <f t="shared" si="17"/>
        <v>9794.1969299999982</v>
      </c>
      <c r="E32" s="71">
        <f t="shared" si="17"/>
        <v>9694.1934599999986</v>
      </c>
      <c r="F32" s="71"/>
      <c r="G32" s="85"/>
      <c r="H32" s="1"/>
      <c r="I32" s="84" t="s">
        <v>1274</v>
      </c>
      <c r="J32" s="71">
        <f t="shared" ref="J32:L32" si="18">J13*J31</f>
        <v>7650.1191899999994</v>
      </c>
      <c r="K32" s="71">
        <f t="shared" si="18"/>
        <v>7744.898909999999</v>
      </c>
      <c r="L32" s="71">
        <f t="shared" si="18"/>
        <v>7878.3761699999986</v>
      </c>
      <c r="M32" s="71"/>
      <c r="N32" s="85"/>
      <c r="O32" s="1"/>
      <c r="P32" s="84" t="s">
        <v>1275</v>
      </c>
      <c r="Q32" s="71">
        <f t="shared" ref="Q32:T32" si="19">Q13*Q31</f>
        <v>40.651076234999991</v>
      </c>
      <c r="R32" s="71">
        <f t="shared" si="19"/>
        <v>35.251369439999998</v>
      </c>
      <c r="S32" s="71">
        <f t="shared" si="19"/>
        <v>13.658685389999997</v>
      </c>
      <c r="T32" s="71">
        <f t="shared" si="19"/>
        <v>12.551375759999999</v>
      </c>
      <c r="U32" s="75"/>
      <c r="V32" s="85"/>
      <c r="W32" s="1"/>
      <c r="X32" s="84" t="s">
        <v>1276</v>
      </c>
      <c r="Y32" s="1583">
        <f>Y13*Y31</f>
        <v>4938.9929399999992</v>
      </c>
      <c r="Z32" s="85"/>
      <c r="AA32" s="1"/>
      <c r="AB32" s="376" t="s">
        <v>1277</v>
      </c>
      <c r="AC32" s="71">
        <f>AC13*AC31</f>
        <v>57722.818771064987</v>
      </c>
      <c r="AD32" s="1223"/>
    </row>
    <row r="33" spans="1:30" ht="15.75" customHeight="1">
      <c r="A33" s="1"/>
      <c r="B33" s="84" t="s">
        <v>1278</v>
      </c>
      <c r="C33" s="71">
        <f t="shared" ref="C33:E33" si="20">C32*0.0011023</f>
        <v>10.948572748091999</v>
      </c>
      <c r="D33" s="71">
        <f t="shared" si="20"/>
        <v>10.796143275938999</v>
      </c>
      <c r="E33" s="71">
        <f t="shared" si="20"/>
        <v>10.685909450957999</v>
      </c>
      <c r="F33" s="990">
        <f>SUM(C33:E33)</f>
        <v>32.430625474989</v>
      </c>
      <c r="G33" s="85" t="s">
        <v>1221</v>
      </c>
      <c r="H33" s="1"/>
      <c r="I33" s="84" t="s">
        <v>1279</v>
      </c>
      <c r="J33" s="71">
        <f t="shared" ref="J33:L33" si="21">J32*0.0011023</f>
        <v>8.4327263831370001</v>
      </c>
      <c r="K33" s="71">
        <f t="shared" si="21"/>
        <v>8.5372020684929986</v>
      </c>
      <c r="L33" s="71">
        <f t="shared" si="21"/>
        <v>8.6843340521909997</v>
      </c>
      <c r="M33" s="71">
        <f>SUM(J33:L33)</f>
        <v>25.654262503820995</v>
      </c>
      <c r="N33" s="85" t="s">
        <v>1221</v>
      </c>
      <c r="O33" s="1"/>
      <c r="P33" s="84" t="s">
        <v>1280</v>
      </c>
      <c r="Q33" s="71">
        <f t="shared" ref="Q33:T33" si="22">Q32*0.0011023</f>
        <v>4.4809681333840494E-2</v>
      </c>
      <c r="R33" s="71">
        <f t="shared" si="22"/>
        <v>3.8857584533711999E-2</v>
      </c>
      <c r="S33" s="71">
        <f t="shared" si="22"/>
        <v>1.5055968905396998E-2</v>
      </c>
      <c r="T33" s="71">
        <f t="shared" si="22"/>
        <v>1.3835381500248E-2</v>
      </c>
      <c r="U33" s="793">
        <v>9.8723234772949489E-2</v>
      </c>
      <c r="V33" s="85"/>
      <c r="W33" s="1"/>
      <c r="X33" s="84" t="s">
        <v>1281</v>
      </c>
      <c r="Y33" s="1583">
        <f>Y32*0.0011023</f>
        <v>5.4442519177619992</v>
      </c>
      <c r="Z33" s="85" t="s">
        <v>1221</v>
      </c>
      <c r="AA33" s="1"/>
      <c r="AB33" s="376" t="s">
        <v>1282</v>
      </c>
      <c r="AC33" s="71">
        <f>AC32*0.0011023</f>
        <v>63.627863131344938</v>
      </c>
      <c r="AD33" s="1223" t="s">
        <v>1221</v>
      </c>
    </row>
    <row r="34" spans="1:30" ht="15.75" customHeight="1">
      <c r="A34" s="1"/>
      <c r="B34" s="938"/>
      <c r="C34" s="995"/>
      <c r="D34" s="995"/>
      <c r="E34" s="995"/>
      <c r="F34" s="995"/>
      <c r="G34" s="1471"/>
      <c r="H34" s="1"/>
      <c r="I34" s="84"/>
      <c r="J34" s="75"/>
      <c r="K34" s="75"/>
      <c r="L34" s="75"/>
      <c r="M34" s="75"/>
      <c r="N34" s="85"/>
      <c r="O34" s="1"/>
      <c r="P34" s="84"/>
      <c r="Q34" s="75"/>
      <c r="R34" s="75"/>
      <c r="S34" s="75"/>
      <c r="T34" s="75"/>
      <c r="U34" s="75"/>
      <c r="V34" s="85"/>
      <c r="W34" s="1"/>
      <c r="X34" s="84"/>
      <c r="Y34" s="75"/>
      <c r="Z34" s="85"/>
      <c r="AA34" s="1"/>
      <c r="AB34" s="379"/>
      <c r="AC34" s="939"/>
      <c r="AD34" s="1600"/>
    </row>
    <row r="35" spans="1:30" ht="15.75" customHeight="1">
      <c r="A35" s="1"/>
      <c r="B35" s="1601" t="s">
        <v>1283</v>
      </c>
      <c r="C35" s="1602">
        <v>12.01</v>
      </c>
      <c r="D35" s="1602">
        <v>11.84</v>
      </c>
      <c r="E35" s="1602">
        <v>11.72</v>
      </c>
      <c r="F35" s="1603">
        <f>SUM(C35:E35)</f>
        <v>35.57</v>
      </c>
      <c r="G35" s="1604" t="s">
        <v>305</v>
      </c>
      <c r="H35" s="1"/>
      <c r="I35" s="1605" t="s">
        <v>1284</v>
      </c>
      <c r="J35" s="1606">
        <v>1.24E-2</v>
      </c>
      <c r="K35" s="1606">
        <v>9.1000000000000004E-3</v>
      </c>
      <c r="L35" s="1606">
        <v>7.3000000000000001E-3</v>
      </c>
      <c r="M35" s="1607">
        <f>SUM(J35:L35)</f>
        <v>2.8799999999999999E-2</v>
      </c>
      <c r="N35" s="1608" t="s">
        <v>1240</v>
      </c>
      <c r="O35" s="1"/>
      <c r="P35" s="1605" t="s">
        <v>1285</v>
      </c>
      <c r="Q35" s="1609">
        <v>1.14E-2</v>
      </c>
      <c r="R35" s="1609">
        <v>8.9999999999999993E-3</v>
      </c>
      <c r="S35" s="1609">
        <v>5.5399999999999998E-3</v>
      </c>
      <c r="T35" s="1609">
        <v>5.8399999999999997E-3</v>
      </c>
      <c r="U35" s="1610">
        <f>SUM(Q35:S35)</f>
        <v>2.5940000000000001E-2</v>
      </c>
      <c r="V35" s="1608" t="s">
        <v>1240</v>
      </c>
      <c r="W35" s="1"/>
      <c r="X35" s="1605" t="s">
        <v>1286</v>
      </c>
      <c r="Y35" s="1611">
        <v>0.5</v>
      </c>
      <c r="Z35" s="1608" t="s">
        <v>1240</v>
      </c>
      <c r="AA35" s="1"/>
      <c r="AB35" s="1612" t="s">
        <v>1287</v>
      </c>
      <c r="AC35" s="1607">
        <f>(F35+M35+U35+Y35)*$C$45</f>
        <v>9573.056099999998</v>
      </c>
      <c r="AD35" s="728"/>
    </row>
    <row r="36" spans="1:30" ht="15.75" customHeight="1">
      <c r="A36" s="1"/>
      <c r="B36" s="38"/>
      <c r="C36" s="39"/>
      <c r="D36" s="39"/>
      <c r="E36" s="39"/>
      <c r="F36" s="39"/>
      <c r="G36" s="56"/>
      <c r="H36" s="1"/>
      <c r="I36" s="39"/>
      <c r="J36" s="39"/>
      <c r="K36" s="39"/>
      <c r="L36" s="39"/>
      <c r="M36" s="39"/>
      <c r="N36" s="1613"/>
      <c r="O36" s="1"/>
      <c r="P36" s="1614"/>
      <c r="Q36" s="1615"/>
      <c r="R36" s="1615"/>
      <c r="S36" s="1615"/>
      <c r="T36" s="1615"/>
      <c r="U36" s="1615"/>
      <c r="V36" s="1613"/>
      <c r="W36" s="1"/>
      <c r="X36" s="38"/>
      <c r="Y36" s="39"/>
      <c r="Z36" s="56"/>
      <c r="AA36" s="1"/>
      <c r="AB36" s="301"/>
      <c r="AC36" s="388"/>
      <c r="AD36" s="733"/>
    </row>
    <row r="37" spans="1:30"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ht="15.75" customHeight="1">
      <c r="A38" s="1"/>
      <c r="B38" s="1"/>
      <c r="C38" s="221"/>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ht="15.75" customHeight="1">
      <c r="A41" s="1"/>
      <c r="B41" s="2237" t="s">
        <v>1</v>
      </c>
      <c r="C41" s="2238"/>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ht="15.75" customHeight="1">
      <c r="A42" s="1"/>
      <c r="B42" s="52"/>
      <c r="C42" s="52"/>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c r="A43" s="1"/>
      <c r="B43" s="53" t="s">
        <v>80</v>
      </c>
      <c r="C43" s="54">
        <f>Summary!E4</f>
        <v>1</v>
      </c>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ht="15.75" customHeight="1">
      <c r="A44" s="1"/>
      <c r="B44" s="53" t="s">
        <v>82</v>
      </c>
      <c r="C44" s="54">
        <f>Summary!E5</f>
        <v>28</v>
      </c>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ht="15.75" customHeight="1">
      <c r="A45" s="1"/>
      <c r="B45" s="53" t="s">
        <v>83</v>
      </c>
      <c r="C45" s="54">
        <f>Summary!E6</f>
        <v>265</v>
      </c>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ht="15.75" customHeight="1">
      <c r="A46" s="1"/>
      <c r="B46" s="53" t="s">
        <v>85</v>
      </c>
      <c r="C46" s="54">
        <f>Summary!E7</f>
        <v>23500</v>
      </c>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ht="15.75" customHeight="1">
      <c r="A47" s="1"/>
      <c r="B47" s="53"/>
      <c r="C47" s="54"/>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row r="249" spans="1:30" ht="15.75" customHeight="1"/>
    <row r="250" spans="1:30" ht="15.75" customHeight="1"/>
    <row r="251" spans="1:30" ht="15.75" customHeight="1"/>
    <row r="252" spans="1:30" ht="15.75" customHeight="1"/>
    <row r="253" spans="1:30" ht="15.75" customHeight="1"/>
    <row r="254" spans="1:30" ht="15.75" customHeight="1"/>
    <row r="255" spans="1:30" ht="15.75" customHeight="1"/>
    <row r="256" spans="1:3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1:C41"/>
  </mergeCells>
  <pageMargins left="0.7" right="0.7" top="0.75" bottom="0.75" header="0" footer="0"/>
  <pageSetup orientation="landscape"/>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defaultColWidth="16.85546875" defaultRowHeight="15" customHeight="1"/>
  <cols>
    <col min="1" max="1" width="2.85546875" customWidth="1"/>
    <col min="2" max="2" width="16.140625" customWidth="1"/>
    <col min="3" max="3" width="37.140625" customWidth="1"/>
    <col min="4" max="4" width="23.140625" customWidth="1"/>
    <col min="5" max="5" width="21.42578125" customWidth="1"/>
    <col min="6" max="6" width="23" customWidth="1"/>
    <col min="7" max="7" width="19.140625" customWidth="1"/>
    <col min="8" max="8" width="19.28515625" customWidth="1"/>
    <col min="9" max="9" width="19.85546875" customWidth="1"/>
    <col min="10" max="10" width="22.28515625" customWidth="1"/>
    <col min="11" max="11" width="21.140625" customWidth="1"/>
    <col min="12" max="12" width="19.28515625" customWidth="1"/>
    <col min="13" max="13" width="20.140625" customWidth="1"/>
    <col min="14" max="14" width="9.28515625" customWidth="1"/>
    <col min="15" max="15" width="30" customWidth="1"/>
    <col min="16" max="16" width="20.28515625" customWidth="1"/>
    <col min="17" max="23" width="9.28515625" customWidth="1"/>
    <col min="24" max="26" width="8" customWidth="1"/>
  </cols>
  <sheetData>
    <row r="1" spans="1:26" ht="21" customHeight="1">
      <c r="A1" s="2223" t="s">
        <v>1906</v>
      </c>
      <c r="B1" s="403"/>
      <c r="C1" s="404"/>
      <c r="D1" s="404"/>
      <c r="E1" s="404"/>
      <c r="F1" s="42"/>
      <c r="G1" s="404"/>
      <c r="H1" s="404"/>
      <c r="I1" s="404"/>
      <c r="J1" s="404"/>
      <c r="K1" s="404"/>
      <c r="L1" s="404"/>
      <c r="M1" s="404"/>
      <c r="N1" s="404"/>
      <c r="O1" s="404"/>
      <c r="P1" s="404"/>
      <c r="Q1" s="404"/>
      <c r="R1" s="404"/>
      <c r="S1" s="404"/>
      <c r="T1" s="404"/>
      <c r="U1" s="404"/>
      <c r="V1" s="404"/>
      <c r="W1" s="404"/>
      <c r="X1" s="404"/>
      <c r="Y1" s="404"/>
      <c r="Z1" s="404"/>
    </row>
    <row r="2" spans="1:26" ht="140.25" customHeight="1">
      <c r="A2" s="1"/>
      <c r="B2" s="1"/>
      <c r="C2" s="1"/>
      <c r="D2" s="1"/>
      <c r="E2" s="1"/>
      <c r="F2" s="1"/>
      <c r="G2" s="1"/>
      <c r="H2" s="1"/>
      <c r="I2" s="1"/>
      <c r="J2" s="1"/>
      <c r="K2" s="1"/>
      <c r="L2" s="1"/>
      <c r="M2" s="1"/>
      <c r="N2" s="1"/>
      <c r="O2" s="1"/>
      <c r="P2" s="1"/>
      <c r="Q2" s="1"/>
      <c r="R2" s="1"/>
      <c r="S2" s="1"/>
      <c r="T2" s="1"/>
      <c r="U2" s="1"/>
      <c r="V2" s="1"/>
      <c r="W2" s="1"/>
      <c r="X2" s="1"/>
      <c r="Y2" s="1"/>
      <c r="Z2" s="1"/>
    </row>
    <row r="3" spans="1:26" ht="14.4">
      <c r="A3" s="1"/>
      <c r="B3" s="405" t="s">
        <v>340</v>
      </c>
      <c r="C3" s="406"/>
      <c r="D3" s="1"/>
      <c r="E3" s="1"/>
      <c r="F3" s="1"/>
      <c r="G3" s="1"/>
      <c r="H3" s="1"/>
      <c r="I3" s="1"/>
      <c r="J3" s="1"/>
      <c r="K3" s="1"/>
      <c r="L3" s="1"/>
      <c r="M3" s="1"/>
      <c r="N3" s="1"/>
      <c r="O3" s="407" t="s">
        <v>341</v>
      </c>
      <c r="P3" s="408" t="s">
        <v>342</v>
      </c>
      <c r="Q3" s="408"/>
      <c r="R3" s="408"/>
      <c r="S3" s="408"/>
      <c r="T3" s="408"/>
      <c r="U3" s="408"/>
      <c r="V3" s="408"/>
      <c r="W3" s="408"/>
      <c r="X3" s="1"/>
      <c r="Y3" s="1"/>
      <c r="Z3" s="1"/>
    </row>
    <row r="4" spans="1:26" ht="14.4">
      <c r="A4" s="1"/>
      <c r="B4" s="1"/>
      <c r="C4" s="1"/>
      <c r="D4" s="1"/>
      <c r="E4" s="1"/>
      <c r="F4" s="1"/>
      <c r="G4" s="408"/>
      <c r="H4" s="1"/>
      <c r="I4" s="1"/>
      <c r="J4" s="1"/>
      <c r="K4" s="1"/>
      <c r="L4" s="1"/>
      <c r="M4" s="1"/>
      <c r="N4" s="1"/>
      <c r="O4" s="409" t="s">
        <v>343</v>
      </c>
      <c r="P4" s="408" t="s">
        <v>344</v>
      </c>
      <c r="Q4" s="1"/>
      <c r="R4" s="1"/>
      <c r="S4" s="1"/>
      <c r="T4" s="1"/>
      <c r="U4" s="1"/>
      <c r="V4" s="1"/>
      <c r="W4" s="1"/>
      <c r="X4" s="1"/>
      <c r="Y4" s="1"/>
      <c r="Z4" s="1"/>
    </row>
    <row r="5" spans="1:26" ht="14.4">
      <c r="A5" s="1"/>
      <c r="B5" s="1"/>
      <c r="C5" s="1"/>
      <c r="D5" s="1"/>
      <c r="E5" s="1"/>
      <c r="F5" s="1"/>
      <c r="G5" s="1"/>
      <c r="H5" s="1"/>
      <c r="I5" s="1"/>
      <c r="J5" s="1"/>
      <c r="K5" s="1"/>
      <c r="L5" s="1"/>
      <c r="M5" s="1"/>
      <c r="N5" s="1"/>
      <c r="O5" s="1"/>
      <c r="P5" s="1"/>
      <c r="Q5" s="1"/>
      <c r="R5" s="1"/>
      <c r="S5" s="1"/>
      <c r="T5" s="1"/>
      <c r="U5" s="1"/>
      <c r="V5" s="1"/>
      <c r="W5" s="1"/>
      <c r="X5" s="1"/>
      <c r="Y5" s="1"/>
      <c r="Z5" s="1"/>
    </row>
    <row r="6" spans="1:26" ht="14.4">
      <c r="A6" s="1"/>
      <c r="B6" s="1"/>
      <c r="C6" s="1"/>
      <c r="D6" s="1"/>
      <c r="E6" s="1"/>
      <c r="F6" s="1"/>
      <c r="G6" s="1"/>
      <c r="H6" s="1"/>
      <c r="I6" s="1"/>
      <c r="J6" s="1"/>
      <c r="K6" s="1"/>
      <c r="L6" s="1"/>
      <c r="M6" s="1"/>
      <c r="N6" s="1"/>
      <c r="O6" s="1"/>
      <c r="P6" s="1"/>
      <c r="Q6" s="1"/>
      <c r="R6" s="1"/>
      <c r="S6" s="1"/>
      <c r="T6" s="1"/>
      <c r="U6" s="1"/>
      <c r="V6" s="1"/>
      <c r="W6" s="1"/>
      <c r="X6" s="1"/>
      <c r="Y6" s="1"/>
      <c r="Z6" s="1"/>
    </row>
    <row r="7" spans="1:26" ht="15.6">
      <c r="A7" s="1"/>
      <c r="B7" s="410" t="s">
        <v>345</v>
      </c>
      <c r="C7" s="411" t="s">
        <v>346</v>
      </c>
      <c r="D7" s="411" t="s">
        <v>347</v>
      </c>
      <c r="E7" s="411" t="s">
        <v>348</v>
      </c>
      <c r="F7" s="411" t="s">
        <v>349</v>
      </c>
      <c r="G7" s="411" t="s">
        <v>350</v>
      </c>
      <c r="H7" s="411" t="s">
        <v>351</v>
      </c>
      <c r="I7" s="411" t="s">
        <v>352</v>
      </c>
      <c r="J7" s="412" t="s">
        <v>353</v>
      </c>
      <c r="K7" s="413" t="s">
        <v>354</v>
      </c>
      <c r="L7" s="411" t="s">
        <v>355</v>
      </c>
      <c r="M7" s="414" t="s">
        <v>356</v>
      </c>
      <c r="N7" s="1"/>
      <c r="O7" s="260" t="s">
        <v>357</v>
      </c>
      <c r="P7" s="41" t="s">
        <v>358</v>
      </c>
      <c r="Q7" s="1"/>
      <c r="R7" s="1"/>
      <c r="S7" s="1"/>
      <c r="T7" s="1"/>
      <c r="U7" s="1"/>
      <c r="V7" s="1"/>
      <c r="W7" s="1"/>
      <c r="X7" s="1"/>
      <c r="Y7" s="1"/>
      <c r="Z7" s="1"/>
    </row>
    <row r="8" spans="1:26" ht="14.4">
      <c r="A8" s="1"/>
      <c r="B8" s="415"/>
      <c r="C8" s="416"/>
      <c r="D8" s="416"/>
      <c r="E8" s="416"/>
      <c r="F8" s="416"/>
      <c r="G8" s="416"/>
      <c r="H8" s="416"/>
      <c r="I8" s="416"/>
      <c r="J8" s="417" t="s">
        <v>359</v>
      </c>
      <c r="K8" s="418" t="s">
        <v>316</v>
      </c>
      <c r="L8" s="416" t="s">
        <v>316</v>
      </c>
      <c r="M8" s="419" t="s">
        <v>316</v>
      </c>
      <c r="N8" s="1"/>
      <c r="O8" s="260" t="s">
        <v>359</v>
      </c>
      <c r="P8" s="41" t="s">
        <v>263</v>
      </c>
      <c r="Q8" s="1"/>
      <c r="R8" s="1"/>
      <c r="S8" s="1"/>
      <c r="T8" s="1"/>
      <c r="U8" s="1"/>
      <c r="V8" s="1"/>
      <c r="W8" s="1"/>
      <c r="X8" s="1"/>
      <c r="Y8" s="1"/>
      <c r="Z8" s="1"/>
    </row>
    <row r="9" spans="1:26" ht="14.4">
      <c r="A9" s="1"/>
      <c r="B9" s="420"/>
      <c r="C9" s="421"/>
      <c r="D9" s="421"/>
      <c r="E9" s="421"/>
      <c r="F9" s="421"/>
      <c r="G9" s="421"/>
      <c r="H9" s="422"/>
      <c r="I9" s="421"/>
      <c r="J9" s="423"/>
      <c r="K9" s="424"/>
      <c r="L9" s="421"/>
      <c r="M9" s="425"/>
      <c r="N9" s="1"/>
      <c r="O9" s="75"/>
      <c r="P9" s="1"/>
      <c r="Q9" s="1"/>
      <c r="R9" s="1"/>
      <c r="S9" s="1"/>
      <c r="T9" s="1"/>
      <c r="U9" s="1"/>
      <c r="V9" s="1"/>
      <c r="W9" s="1"/>
      <c r="X9" s="1"/>
      <c r="Y9" s="1"/>
      <c r="Z9" s="1"/>
    </row>
    <row r="10" spans="1:26" ht="14.4">
      <c r="A10" s="1"/>
      <c r="B10" s="426" t="s">
        <v>360</v>
      </c>
      <c r="C10" s="427" t="s">
        <v>361</v>
      </c>
      <c r="D10" s="428"/>
      <c r="E10" s="428"/>
      <c r="F10" s="428"/>
      <c r="G10" s="428"/>
      <c r="H10" s="429"/>
      <c r="I10" s="428"/>
      <c r="J10" s="430"/>
      <c r="K10" s="431"/>
      <c r="L10" s="428"/>
      <c r="M10" s="432"/>
      <c r="N10" s="1"/>
      <c r="O10" s="75"/>
      <c r="P10" s="1"/>
      <c r="Q10" s="1"/>
      <c r="R10" s="1"/>
      <c r="S10" s="1"/>
      <c r="T10" s="1"/>
      <c r="U10" s="1"/>
      <c r="V10" s="1"/>
      <c r="W10" s="1"/>
      <c r="X10" s="1"/>
      <c r="Y10" s="1"/>
      <c r="Z10" s="1"/>
    </row>
    <row r="11" spans="1:26" ht="14.4">
      <c r="A11" s="1"/>
      <c r="B11" s="433"/>
      <c r="C11" s="434" t="s">
        <v>362</v>
      </c>
      <c r="D11" s="435" t="s">
        <v>363</v>
      </c>
      <c r="E11" s="421" t="s">
        <v>293</v>
      </c>
      <c r="F11" s="422">
        <v>711214</v>
      </c>
      <c r="G11" s="421" t="s">
        <v>364</v>
      </c>
      <c r="H11" s="422">
        <v>11080</v>
      </c>
      <c r="I11" s="421" t="s">
        <v>365</v>
      </c>
      <c r="J11" s="436">
        <v>15857480</v>
      </c>
      <c r="K11" s="437">
        <v>1624579.0892771983</v>
      </c>
      <c r="L11" s="438">
        <v>192.13746850227773</v>
      </c>
      <c r="M11" s="439">
        <v>27.95199068628779</v>
      </c>
      <c r="N11" s="1"/>
      <c r="O11" s="75" t="s">
        <v>341</v>
      </c>
      <c r="P11" s="1"/>
      <c r="Q11" s="1"/>
      <c r="R11" s="1"/>
      <c r="S11" s="1"/>
      <c r="T11" s="1"/>
      <c r="U11" s="1"/>
      <c r="V11" s="1"/>
      <c r="W11" s="1"/>
      <c r="X11" s="1"/>
      <c r="Y11" s="1"/>
      <c r="Z11" s="1"/>
    </row>
    <row r="12" spans="1:26" ht="14.4">
      <c r="A12" s="1"/>
      <c r="B12" s="440"/>
      <c r="C12" s="441"/>
      <c r="D12" s="442"/>
      <c r="E12" s="441"/>
      <c r="F12" s="443"/>
      <c r="G12" s="441"/>
      <c r="H12" s="443"/>
      <c r="I12" s="441"/>
      <c r="J12" s="444"/>
      <c r="K12" s="445"/>
      <c r="L12" s="446"/>
      <c r="M12" s="447"/>
      <c r="N12" s="1"/>
      <c r="O12" s="75"/>
      <c r="P12" s="1"/>
      <c r="Q12" s="1"/>
      <c r="R12" s="1"/>
      <c r="S12" s="1"/>
      <c r="T12" s="1"/>
      <c r="U12" s="1"/>
      <c r="V12" s="1"/>
      <c r="W12" s="1"/>
      <c r="X12" s="1"/>
      <c r="Y12" s="1"/>
      <c r="Z12" s="1"/>
    </row>
    <row r="13" spans="1:26" ht="14.4">
      <c r="A13" s="1"/>
      <c r="B13" s="426" t="s">
        <v>366</v>
      </c>
      <c r="C13" s="427" t="s">
        <v>367</v>
      </c>
      <c r="D13" s="448"/>
      <c r="E13" s="428"/>
      <c r="F13" s="429"/>
      <c r="G13" s="428"/>
      <c r="H13" s="429"/>
      <c r="I13" s="428"/>
      <c r="J13" s="449"/>
      <c r="K13" s="450"/>
      <c r="L13" s="451"/>
      <c r="M13" s="452"/>
      <c r="N13" s="1"/>
      <c r="O13" s="75"/>
      <c r="P13" s="1"/>
      <c r="Q13" s="1"/>
      <c r="R13" s="1"/>
      <c r="S13" s="1"/>
      <c r="T13" s="1"/>
      <c r="U13" s="1"/>
      <c r="V13" s="1"/>
      <c r="W13" s="1"/>
      <c r="X13" s="1"/>
      <c r="Y13" s="1"/>
      <c r="Z13" s="1"/>
    </row>
    <row r="14" spans="1:26" ht="14.4">
      <c r="A14" s="1"/>
      <c r="B14" s="420"/>
      <c r="C14" s="421" t="s">
        <v>368</v>
      </c>
      <c r="D14" s="435" t="s">
        <v>369</v>
      </c>
      <c r="E14" s="421" t="s">
        <v>370</v>
      </c>
      <c r="F14" s="422">
        <v>1246119</v>
      </c>
      <c r="G14" s="421" t="s">
        <v>364</v>
      </c>
      <c r="H14" s="422">
        <v>11356</v>
      </c>
      <c r="I14" s="421" t="s">
        <v>365</v>
      </c>
      <c r="J14" s="436">
        <v>28301854.728</v>
      </c>
      <c r="K14" s="437">
        <v>3333229.3197316821</v>
      </c>
      <c r="L14" s="438">
        <v>24.999867394553135</v>
      </c>
      <c r="M14" s="439">
        <v>18.799900280703959</v>
      </c>
      <c r="N14" s="1"/>
      <c r="O14" s="75" t="s">
        <v>371</v>
      </c>
      <c r="P14" s="1"/>
      <c r="Q14" s="1"/>
      <c r="R14" s="1"/>
      <c r="S14" s="1"/>
      <c r="T14" s="1"/>
      <c r="U14" s="1"/>
      <c r="V14" s="1"/>
      <c r="W14" s="1"/>
      <c r="X14" s="1"/>
      <c r="Y14" s="1"/>
      <c r="Z14" s="1"/>
    </row>
    <row r="15" spans="1:26" ht="14.4">
      <c r="A15" s="1"/>
      <c r="B15" s="420"/>
      <c r="C15" s="421"/>
      <c r="D15" s="435"/>
      <c r="E15" s="421"/>
      <c r="F15" s="422"/>
      <c r="G15" s="421"/>
      <c r="H15" s="422"/>
      <c r="I15" s="421"/>
      <c r="J15" s="436"/>
      <c r="K15" s="437"/>
      <c r="L15" s="438"/>
      <c r="M15" s="439"/>
      <c r="N15" s="1"/>
      <c r="O15" s="75"/>
      <c r="P15" s="1"/>
      <c r="Q15" s="1"/>
      <c r="R15" s="1"/>
      <c r="S15" s="1"/>
      <c r="T15" s="1"/>
      <c r="U15" s="1"/>
      <c r="V15" s="1"/>
      <c r="W15" s="1"/>
      <c r="X15" s="1"/>
      <c r="Y15" s="1"/>
      <c r="Z15" s="1"/>
    </row>
    <row r="16" spans="1:26" ht="14.4">
      <c r="A16" s="1"/>
      <c r="B16" s="420"/>
      <c r="C16" s="421" t="s">
        <v>372</v>
      </c>
      <c r="D16" s="435" t="s">
        <v>373</v>
      </c>
      <c r="E16" s="421" t="s">
        <v>370</v>
      </c>
      <c r="F16" s="422">
        <v>1390302</v>
      </c>
      <c r="G16" s="421" t="s">
        <v>364</v>
      </c>
      <c r="H16" s="422">
        <v>11356</v>
      </c>
      <c r="I16" s="421" t="s">
        <v>365</v>
      </c>
      <c r="J16" s="436">
        <v>31576539.024</v>
      </c>
      <c r="K16" s="437">
        <v>3277154.4769623112</v>
      </c>
      <c r="L16" s="438">
        <v>27.899842305318785</v>
      </c>
      <c r="M16" s="439">
        <v>20.999881305078652</v>
      </c>
      <c r="N16" s="1"/>
      <c r="O16" s="75" t="s">
        <v>371</v>
      </c>
      <c r="P16" s="1"/>
      <c r="Q16" s="1"/>
      <c r="R16" s="1"/>
      <c r="S16" s="1"/>
      <c r="T16" s="1"/>
      <c r="U16" s="1"/>
      <c r="V16" s="1"/>
      <c r="W16" s="1"/>
      <c r="X16" s="1"/>
      <c r="Y16" s="1"/>
      <c r="Z16" s="1"/>
    </row>
    <row r="17" spans="1:26" ht="14.4">
      <c r="A17" s="1"/>
      <c r="B17" s="440"/>
      <c r="C17" s="441"/>
      <c r="D17" s="442"/>
      <c r="E17" s="441"/>
      <c r="F17" s="443"/>
      <c r="G17" s="441"/>
      <c r="H17" s="443"/>
      <c r="I17" s="441"/>
      <c r="J17" s="444"/>
      <c r="K17" s="445"/>
      <c r="L17" s="446"/>
      <c r="M17" s="447"/>
      <c r="N17" s="1"/>
      <c r="O17" s="75"/>
      <c r="P17" s="1"/>
      <c r="Q17" s="1"/>
      <c r="R17" s="1"/>
      <c r="S17" s="1"/>
      <c r="T17" s="1"/>
      <c r="U17" s="1"/>
      <c r="V17" s="1"/>
      <c r="W17" s="1"/>
      <c r="X17" s="1"/>
      <c r="Y17" s="1"/>
      <c r="Z17" s="1"/>
    </row>
    <row r="18" spans="1:26" ht="14.4">
      <c r="A18" s="1"/>
      <c r="B18" s="426" t="s">
        <v>374</v>
      </c>
      <c r="C18" s="427" t="s">
        <v>375</v>
      </c>
      <c r="D18" s="448"/>
      <c r="E18" s="428"/>
      <c r="F18" s="429"/>
      <c r="G18" s="428"/>
      <c r="H18" s="429"/>
      <c r="I18" s="428"/>
      <c r="J18" s="449"/>
      <c r="K18" s="450"/>
      <c r="L18" s="451"/>
      <c r="M18" s="452"/>
      <c r="N18" s="1"/>
      <c r="O18" s="75"/>
      <c r="P18" s="1"/>
      <c r="Q18" s="1"/>
      <c r="R18" s="1"/>
      <c r="S18" s="1"/>
      <c r="T18" s="1"/>
      <c r="U18" s="1"/>
      <c r="V18" s="1"/>
      <c r="W18" s="1"/>
      <c r="X18" s="1"/>
      <c r="Y18" s="1"/>
      <c r="Z18" s="1"/>
    </row>
    <row r="19" spans="1:26" ht="14.4">
      <c r="A19" s="1"/>
      <c r="B19" s="420"/>
      <c r="C19" s="421" t="s">
        <v>376</v>
      </c>
      <c r="D19" s="435" t="s">
        <v>377</v>
      </c>
      <c r="E19" s="421" t="s">
        <v>370</v>
      </c>
      <c r="F19" s="422">
        <v>292475</v>
      </c>
      <c r="G19" s="421" t="s">
        <v>364</v>
      </c>
      <c r="H19" s="422">
        <v>11356</v>
      </c>
      <c r="I19" s="421" t="s">
        <v>365</v>
      </c>
      <c r="J19" s="436">
        <v>5451461</v>
      </c>
      <c r="K19" s="437">
        <v>571745.729123089</v>
      </c>
      <c r="L19" s="438">
        <v>1.5285499572084535</v>
      </c>
      <c r="M19" s="439">
        <v>13.056775118348337</v>
      </c>
      <c r="N19" s="1"/>
      <c r="O19" s="75" t="s">
        <v>371</v>
      </c>
      <c r="P19" s="1"/>
      <c r="Q19" s="1"/>
      <c r="R19" s="1"/>
      <c r="S19" s="1"/>
      <c r="T19" s="1"/>
      <c r="U19" s="1"/>
      <c r="V19" s="1"/>
      <c r="W19" s="1"/>
      <c r="X19" s="1"/>
      <c r="Y19" s="1"/>
      <c r="Z19" s="1"/>
    </row>
    <row r="20" spans="1:26" ht="14.4">
      <c r="A20" s="1"/>
      <c r="B20" s="420"/>
      <c r="C20" s="421"/>
      <c r="D20" s="435"/>
      <c r="E20" s="421"/>
      <c r="F20" s="422"/>
      <c r="G20" s="421"/>
      <c r="H20" s="422"/>
      <c r="I20" s="421"/>
      <c r="J20" s="436"/>
      <c r="K20" s="437"/>
      <c r="L20" s="438"/>
      <c r="M20" s="439"/>
      <c r="N20" s="1"/>
      <c r="O20" s="75"/>
      <c r="P20" s="1"/>
      <c r="Q20" s="1"/>
      <c r="R20" s="1"/>
      <c r="S20" s="1"/>
      <c r="T20" s="1"/>
      <c r="U20" s="1"/>
      <c r="V20" s="1"/>
      <c r="W20" s="1"/>
      <c r="X20" s="1"/>
      <c r="Y20" s="1"/>
      <c r="Z20" s="1"/>
    </row>
    <row r="21" spans="1:26" ht="15.75" customHeight="1">
      <c r="A21" s="1"/>
      <c r="B21" s="420"/>
      <c r="C21" s="421" t="s">
        <v>378</v>
      </c>
      <c r="D21" s="435" t="s">
        <v>379</v>
      </c>
      <c r="E21" s="421" t="s">
        <v>370</v>
      </c>
      <c r="F21" s="422">
        <v>296297</v>
      </c>
      <c r="G21" s="421" t="s">
        <v>364</v>
      </c>
      <c r="H21" s="422">
        <v>11356</v>
      </c>
      <c r="I21" s="421" t="s">
        <v>365</v>
      </c>
      <c r="J21" s="436">
        <v>6257182</v>
      </c>
      <c r="K21" s="437">
        <v>656254.33338566741</v>
      </c>
      <c r="L21" s="438">
        <v>1.5349866627247293</v>
      </c>
      <c r="M21" s="439">
        <v>13.270207277749272</v>
      </c>
      <c r="N21" s="1"/>
      <c r="O21" s="75" t="s">
        <v>371</v>
      </c>
      <c r="P21" s="1"/>
      <c r="Q21" s="1"/>
      <c r="R21" s="1"/>
      <c r="S21" s="1"/>
      <c r="T21" s="1"/>
      <c r="U21" s="1"/>
      <c r="V21" s="1"/>
      <c r="W21" s="1"/>
      <c r="X21" s="1"/>
      <c r="Y21" s="1"/>
      <c r="Z21" s="1"/>
    </row>
    <row r="22" spans="1:26" ht="15.75" customHeight="1">
      <c r="A22" s="1"/>
      <c r="B22" s="440"/>
      <c r="C22" s="441"/>
      <c r="D22" s="442"/>
      <c r="E22" s="441"/>
      <c r="F22" s="443"/>
      <c r="G22" s="441"/>
      <c r="H22" s="443"/>
      <c r="I22" s="441"/>
      <c r="J22" s="444"/>
      <c r="K22" s="445"/>
      <c r="L22" s="446"/>
      <c r="M22" s="447"/>
      <c r="N22" s="1"/>
      <c r="O22" s="75"/>
      <c r="P22" s="1"/>
      <c r="Q22" s="1"/>
      <c r="R22" s="1"/>
      <c r="S22" s="1"/>
      <c r="T22" s="1"/>
      <c r="U22" s="1"/>
      <c r="V22" s="1"/>
      <c r="W22" s="1"/>
      <c r="X22" s="1"/>
      <c r="Y22" s="1"/>
      <c r="Z22" s="1"/>
    </row>
    <row r="23" spans="1:26" ht="15.75" customHeight="1">
      <c r="A23" s="1"/>
      <c r="B23" s="426" t="s">
        <v>380</v>
      </c>
      <c r="C23" s="427" t="s">
        <v>381</v>
      </c>
      <c r="D23" s="448"/>
      <c r="E23" s="428"/>
      <c r="F23" s="429"/>
      <c r="G23" s="428"/>
      <c r="H23" s="429"/>
      <c r="I23" s="428"/>
      <c r="J23" s="449"/>
      <c r="K23" s="450"/>
      <c r="L23" s="451"/>
      <c r="M23" s="452"/>
      <c r="N23" s="1"/>
      <c r="O23" s="75"/>
      <c r="P23" s="1"/>
      <c r="Q23" s="1"/>
      <c r="R23" s="1"/>
      <c r="S23" s="1"/>
      <c r="T23" s="1"/>
      <c r="U23" s="1"/>
      <c r="V23" s="1"/>
      <c r="W23" s="1"/>
      <c r="X23" s="1"/>
      <c r="Y23" s="1"/>
      <c r="Z23" s="1"/>
    </row>
    <row r="24" spans="1:26" ht="15.75" customHeight="1">
      <c r="A24" s="1"/>
      <c r="B24" s="420"/>
      <c r="C24" s="421"/>
      <c r="D24" s="435"/>
      <c r="E24" s="421"/>
      <c r="F24" s="422"/>
      <c r="G24" s="421"/>
      <c r="H24" s="422"/>
      <c r="I24" s="421"/>
      <c r="J24" s="436"/>
      <c r="K24" s="437"/>
      <c r="L24" s="438"/>
      <c r="M24" s="439"/>
      <c r="N24" s="1"/>
      <c r="O24" s="75"/>
      <c r="P24" s="1"/>
      <c r="Q24" s="1"/>
      <c r="R24" s="1"/>
      <c r="S24" s="1"/>
      <c r="T24" s="1"/>
      <c r="U24" s="1"/>
      <c r="V24" s="1"/>
      <c r="W24" s="1"/>
      <c r="X24" s="1"/>
      <c r="Y24" s="1"/>
      <c r="Z24" s="1"/>
    </row>
    <row r="25" spans="1:26" ht="15.75" customHeight="1">
      <c r="A25" s="1"/>
      <c r="B25" s="420"/>
      <c r="C25" s="421" t="s">
        <v>382</v>
      </c>
      <c r="D25" s="435" t="s">
        <v>369</v>
      </c>
      <c r="E25" s="421" t="s">
        <v>293</v>
      </c>
      <c r="F25" s="422">
        <v>575093</v>
      </c>
      <c r="G25" s="421" t="s">
        <v>364</v>
      </c>
      <c r="H25" s="422">
        <v>12971</v>
      </c>
      <c r="I25" s="421" t="s">
        <v>383</v>
      </c>
      <c r="J25" s="436">
        <v>14919062.606000001</v>
      </c>
      <c r="K25" s="437">
        <v>1609435.734807441</v>
      </c>
      <c r="L25" s="438">
        <v>11.762627550617387</v>
      </c>
      <c r="M25" s="439">
        <v>9.4140658576971514</v>
      </c>
      <c r="N25" s="1"/>
      <c r="O25" s="75" t="s">
        <v>371</v>
      </c>
      <c r="P25" s="1"/>
      <c r="Q25" s="1"/>
      <c r="R25" s="1"/>
      <c r="S25" s="1"/>
      <c r="T25" s="1"/>
      <c r="U25" s="1"/>
      <c r="V25" s="1"/>
      <c r="W25" s="1"/>
      <c r="X25" s="1"/>
      <c r="Y25" s="1"/>
      <c r="Z25" s="1"/>
    </row>
    <row r="26" spans="1:26" ht="15.75" customHeight="1">
      <c r="A26" s="1"/>
      <c r="B26" s="420"/>
      <c r="C26" s="421"/>
      <c r="D26" s="435"/>
      <c r="E26" s="421"/>
      <c r="F26" s="422"/>
      <c r="G26" s="421"/>
      <c r="H26" s="422"/>
      <c r="I26" s="421"/>
      <c r="J26" s="436"/>
      <c r="K26" s="437"/>
      <c r="L26" s="438"/>
      <c r="M26" s="439"/>
      <c r="N26" s="1"/>
      <c r="O26" s="75"/>
      <c r="P26" s="1"/>
      <c r="Q26" s="1"/>
      <c r="R26" s="1"/>
      <c r="S26" s="1"/>
      <c r="T26" s="1"/>
      <c r="U26" s="1"/>
      <c r="V26" s="1"/>
      <c r="W26" s="1"/>
      <c r="X26" s="1"/>
      <c r="Y26" s="1"/>
      <c r="Z26" s="1"/>
    </row>
    <row r="27" spans="1:26" ht="15.75" customHeight="1">
      <c r="A27" s="1"/>
      <c r="B27" s="420"/>
      <c r="C27" s="421" t="s">
        <v>384</v>
      </c>
      <c r="D27" s="435" t="s">
        <v>373</v>
      </c>
      <c r="E27" s="421" t="s">
        <v>293</v>
      </c>
      <c r="F27" s="422">
        <v>781584</v>
      </c>
      <c r="G27" s="421" t="s">
        <v>364</v>
      </c>
      <c r="H27" s="422">
        <v>12976</v>
      </c>
      <c r="I27" s="421" t="s">
        <v>383</v>
      </c>
      <c r="J27" s="436">
        <v>20283667.967999998</v>
      </c>
      <c r="K27" s="437">
        <v>2177032.1726198266</v>
      </c>
      <c r="L27" s="438">
        <v>15.912165354062218</v>
      </c>
      <c r="M27" s="439">
        <v>12.729732283249774</v>
      </c>
      <c r="N27" s="1"/>
      <c r="O27" s="75" t="s">
        <v>371</v>
      </c>
      <c r="P27" s="1"/>
      <c r="Q27" s="1"/>
      <c r="R27" s="1"/>
      <c r="S27" s="1"/>
      <c r="T27" s="1"/>
      <c r="U27" s="1"/>
      <c r="V27" s="1"/>
      <c r="W27" s="1"/>
      <c r="X27" s="1"/>
      <c r="Y27" s="1"/>
      <c r="Z27" s="1"/>
    </row>
    <row r="28" spans="1:26" ht="15.75" customHeight="1">
      <c r="A28" s="1"/>
      <c r="B28" s="440"/>
      <c r="C28" s="441"/>
      <c r="D28" s="442"/>
      <c r="E28" s="441"/>
      <c r="F28" s="443"/>
      <c r="G28" s="441"/>
      <c r="H28" s="443"/>
      <c r="I28" s="441"/>
      <c r="J28" s="444"/>
      <c r="K28" s="445"/>
      <c r="L28" s="446"/>
      <c r="M28" s="447"/>
      <c r="N28" s="1"/>
      <c r="O28" s="75"/>
      <c r="P28" s="1"/>
      <c r="Q28" s="1"/>
      <c r="R28" s="1"/>
      <c r="S28" s="1"/>
      <c r="T28" s="1"/>
      <c r="U28" s="1"/>
      <c r="V28" s="1"/>
      <c r="W28" s="1"/>
      <c r="X28" s="1"/>
      <c r="Y28" s="1"/>
      <c r="Z28" s="1"/>
    </row>
    <row r="29" spans="1:26" ht="15.75" customHeight="1">
      <c r="A29" s="1"/>
      <c r="B29" s="426" t="s">
        <v>385</v>
      </c>
      <c r="C29" s="427" t="s">
        <v>386</v>
      </c>
      <c r="D29" s="448"/>
      <c r="E29" s="428"/>
      <c r="F29" s="429"/>
      <c r="G29" s="428"/>
      <c r="H29" s="429"/>
      <c r="I29" s="428"/>
      <c r="J29" s="449"/>
      <c r="K29" s="450"/>
      <c r="L29" s="451"/>
      <c r="M29" s="452"/>
      <c r="N29" s="1"/>
      <c r="O29" s="75"/>
      <c r="P29" s="1"/>
      <c r="Q29" s="1"/>
      <c r="R29" s="1"/>
      <c r="S29" s="1"/>
      <c r="T29" s="1"/>
      <c r="U29" s="1"/>
      <c r="V29" s="1"/>
      <c r="W29" s="1"/>
      <c r="X29" s="1"/>
      <c r="Y29" s="1"/>
      <c r="Z29" s="1"/>
    </row>
    <row r="30" spans="1:26" ht="15.75" customHeight="1">
      <c r="A30" s="1"/>
      <c r="B30" s="420"/>
      <c r="C30" s="421" t="s">
        <v>387</v>
      </c>
      <c r="D30" s="435" t="s">
        <v>373</v>
      </c>
      <c r="E30" s="421" t="s">
        <v>370</v>
      </c>
      <c r="F30" s="422">
        <v>199564</v>
      </c>
      <c r="G30" s="421" t="s">
        <v>364</v>
      </c>
      <c r="H30" s="422">
        <v>24</v>
      </c>
      <c r="I30" s="421" t="s">
        <v>388</v>
      </c>
      <c r="J30" s="436">
        <v>4789536</v>
      </c>
      <c r="K30" s="453">
        <v>525116.26597364293</v>
      </c>
      <c r="L30" s="438">
        <v>3.9634557151596383</v>
      </c>
      <c r="M30" s="439">
        <v>3.0122263435213257</v>
      </c>
      <c r="N30" s="1"/>
      <c r="O30" s="75" t="s">
        <v>371</v>
      </c>
      <c r="P30" s="1"/>
      <c r="Q30" s="1"/>
      <c r="R30" s="1"/>
      <c r="S30" s="1"/>
      <c r="T30" s="1"/>
      <c r="U30" s="1"/>
      <c r="V30" s="1"/>
      <c r="W30" s="1"/>
      <c r="X30" s="1"/>
      <c r="Y30" s="1"/>
      <c r="Z30" s="1"/>
    </row>
    <row r="31" spans="1:26" ht="15.75" customHeight="1">
      <c r="A31" s="1"/>
      <c r="B31" s="420"/>
      <c r="C31" s="421"/>
      <c r="D31" s="435"/>
      <c r="E31" s="421"/>
      <c r="F31" s="422"/>
      <c r="G31" s="421"/>
      <c r="H31" s="422"/>
      <c r="I31" s="421"/>
      <c r="J31" s="436"/>
      <c r="K31" s="437"/>
      <c r="L31" s="438"/>
      <c r="M31" s="439"/>
      <c r="N31" s="1"/>
      <c r="O31" s="75"/>
      <c r="P31" s="1"/>
      <c r="Q31" s="1"/>
      <c r="R31" s="1"/>
      <c r="S31" s="1"/>
      <c r="T31" s="1"/>
      <c r="U31" s="1"/>
      <c r="V31" s="1"/>
      <c r="W31" s="1"/>
      <c r="X31" s="1"/>
      <c r="Y31" s="1"/>
      <c r="Z31" s="1"/>
    </row>
    <row r="32" spans="1:26" ht="15.75" customHeight="1">
      <c r="A32" s="1"/>
      <c r="B32" s="420"/>
      <c r="C32" s="421" t="s">
        <v>389</v>
      </c>
      <c r="D32" s="435" t="s">
        <v>390</v>
      </c>
      <c r="E32" s="421" t="s">
        <v>370</v>
      </c>
      <c r="F32" s="422">
        <v>466140</v>
      </c>
      <c r="G32" s="421" t="s">
        <v>364</v>
      </c>
      <c r="H32" s="422">
        <v>24</v>
      </c>
      <c r="I32" s="421" t="s">
        <v>388</v>
      </c>
      <c r="J32" s="436">
        <v>11187360</v>
      </c>
      <c r="K32" s="437">
        <v>1164559.7234139137</v>
      </c>
      <c r="L32" s="438">
        <v>9.2040739734544754</v>
      </c>
      <c r="M32" s="439">
        <v>4.5755887880307072E-2</v>
      </c>
      <c r="N32" s="1"/>
      <c r="O32" s="75" t="s">
        <v>371</v>
      </c>
      <c r="P32" s="1"/>
      <c r="Q32" s="1"/>
      <c r="R32" s="1"/>
      <c r="S32" s="1"/>
      <c r="T32" s="1"/>
      <c r="U32" s="1"/>
      <c r="V32" s="1"/>
      <c r="W32" s="1"/>
      <c r="X32" s="1"/>
      <c r="Y32" s="1"/>
      <c r="Z32" s="1"/>
    </row>
    <row r="33" spans="1:26" ht="15.75" customHeight="1">
      <c r="A33" s="1"/>
      <c r="B33" s="440"/>
      <c r="C33" s="441"/>
      <c r="D33" s="442"/>
      <c r="E33" s="441"/>
      <c r="F33" s="443"/>
      <c r="G33" s="441"/>
      <c r="H33" s="443"/>
      <c r="I33" s="441"/>
      <c r="J33" s="444"/>
      <c r="K33" s="445"/>
      <c r="L33" s="446"/>
      <c r="M33" s="447"/>
      <c r="N33" s="1"/>
      <c r="O33" s="75"/>
      <c r="P33" s="1"/>
      <c r="Q33" s="1"/>
      <c r="R33" s="1"/>
      <c r="S33" s="1"/>
      <c r="T33" s="1"/>
      <c r="U33" s="1"/>
      <c r="V33" s="1"/>
      <c r="W33" s="1"/>
      <c r="X33" s="1"/>
      <c r="Y33" s="1"/>
      <c r="Z33" s="1"/>
    </row>
    <row r="34" spans="1:26" ht="15.75" customHeight="1">
      <c r="A34" s="1"/>
      <c r="B34" s="426" t="s">
        <v>391</v>
      </c>
      <c r="C34" s="427" t="s">
        <v>392</v>
      </c>
      <c r="D34" s="448"/>
      <c r="E34" s="428"/>
      <c r="F34" s="429"/>
      <c r="G34" s="428"/>
      <c r="H34" s="429"/>
      <c r="I34" s="428"/>
      <c r="J34" s="449"/>
      <c r="K34" s="450"/>
      <c r="L34" s="451"/>
      <c r="M34" s="452"/>
      <c r="N34" s="1"/>
      <c r="O34" s="75"/>
      <c r="P34" s="1"/>
      <c r="Q34" s="1"/>
      <c r="R34" s="1"/>
      <c r="S34" s="1"/>
      <c r="T34" s="1"/>
      <c r="U34" s="1"/>
      <c r="V34" s="1"/>
      <c r="W34" s="1"/>
      <c r="X34" s="1"/>
      <c r="Y34" s="1"/>
      <c r="Z34" s="1"/>
    </row>
    <row r="35" spans="1:26" ht="15.75" customHeight="1">
      <c r="A35" s="1"/>
      <c r="B35" s="420"/>
      <c r="C35" s="421" t="s">
        <v>393</v>
      </c>
      <c r="D35" s="435" t="s">
        <v>394</v>
      </c>
      <c r="E35" s="421" t="s">
        <v>293</v>
      </c>
      <c r="F35" s="422">
        <v>6836</v>
      </c>
      <c r="G35" s="421" t="s">
        <v>364</v>
      </c>
      <c r="H35" s="422">
        <v>11260</v>
      </c>
      <c r="I35" s="421" t="s">
        <v>365</v>
      </c>
      <c r="J35" s="436">
        <v>153946.72</v>
      </c>
      <c r="K35" s="437">
        <v>18404.817463953248</v>
      </c>
      <c r="L35" s="438">
        <v>9.6204157984178806E-2</v>
      </c>
      <c r="M35" s="439">
        <v>9.6204157984178806E-2</v>
      </c>
      <c r="N35" s="1"/>
      <c r="O35" s="75" t="s">
        <v>371</v>
      </c>
      <c r="P35" s="1"/>
      <c r="Q35" s="1"/>
      <c r="R35" s="1"/>
      <c r="S35" s="1"/>
      <c r="T35" s="1"/>
      <c r="U35" s="1"/>
      <c r="V35" s="1"/>
      <c r="W35" s="1"/>
      <c r="X35" s="1"/>
      <c r="Y35" s="1"/>
      <c r="Z35" s="1"/>
    </row>
    <row r="36" spans="1:26" ht="15.75" customHeight="1">
      <c r="A36" s="1"/>
      <c r="B36" s="420"/>
      <c r="C36" s="421"/>
      <c r="D36" s="435"/>
      <c r="E36" s="421"/>
      <c r="F36" s="422"/>
      <c r="G36" s="421"/>
      <c r="H36" s="422"/>
      <c r="I36" s="421"/>
      <c r="J36" s="436"/>
      <c r="K36" s="437"/>
      <c r="L36" s="438"/>
      <c r="M36" s="439"/>
      <c r="N36" s="1"/>
      <c r="O36" s="75"/>
      <c r="P36" s="1"/>
      <c r="Q36" s="1"/>
      <c r="R36" s="1"/>
      <c r="S36" s="1"/>
      <c r="T36" s="1"/>
      <c r="U36" s="1"/>
      <c r="V36" s="1"/>
      <c r="W36" s="1"/>
      <c r="X36" s="1"/>
      <c r="Y36" s="1"/>
      <c r="Z36" s="1"/>
    </row>
    <row r="37" spans="1:26" ht="15.75" customHeight="1">
      <c r="A37" s="1"/>
      <c r="B37" s="420"/>
      <c r="C37" s="421" t="s">
        <v>395</v>
      </c>
      <c r="D37" s="435" t="s">
        <v>396</v>
      </c>
      <c r="E37" s="421" t="s">
        <v>293</v>
      </c>
      <c r="F37" s="422">
        <v>39204</v>
      </c>
      <c r="G37" s="421" t="s">
        <v>364</v>
      </c>
      <c r="H37" s="422">
        <v>11260</v>
      </c>
      <c r="I37" s="421" t="s">
        <v>365</v>
      </c>
      <c r="J37" s="436">
        <v>882874.08</v>
      </c>
      <c r="K37" s="437">
        <v>87436</v>
      </c>
      <c r="L37" s="438">
        <v>0.79</v>
      </c>
      <c r="M37" s="439">
        <v>1.57</v>
      </c>
      <c r="N37" s="1"/>
      <c r="O37" s="75" t="s">
        <v>371</v>
      </c>
      <c r="P37" s="1"/>
      <c r="Q37" s="1"/>
      <c r="R37" s="1"/>
      <c r="S37" s="1"/>
      <c r="T37" s="1"/>
      <c r="U37" s="1"/>
      <c r="V37" s="1"/>
      <c r="W37" s="1"/>
      <c r="X37" s="1"/>
      <c r="Y37" s="1"/>
      <c r="Z37" s="1"/>
    </row>
    <row r="38" spans="1:26" ht="15.75" customHeight="1">
      <c r="A38" s="1"/>
      <c r="B38" s="440"/>
      <c r="C38" s="441"/>
      <c r="D38" s="442"/>
      <c r="E38" s="441"/>
      <c r="F38" s="443"/>
      <c r="G38" s="441"/>
      <c r="H38" s="443"/>
      <c r="I38" s="441"/>
      <c r="J38" s="444"/>
      <c r="K38" s="445"/>
      <c r="L38" s="446"/>
      <c r="M38" s="447"/>
      <c r="N38" s="1"/>
      <c r="O38" s="75"/>
      <c r="P38" s="1"/>
      <c r="Q38" s="1"/>
      <c r="R38" s="1"/>
      <c r="S38" s="1"/>
      <c r="T38" s="1"/>
      <c r="U38" s="1"/>
      <c r="V38" s="1"/>
      <c r="W38" s="1"/>
      <c r="X38" s="1"/>
      <c r="Y38" s="1"/>
      <c r="Z38" s="1"/>
    </row>
    <row r="39" spans="1:26" ht="15.75" customHeight="1">
      <c r="A39" s="1"/>
      <c r="B39" s="426" t="s">
        <v>397</v>
      </c>
      <c r="C39" s="427" t="s">
        <v>398</v>
      </c>
      <c r="D39" s="448"/>
      <c r="E39" s="428"/>
      <c r="F39" s="429"/>
      <c r="G39" s="428"/>
      <c r="H39" s="429"/>
      <c r="I39" s="428"/>
      <c r="J39" s="449"/>
      <c r="K39" s="450"/>
      <c r="L39" s="451"/>
      <c r="M39" s="452"/>
      <c r="N39" s="1"/>
      <c r="O39" s="75"/>
      <c r="P39" s="1"/>
      <c r="Q39" s="1"/>
      <c r="R39" s="1"/>
      <c r="S39" s="1"/>
      <c r="T39" s="1"/>
      <c r="U39" s="1"/>
      <c r="V39" s="1"/>
      <c r="W39" s="1"/>
      <c r="X39" s="1"/>
      <c r="Y39" s="1"/>
      <c r="Z39" s="1"/>
    </row>
    <row r="40" spans="1:26" ht="15.75" customHeight="1">
      <c r="A40" s="1"/>
      <c r="B40" s="433"/>
      <c r="C40" s="434" t="s">
        <v>399</v>
      </c>
      <c r="D40" s="435" t="s">
        <v>400</v>
      </c>
      <c r="E40" s="421" t="s">
        <v>293</v>
      </c>
      <c r="F40" s="422">
        <v>161730</v>
      </c>
      <c r="G40" s="421" t="s">
        <v>364</v>
      </c>
      <c r="H40" s="422">
        <v>12900</v>
      </c>
      <c r="I40" s="421" t="s">
        <v>365</v>
      </c>
      <c r="J40" s="436">
        <v>4172634</v>
      </c>
      <c r="K40" s="437">
        <v>406756.89772644348</v>
      </c>
      <c r="L40" s="438">
        <v>2.9739850923786126</v>
      </c>
      <c r="M40" s="439">
        <v>6.3445015304077073</v>
      </c>
      <c r="N40" s="1"/>
      <c r="O40" s="75" t="s">
        <v>371</v>
      </c>
      <c r="P40" s="1"/>
      <c r="Q40" s="1"/>
      <c r="R40" s="1"/>
      <c r="S40" s="1"/>
      <c r="T40" s="1"/>
      <c r="U40" s="1"/>
      <c r="V40" s="1"/>
      <c r="W40" s="1"/>
      <c r="X40" s="1"/>
      <c r="Y40" s="1"/>
      <c r="Z40" s="1"/>
    </row>
    <row r="41" spans="1:26" ht="15.75" customHeight="1">
      <c r="A41" s="1"/>
      <c r="B41" s="420"/>
      <c r="C41" s="421"/>
      <c r="D41" s="435"/>
      <c r="E41" s="421"/>
      <c r="F41" s="422"/>
      <c r="G41" s="421"/>
      <c r="H41" s="422"/>
      <c r="I41" s="421"/>
      <c r="J41" s="436"/>
      <c r="K41" s="437"/>
      <c r="L41" s="438"/>
      <c r="M41" s="439"/>
      <c r="N41" s="1"/>
      <c r="O41" s="75"/>
      <c r="P41" s="1"/>
      <c r="Q41" s="1"/>
      <c r="R41" s="1"/>
      <c r="S41" s="1"/>
      <c r="T41" s="1"/>
      <c r="U41" s="1"/>
      <c r="V41" s="1"/>
      <c r="W41" s="1"/>
      <c r="X41" s="1"/>
      <c r="Y41" s="1"/>
      <c r="Z41" s="1"/>
    </row>
    <row r="42" spans="1:26" ht="15.75" customHeight="1">
      <c r="A42" s="1"/>
      <c r="B42" s="420"/>
      <c r="C42" s="421" t="s">
        <v>401</v>
      </c>
      <c r="D42" s="435" t="s">
        <v>402</v>
      </c>
      <c r="E42" s="421" t="s">
        <v>293</v>
      </c>
      <c r="F42" s="422">
        <v>198171</v>
      </c>
      <c r="G42" s="421" t="s">
        <v>364</v>
      </c>
      <c r="H42" s="422">
        <v>12891</v>
      </c>
      <c r="I42" s="421" t="s">
        <v>365</v>
      </c>
      <c r="J42" s="436">
        <v>5109244.7220000001</v>
      </c>
      <c r="K42" s="437">
        <v>520348.90453150572</v>
      </c>
      <c r="L42" s="438">
        <v>3.8009415962856519</v>
      </c>
      <c r="M42" s="439">
        <v>8.1377861852590971</v>
      </c>
      <c r="N42" s="1"/>
      <c r="O42" s="75" t="s">
        <v>371</v>
      </c>
      <c r="P42" s="1"/>
      <c r="Q42" s="1"/>
      <c r="R42" s="1"/>
      <c r="S42" s="1"/>
      <c r="T42" s="1"/>
      <c r="U42" s="1"/>
      <c r="V42" s="1"/>
      <c r="W42" s="1"/>
      <c r="X42" s="1"/>
      <c r="Y42" s="1"/>
      <c r="Z42" s="1"/>
    </row>
    <row r="43" spans="1:26" ht="15.75" customHeight="1">
      <c r="A43" s="1"/>
      <c r="B43" s="420"/>
      <c r="C43" s="421"/>
      <c r="D43" s="435"/>
      <c r="E43" s="421"/>
      <c r="F43" s="422"/>
      <c r="G43" s="421"/>
      <c r="H43" s="422"/>
      <c r="I43" s="421"/>
      <c r="J43" s="436"/>
      <c r="K43" s="437"/>
      <c r="L43" s="438"/>
      <c r="M43" s="439"/>
      <c r="N43" s="1"/>
      <c r="O43" s="75"/>
      <c r="P43" s="1"/>
      <c r="Q43" s="1"/>
      <c r="R43" s="1"/>
      <c r="S43" s="1"/>
      <c r="T43" s="1"/>
      <c r="U43" s="1"/>
      <c r="V43" s="1"/>
      <c r="W43" s="1"/>
      <c r="X43" s="1"/>
      <c r="Y43" s="1"/>
      <c r="Z43" s="1"/>
    </row>
    <row r="44" spans="1:26" ht="15.75" customHeight="1">
      <c r="A44" s="1"/>
      <c r="B44" s="420"/>
      <c r="C44" s="421" t="s">
        <v>403</v>
      </c>
      <c r="D44" s="435" t="s">
        <v>404</v>
      </c>
      <c r="E44" s="421" t="s">
        <v>293</v>
      </c>
      <c r="F44" s="422">
        <v>197128</v>
      </c>
      <c r="G44" s="421" t="s">
        <v>364</v>
      </c>
      <c r="H44" s="422">
        <v>12895</v>
      </c>
      <c r="I44" s="421" t="s">
        <v>365</v>
      </c>
      <c r="J44" s="436">
        <v>5083931.12</v>
      </c>
      <c r="K44" s="437">
        <v>512116.49878776021</v>
      </c>
      <c r="L44" s="438">
        <v>3.7435053649600403</v>
      </c>
      <c r="M44" s="439">
        <v>7.9437779627799259</v>
      </c>
      <c r="N44" s="1"/>
      <c r="O44" s="75" t="s">
        <v>371</v>
      </c>
      <c r="P44" s="1"/>
      <c r="Q44" s="1"/>
      <c r="R44" s="1"/>
      <c r="S44" s="1"/>
      <c r="T44" s="1"/>
      <c r="U44" s="1"/>
      <c r="V44" s="1"/>
      <c r="W44" s="1"/>
      <c r="X44" s="1"/>
      <c r="Y44" s="1"/>
      <c r="Z44" s="1"/>
    </row>
    <row r="45" spans="1:26" ht="15.75" customHeight="1">
      <c r="A45" s="1"/>
      <c r="B45" s="440"/>
      <c r="C45" s="441"/>
      <c r="D45" s="442"/>
      <c r="E45" s="441"/>
      <c r="F45" s="443"/>
      <c r="G45" s="441"/>
      <c r="H45" s="443"/>
      <c r="I45" s="441"/>
      <c r="J45" s="444"/>
      <c r="K45" s="445"/>
      <c r="L45" s="446"/>
      <c r="M45" s="447"/>
      <c r="N45" s="1"/>
      <c r="O45" s="75"/>
      <c r="P45" s="1"/>
      <c r="Q45" s="1"/>
      <c r="R45" s="1"/>
      <c r="S45" s="1"/>
      <c r="T45" s="1"/>
      <c r="U45" s="1"/>
      <c r="V45" s="1"/>
      <c r="W45" s="1"/>
      <c r="X45" s="1"/>
      <c r="Y45" s="1"/>
      <c r="Z45" s="1"/>
    </row>
    <row r="46" spans="1:26" ht="15.75" customHeight="1">
      <c r="A46" s="1"/>
      <c r="B46" s="426" t="s">
        <v>405</v>
      </c>
      <c r="C46" s="427" t="s">
        <v>406</v>
      </c>
      <c r="D46" s="448"/>
      <c r="E46" s="428"/>
      <c r="F46" s="429"/>
      <c r="G46" s="428"/>
      <c r="H46" s="429"/>
      <c r="I46" s="428"/>
      <c r="J46" s="449"/>
      <c r="K46" s="450"/>
      <c r="L46" s="451"/>
      <c r="M46" s="452"/>
      <c r="N46" s="1"/>
      <c r="O46" s="75"/>
      <c r="P46" s="1"/>
      <c r="Q46" s="1"/>
      <c r="R46" s="1"/>
      <c r="S46" s="1"/>
      <c r="T46" s="1"/>
      <c r="U46" s="1"/>
      <c r="V46" s="1"/>
      <c r="W46" s="1"/>
      <c r="X46" s="1"/>
      <c r="Y46" s="1"/>
      <c r="Z46" s="1"/>
    </row>
    <row r="47" spans="1:26" ht="15.75" customHeight="1">
      <c r="A47" s="1"/>
      <c r="B47" s="420"/>
      <c r="C47" s="421" t="s">
        <v>407</v>
      </c>
      <c r="D47" s="435">
        <v>1</v>
      </c>
      <c r="E47" s="421" t="s">
        <v>293</v>
      </c>
      <c r="F47" s="422">
        <v>1141923</v>
      </c>
      <c r="G47" s="421" t="s">
        <v>364</v>
      </c>
      <c r="H47" s="422">
        <v>13025</v>
      </c>
      <c r="I47" s="421" t="s">
        <v>365</v>
      </c>
      <c r="J47" s="436">
        <v>29747094.149999999</v>
      </c>
      <c r="K47" s="437">
        <v>3377171.0602952191</v>
      </c>
      <c r="L47" s="438">
        <v>24.684830526299731</v>
      </c>
      <c r="M47" s="439">
        <v>52.660971789439422</v>
      </c>
      <c r="N47" s="1"/>
      <c r="O47" s="75" t="s">
        <v>371</v>
      </c>
      <c r="P47" s="1"/>
      <c r="Q47" s="1"/>
      <c r="R47" s="1"/>
      <c r="S47" s="1"/>
      <c r="T47" s="1"/>
      <c r="U47" s="1"/>
      <c r="V47" s="1"/>
      <c r="W47" s="1"/>
      <c r="X47" s="1"/>
      <c r="Y47" s="1"/>
      <c r="Z47" s="1"/>
    </row>
    <row r="48" spans="1:26" ht="15.75" customHeight="1">
      <c r="A48" s="1"/>
      <c r="B48" s="420"/>
      <c r="C48" s="421"/>
      <c r="D48" s="435"/>
      <c r="E48" s="421"/>
      <c r="F48" s="422"/>
      <c r="G48" s="421"/>
      <c r="H48" s="422"/>
      <c r="I48" s="421"/>
      <c r="J48" s="436"/>
      <c r="K48" s="437"/>
      <c r="L48" s="438"/>
      <c r="M48" s="439"/>
      <c r="N48" s="1"/>
      <c r="O48" s="75"/>
      <c r="P48" s="1"/>
      <c r="Q48" s="1"/>
      <c r="R48" s="1"/>
      <c r="S48" s="1"/>
      <c r="T48" s="1"/>
      <c r="U48" s="1"/>
      <c r="V48" s="1"/>
      <c r="W48" s="1"/>
      <c r="X48" s="1"/>
      <c r="Y48" s="1"/>
      <c r="Z48" s="1"/>
    </row>
    <row r="49" spans="1:26" ht="15.75" customHeight="1">
      <c r="A49" s="1"/>
      <c r="B49" s="420"/>
      <c r="C49" s="421" t="s">
        <v>408</v>
      </c>
      <c r="D49" s="435">
        <v>2</v>
      </c>
      <c r="E49" s="421" t="s">
        <v>293</v>
      </c>
      <c r="F49" s="422">
        <v>1248983</v>
      </c>
      <c r="G49" s="421" t="s">
        <v>364</v>
      </c>
      <c r="H49" s="422">
        <v>13025</v>
      </c>
      <c r="I49" s="421" t="s">
        <v>365</v>
      </c>
      <c r="J49" s="436">
        <v>32536007.149999999</v>
      </c>
      <c r="K49" s="437">
        <v>3292474.5069769244</v>
      </c>
      <c r="L49" s="438">
        <v>25.513668463846166</v>
      </c>
      <c r="M49" s="439">
        <v>54.422502202724694</v>
      </c>
      <c r="N49" s="1"/>
      <c r="O49" s="75" t="s">
        <v>371</v>
      </c>
      <c r="P49" s="1"/>
      <c r="Q49" s="1"/>
      <c r="R49" s="1"/>
      <c r="S49" s="1"/>
      <c r="T49" s="1"/>
      <c r="U49" s="1"/>
      <c r="V49" s="1"/>
      <c r="W49" s="1"/>
      <c r="X49" s="1"/>
      <c r="Y49" s="1"/>
      <c r="Z49" s="1"/>
    </row>
    <row r="50" spans="1:26" ht="15.75" customHeight="1">
      <c r="A50" s="1"/>
      <c r="B50" s="420"/>
      <c r="C50" s="421"/>
      <c r="D50" s="435"/>
      <c r="E50" s="421"/>
      <c r="F50" s="422"/>
      <c r="G50" s="421"/>
      <c r="H50" s="422"/>
      <c r="I50" s="421"/>
      <c r="J50" s="436"/>
      <c r="K50" s="437"/>
      <c r="L50" s="438"/>
      <c r="M50" s="439"/>
      <c r="N50" s="1"/>
      <c r="O50" s="75"/>
      <c r="P50" s="1"/>
      <c r="Q50" s="1"/>
      <c r="R50" s="1"/>
      <c r="S50" s="1"/>
      <c r="T50" s="1"/>
      <c r="U50" s="1"/>
      <c r="V50" s="1"/>
      <c r="W50" s="1"/>
      <c r="X50" s="1"/>
      <c r="Y50" s="1"/>
      <c r="Z50" s="1"/>
    </row>
    <row r="51" spans="1:26" ht="15.75" customHeight="1">
      <c r="A51" s="1"/>
      <c r="B51" s="440"/>
      <c r="C51" s="441"/>
      <c r="D51" s="442"/>
      <c r="E51" s="441"/>
      <c r="F51" s="443"/>
      <c r="G51" s="441"/>
      <c r="H51" s="443"/>
      <c r="I51" s="441"/>
      <c r="J51" s="444"/>
      <c r="K51" s="445"/>
      <c r="L51" s="446"/>
      <c r="M51" s="447"/>
      <c r="N51" s="1"/>
      <c r="O51" s="75"/>
      <c r="P51" s="1"/>
      <c r="Q51" s="1"/>
      <c r="R51" s="1"/>
      <c r="S51" s="1"/>
      <c r="T51" s="1"/>
      <c r="U51" s="1"/>
      <c r="V51" s="1"/>
      <c r="W51" s="1"/>
      <c r="X51" s="1"/>
      <c r="Y51" s="1"/>
      <c r="Z51" s="1"/>
    </row>
    <row r="52" spans="1:26" ht="15.75" customHeight="1">
      <c r="A52" s="1"/>
      <c r="B52" s="426" t="s">
        <v>409</v>
      </c>
      <c r="C52" s="427" t="s">
        <v>410</v>
      </c>
      <c r="D52" s="435"/>
      <c r="E52" s="421"/>
      <c r="F52" s="422"/>
      <c r="G52" s="421"/>
      <c r="H52" s="422"/>
      <c r="I52" s="421"/>
      <c r="J52" s="436"/>
      <c r="K52" s="437"/>
      <c r="L52" s="438"/>
      <c r="M52" s="439"/>
      <c r="N52" s="1"/>
      <c r="O52" s="75"/>
      <c r="P52" s="1"/>
      <c r="Q52" s="1"/>
      <c r="R52" s="1"/>
      <c r="S52" s="1"/>
      <c r="T52" s="1"/>
      <c r="U52" s="1"/>
      <c r="V52" s="1"/>
      <c r="W52" s="1"/>
      <c r="X52" s="1"/>
      <c r="Y52" s="1"/>
      <c r="Z52" s="1"/>
    </row>
    <row r="53" spans="1:26" ht="15.75" customHeight="1">
      <c r="A53" s="1"/>
      <c r="B53" s="420"/>
      <c r="C53" s="421" t="s">
        <v>411</v>
      </c>
      <c r="D53" s="435" t="s">
        <v>412</v>
      </c>
      <c r="E53" s="421" t="s">
        <v>293</v>
      </c>
      <c r="F53" s="422">
        <v>425900</v>
      </c>
      <c r="G53" s="421" t="s">
        <v>364</v>
      </c>
      <c r="H53" s="422">
        <v>10862</v>
      </c>
      <c r="I53" s="454" t="s">
        <v>413</v>
      </c>
      <c r="J53" s="455">
        <f>Luke!D16</f>
        <v>9252251.5999999996</v>
      </c>
      <c r="K53" s="456">
        <f>(Luke!D18+Luke!D22+Luke!D26)</f>
        <v>929165.49600373663</v>
      </c>
      <c r="L53" s="438">
        <f>Luke!D19+Luke!D23+Luke!D27</f>
        <v>110.44585485141323</v>
      </c>
      <c r="M53" s="439">
        <f>Luke!D20+Luke!D24+Luke!D28</f>
        <v>16.260877546577824</v>
      </c>
      <c r="N53" s="1"/>
      <c r="O53" s="75" t="s">
        <v>371</v>
      </c>
      <c r="P53" s="1"/>
      <c r="Q53" s="1"/>
      <c r="R53" s="1"/>
      <c r="S53" s="1"/>
      <c r="T53" s="1"/>
      <c r="U53" s="1"/>
      <c r="V53" s="1"/>
      <c r="W53" s="1"/>
      <c r="X53" s="1"/>
      <c r="Y53" s="1"/>
      <c r="Z53" s="1"/>
    </row>
    <row r="54" spans="1:26" ht="15.75" customHeight="1">
      <c r="A54" s="1"/>
      <c r="B54" s="440"/>
      <c r="C54" s="441"/>
      <c r="D54" s="435"/>
      <c r="E54" s="421"/>
      <c r="F54" s="422"/>
      <c r="G54" s="421"/>
      <c r="H54" s="422"/>
      <c r="I54" s="454"/>
      <c r="J54" s="455"/>
      <c r="K54" s="456"/>
      <c r="L54" s="438"/>
      <c r="M54" s="439"/>
      <c r="N54" s="1"/>
      <c r="O54" s="75"/>
      <c r="P54" s="1"/>
      <c r="Q54" s="1"/>
      <c r="R54" s="1"/>
      <c r="S54" s="1"/>
      <c r="T54" s="1"/>
      <c r="U54" s="1"/>
      <c r="V54" s="1"/>
      <c r="W54" s="1"/>
      <c r="X54" s="1"/>
      <c r="Y54" s="1"/>
      <c r="Z54" s="1"/>
    </row>
    <row r="55" spans="1:26" ht="15.75" customHeight="1">
      <c r="A55" s="1"/>
      <c r="B55" s="457"/>
      <c r="C55" s="458"/>
      <c r="D55" s="458"/>
      <c r="E55" s="459" t="s">
        <v>414</v>
      </c>
      <c r="F55" s="460">
        <f>SUM(F11:F53)</f>
        <v>9378663</v>
      </c>
      <c r="G55" s="458"/>
      <c r="H55" s="461"/>
      <c r="I55" s="458"/>
      <c r="J55" s="460">
        <f t="shared" ref="J55:M55" si="0">SUM(J11:J53)</f>
        <v>225562126.86800003</v>
      </c>
      <c r="K55" s="460">
        <f t="shared" si="0"/>
        <v>24082981.027080312</v>
      </c>
      <c r="L55" s="460">
        <f t="shared" si="0"/>
        <v>460.99202746854405</v>
      </c>
      <c r="M55" s="462">
        <f t="shared" si="0"/>
        <v>266.71715641568943</v>
      </c>
      <c r="N55" s="1"/>
      <c r="O55" s="75"/>
      <c r="P55" s="1"/>
      <c r="Q55" s="1"/>
      <c r="R55" s="1"/>
      <c r="S55" s="1"/>
      <c r="T55" s="1"/>
      <c r="U55" s="1"/>
      <c r="V55" s="1"/>
      <c r="W55" s="1"/>
      <c r="X55" s="1"/>
      <c r="Y55" s="1"/>
      <c r="Z55" s="1"/>
    </row>
    <row r="56" spans="1:26" ht="15.75" customHeight="1">
      <c r="A56" s="1"/>
      <c r="B56" s="420"/>
      <c r="C56" s="421"/>
      <c r="D56" s="421"/>
      <c r="E56" s="434"/>
      <c r="F56" s="463"/>
      <c r="G56" s="421"/>
      <c r="H56" s="422"/>
      <c r="I56" s="454"/>
      <c r="J56" s="463"/>
      <c r="K56" s="464"/>
      <c r="L56" s="463"/>
      <c r="M56" s="465"/>
      <c r="N56" s="1"/>
      <c r="O56" s="75"/>
      <c r="P56" s="1"/>
      <c r="Q56" s="1"/>
      <c r="R56" s="1"/>
      <c r="S56" s="1"/>
      <c r="T56" s="1"/>
      <c r="U56" s="1"/>
      <c r="V56" s="1"/>
      <c r="W56" s="1"/>
      <c r="X56" s="1"/>
      <c r="Y56" s="1"/>
      <c r="Z56" s="1"/>
    </row>
    <row r="57" spans="1:26" ht="15.75" customHeight="1">
      <c r="A57" s="1"/>
      <c r="B57" s="420"/>
      <c r="C57" s="421"/>
      <c r="D57" s="421"/>
      <c r="E57" s="466" t="s">
        <v>415</v>
      </c>
      <c r="F57" s="467"/>
      <c r="G57" s="468"/>
      <c r="H57" s="469"/>
      <c r="I57" s="470"/>
      <c r="J57" s="467"/>
      <c r="K57" s="471">
        <f>(K55*0.90718474)/1000000</f>
        <v>21.847712881476784</v>
      </c>
      <c r="L57" s="472">
        <f>(L55*$J$425*0.90718474)/1000000</f>
        <v>1.1709738112271472E-2</v>
      </c>
      <c r="M57" s="473">
        <f>(M55*$J$426*0.90718474)/1000000</f>
        <v>6.4119859562074236E-2</v>
      </c>
      <c r="N57" s="1"/>
      <c r="O57" s="75"/>
      <c r="P57" s="1"/>
      <c r="Q57" s="1"/>
      <c r="R57" s="1"/>
      <c r="S57" s="1"/>
      <c r="T57" s="1"/>
      <c r="U57" s="1"/>
      <c r="V57" s="1"/>
      <c r="W57" s="1"/>
      <c r="X57" s="1"/>
      <c r="Y57" s="1"/>
      <c r="Z57" s="1"/>
    </row>
    <row r="58" spans="1:26" ht="15.75" customHeight="1">
      <c r="A58" s="1"/>
      <c r="B58" s="420"/>
      <c r="C58" s="421"/>
      <c r="D58" s="435"/>
      <c r="E58" s="421"/>
      <c r="F58" s="422"/>
      <c r="G58" s="421"/>
      <c r="H58" s="422"/>
      <c r="I58" s="454"/>
      <c r="J58" s="422"/>
      <c r="K58" s="474"/>
      <c r="L58" s="438"/>
      <c r="M58" s="439"/>
      <c r="N58" s="1"/>
      <c r="O58" s="75"/>
      <c r="P58" s="1"/>
      <c r="Q58" s="1"/>
      <c r="R58" s="1"/>
      <c r="S58" s="1"/>
      <c r="T58" s="1"/>
      <c r="U58" s="1"/>
      <c r="V58" s="1"/>
      <c r="W58" s="1"/>
      <c r="X58" s="1"/>
      <c r="Y58" s="1"/>
      <c r="Z58" s="1"/>
    </row>
    <row r="59" spans="1:26" ht="15.75" customHeight="1">
      <c r="A59" s="1"/>
      <c r="B59" s="420"/>
      <c r="C59" s="421"/>
      <c r="D59" s="435"/>
      <c r="E59" s="421"/>
      <c r="F59" s="422"/>
      <c r="G59" s="421"/>
      <c r="H59" s="422"/>
      <c r="I59" s="454"/>
      <c r="J59" s="422"/>
      <c r="K59" s="474"/>
      <c r="L59" s="438"/>
      <c r="M59" s="439"/>
      <c r="N59" s="1"/>
      <c r="O59" s="75"/>
      <c r="P59" s="1"/>
      <c r="Q59" s="1"/>
      <c r="R59" s="1"/>
      <c r="S59" s="1"/>
      <c r="T59" s="1"/>
      <c r="U59" s="1"/>
      <c r="V59" s="1"/>
      <c r="W59" s="1"/>
      <c r="X59" s="1"/>
      <c r="Y59" s="1"/>
      <c r="Z59" s="1"/>
    </row>
    <row r="60" spans="1:26" ht="15.75" customHeight="1">
      <c r="A60" s="1"/>
      <c r="B60" s="433" t="s">
        <v>409</v>
      </c>
      <c r="C60" s="434" t="s">
        <v>410</v>
      </c>
      <c r="D60" s="435"/>
      <c r="E60" s="421"/>
      <c r="F60" s="422"/>
      <c r="G60" s="421"/>
      <c r="H60" s="422"/>
      <c r="I60" s="454"/>
      <c r="J60" s="422"/>
      <c r="K60" s="474"/>
      <c r="L60" s="438"/>
      <c r="M60" s="439"/>
      <c r="N60" s="1"/>
      <c r="O60" s="75"/>
      <c r="P60" s="1"/>
      <c r="Q60" s="1"/>
      <c r="R60" s="1"/>
      <c r="S60" s="1"/>
      <c r="T60" s="1"/>
      <c r="U60" s="1"/>
      <c r="V60" s="1"/>
      <c r="W60" s="1"/>
      <c r="X60" s="1"/>
      <c r="Y60" s="1"/>
      <c r="Z60" s="1"/>
    </row>
    <row r="61" spans="1:26" ht="15.75" customHeight="1">
      <c r="A61" s="1"/>
      <c r="B61" s="420"/>
      <c r="C61" s="421" t="s">
        <v>416</v>
      </c>
      <c r="D61" s="435"/>
      <c r="E61" s="421"/>
      <c r="F61" s="422"/>
      <c r="G61" s="421"/>
      <c r="H61" s="422"/>
      <c r="I61" s="421"/>
      <c r="J61" s="438"/>
      <c r="K61" s="438"/>
      <c r="L61" s="438"/>
      <c r="M61" s="439"/>
      <c r="N61" s="1"/>
      <c r="O61" s="75"/>
      <c r="P61" s="1"/>
      <c r="Q61" s="1"/>
      <c r="R61" s="1"/>
      <c r="S61" s="1"/>
      <c r="T61" s="1"/>
      <c r="U61" s="1"/>
      <c r="V61" s="1"/>
      <c r="W61" s="1"/>
      <c r="X61" s="1"/>
      <c r="Y61" s="1"/>
      <c r="Z61" s="1"/>
    </row>
    <row r="62" spans="1:26" ht="15.75" customHeight="1">
      <c r="A62" s="1"/>
      <c r="B62" s="475"/>
      <c r="C62" s="458" t="s">
        <v>417</v>
      </c>
      <c r="D62" s="476" t="s">
        <v>412</v>
      </c>
      <c r="E62" s="459" t="s">
        <v>311</v>
      </c>
      <c r="F62" s="460">
        <v>5518</v>
      </c>
      <c r="G62" s="459" t="s">
        <v>364</v>
      </c>
      <c r="H62" s="460">
        <v>4643</v>
      </c>
      <c r="I62" s="477" t="s">
        <v>365</v>
      </c>
      <c r="J62" s="460">
        <f>Luke!G16</f>
        <v>51240.148000000001</v>
      </c>
      <c r="K62" s="478">
        <f>Luke!G18+Luke!G22+Luke!G26</f>
        <v>5145.8368827459108</v>
      </c>
      <c r="L62" s="478">
        <f>Luke!G19+Luke!G23+Luke!G27</f>
        <v>0.61166321380332234</v>
      </c>
      <c r="M62" s="479">
        <f>Luke!G20+Luke!G24+Luke!G28</f>
        <v>9.0054811317120301E-2</v>
      </c>
      <c r="N62" s="1"/>
      <c r="O62" s="75" t="s">
        <v>371</v>
      </c>
      <c r="P62" s="1"/>
      <c r="Q62" s="1"/>
      <c r="R62" s="1"/>
      <c r="S62" s="1"/>
      <c r="T62" s="1"/>
      <c r="U62" s="1"/>
      <c r="V62" s="1"/>
      <c r="W62" s="1"/>
      <c r="X62" s="1"/>
      <c r="Y62" s="1"/>
      <c r="Z62" s="1"/>
    </row>
    <row r="63" spans="1:26" ht="15.75" customHeight="1">
      <c r="A63" s="1"/>
      <c r="B63" s="420"/>
      <c r="C63" s="421"/>
      <c r="D63" s="435"/>
      <c r="E63" s="434"/>
      <c r="F63" s="463"/>
      <c r="G63" s="434"/>
      <c r="H63" s="463"/>
      <c r="I63" s="480"/>
      <c r="J63" s="463"/>
      <c r="K63" s="481"/>
      <c r="L63" s="481"/>
      <c r="M63" s="482"/>
      <c r="N63" s="1"/>
      <c r="O63" s="75"/>
      <c r="P63" s="1"/>
      <c r="Q63" s="1"/>
      <c r="R63" s="1"/>
      <c r="S63" s="1"/>
      <c r="T63" s="1"/>
      <c r="U63" s="1"/>
      <c r="V63" s="1"/>
      <c r="W63" s="1"/>
      <c r="X63" s="1"/>
      <c r="Y63" s="1"/>
      <c r="Z63" s="1"/>
    </row>
    <row r="64" spans="1:26" ht="15.75" customHeight="1">
      <c r="A64" s="1"/>
      <c r="B64" s="420"/>
      <c r="C64" s="421"/>
      <c r="D64" s="435"/>
      <c r="E64" s="466" t="s">
        <v>418</v>
      </c>
      <c r="F64" s="467"/>
      <c r="G64" s="466"/>
      <c r="H64" s="467"/>
      <c r="I64" s="483"/>
      <c r="J64" s="467"/>
      <c r="K64" s="484">
        <f>(K62*0.90718474)/1000000</f>
        <v>4.6682246945562601E-3</v>
      </c>
      <c r="L64" s="485">
        <f>(L62*$J$425*0.90718474)/1000000</f>
        <v>1.5536962940288479E-5</v>
      </c>
      <c r="M64" s="486">
        <f>(M62*$J$426*0.90718474)/1000000</f>
        <v>2.1649532906474776E-5</v>
      </c>
      <c r="N64" s="1"/>
      <c r="O64" s="75"/>
      <c r="P64" s="1"/>
      <c r="Q64" s="1"/>
      <c r="R64" s="1"/>
      <c r="S64" s="1"/>
      <c r="T64" s="1"/>
      <c r="U64" s="1"/>
      <c r="V64" s="1"/>
      <c r="W64" s="1"/>
      <c r="X64" s="1"/>
      <c r="Y64" s="1"/>
      <c r="Z64" s="1"/>
    </row>
    <row r="65" spans="1:26" ht="15.75" customHeight="1">
      <c r="A65" s="1"/>
      <c r="B65" s="420"/>
      <c r="C65" s="421"/>
      <c r="D65" s="435"/>
      <c r="E65" s="421"/>
      <c r="F65" s="422"/>
      <c r="G65" s="421"/>
      <c r="H65" s="422"/>
      <c r="I65" s="421"/>
      <c r="J65" s="438"/>
      <c r="K65" s="438"/>
      <c r="L65" s="438"/>
      <c r="M65" s="439"/>
      <c r="N65" s="1"/>
      <c r="O65" s="75"/>
      <c r="P65" s="1"/>
      <c r="Q65" s="1"/>
      <c r="R65" s="1"/>
      <c r="S65" s="1"/>
      <c r="T65" s="1"/>
      <c r="U65" s="1"/>
      <c r="V65" s="1"/>
      <c r="W65" s="1"/>
      <c r="X65" s="1"/>
      <c r="Y65" s="1"/>
      <c r="Z65" s="1"/>
    </row>
    <row r="66" spans="1:26" ht="15.75" customHeight="1">
      <c r="A66" s="1"/>
      <c r="B66" s="289"/>
      <c r="C66" s="290"/>
      <c r="D66" s="487"/>
      <c r="E66" s="290"/>
      <c r="F66" s="488"/>
      <c r="G66" s="290"/>
      <c r="H66" s="488"/>
      <c r="I66" s="290"/>
      <c r="J66" s="489"/>
      <c r="K66" s="489"/>
      <c r="L66" s="489"/>
      <c r="M66" s="490"/>
      <c r="N66" s="1"/>
      <c r="O66" s="75"/>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75"/>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75"/>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75"/>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75"/>
      <c r="P70" s="1"/>
      <c r="Q70" s="1"/>
      <c r="R70" s="1"/>
      <c r="S70" s="1"/>
      <c r="T70" s="1"/>
      <c r="U70" s="1"/>
      <c r="V70" s="1"/>
      <c r="W70" s="1"/>
      <c r="X70" s="1"/>
      <c r="Y70" s="1"/>
      <c r="Z70" s="1"/>
    </row>
    <row r="71" spans="1:26" ht="15.75" customHeight="1">
      <c r="A71" s="1"/>
      <c r="B71" s="405" t="s">
        <v>419</v>
      </c>
      <c r="C71" s="406"/>
      <c r="D71" s="1"/>
      <c r="E71" s="1"/>
      <c r="F71" s="1"/>
      <c r="G71" s="1"/>
      <c r="H71" s="1"/>
      <c r="I71" s="1"/>
      <c r="J71" s="1"/>
      <c r="K71" s="1"/>
      <c r="L71" s="1"/>
      <c r="M71" s="1"/>
      <c r="N71" s="1"/>
      <c r="O71" s="75"/>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75"/>
      <c r="P72" s="1"/>
      <c r="Q72" s="1"/>
      <c r="R72" s="1"/>
      <c r="S72" s="1"/>
      <c r="T72" s="1"/>
      <c r="U72" s="1"/>
      <c r="V72" s="1"/>
      <c r="W72" s="1"/>
      <c r="X72" s="1"/>
      <c r="Y72" s="1"/>
      <c r="Z72" s="1"/>
    </row>
    <row r="73" spans="1:26" ht="15.75" customHeight="1">
      <c r="A73" s="1"/>
      <c r="B73" s="491" t="s">
        <v>345</v>
      </c>
      <c r="C73" s="492" t="s">
        <v>346</v>
      </c>
      <c r="D73" s="492" t="s">
        <v>347</v>
      </c>
      <c r="E73" s="492" t="s">
        <v>348</v>
      </c>
      <c r="F73" s="492" t="s">
        <v>349</v>
      </c>
      <c r="G73" s="492" t="s">
        <v>350</v>
      </c>
      <c r="H73" s="492" t="s">
        <v>351</v>
      </c>
      <c r="I73" s="492" t="s">
        <v>352</v>
      </c>
      <c r="J73" s="493" t="s">
        <v>353</v>
      </c>
      <c r="K73" s="494" t="s">
        <v>420</v>
      </c>
      <c r="L73" s="492" t="s">
        <v>421</v>
      </c>
      <c r="M73" s="495" t="s">
        <v>422</v>
      </c>
      <c r="N73" s="1"/>
      <c r="O73" s="75"/>
      <c r="P73" s="1"/>
      <c r="Q73" s="1"/>
      <c r="R73" s="1"/>
      <c r="S73" s="1"/>
      <c r="T73" s="1"/>
      <c r="U73" s="1"/>
      <c r="V73" s="1"/>
      <c r="W73" s="1"/>
      <c r="X73" s="1"/>
      <c r="Y73" s="1"/>
      <c r="Z73" s="1"/>
    </row>
    <row r="74" spans="1:26" ht="15.75" customHeight="1">
      <c r="A74" s="1"/>
      <c r="B74" s="496"/>
      <c r="C74" s="243"/>
      <c r="D74" s="243"/>
      <c r="E74" s="497" t="s">
        <v>423</v>
      </c>
      <c r="F74" s="243"/>
      <c r="G74" s="243"/>
      <c r="H74" s="243"/>
      <c r="I74" s="243"/>
      <c r="J74" s="498" t="s">
        <v>359</v>
      </c>
      <c r="K74" s="248" t="s">
        <v>316</v>
      </c>
      <c r="L74" s="243" t="s">
        <v>316</v>
      </c>
      <c r="M74" s="499" t="s">
        <v>316</v>
      </c>
      <c r="N74" s="1"/>
      <c r="O74" s="75"/>
      <c r="P74" s="1"/>
      <c r="Q74" s="1"/>
      <c r="R74" s="1"/>
      <c r="S74" s="1"/>
      <c r="T74" s="1"/>
      <c r="U74" s="1"/>
      <c r="V74" s="1"/>
      <c r="W74" s="1"/>
      <c r="X74" s="1"/>
      <c r="Y74" s="1"/>
      <c r="Z74" s="1"/>
    </row>
    <row r="75" spans="1:26" ht="15.75" customHeight="1">
      <c r="A75" s="1"/>
      <c r="B75" s="500"/>
      <c r="C75" s="501"/>
      <c r="D75" s="501"/>
      <c r="E75" s="501"/>
      <c r="F75" s="501"/>
      <c r="G75" s="501"/>
      <c r="H75" s="501"/>
      <c r="I75" s="501"/>
      <c r="J75" s="502"/>
      <c r="K75" s="503"/>
      <c r="L75" s="242"/>
      <c r="M75" s="504"/>
      <c r="N75" s="1"/>
      <c r="O75" s="75"/>
      <c r="P75" s="1"/>
      <c r="Q75" s="1"/>
      <c r="R75" s="1"/>
      <c r="S75" s="1"/>
      <c r="T75" s="1"/>
      <c r="U75" s="1"/>
      <c r="V75" s="1"/>
      <c r="W75" s="1"/>
      <c r="X75" s="1"/>
      <c r="Y75" s="1"/>
      <c r="Z75" s="1"/>
    </row>
    <row r="76" spans="1:26" ht="15.75" customHeight="1">
      <c r="A76" s="1"/>
      <c r="B76" s="505" t="s">
        <v>360</v>
      </c>
      <c r="C76" s="205" t="s">
        <v>361</v>
      </c>
      <c r="D76" s="204"/>
      <c r="E76" s="204"/>
      <c r="F76" s="506"/>
      <c r="G76" s="204"/>
      <c r="H76" s="204"/>
      <c r="I76" s="204"/>
      <c r="J76" s="507"/>
      <c r="K76" s="508"/>
      <c r="L76" s="204"/>
      <c r="M76" s="509"/>
      <c r="N76" s="1"/>
      <c r="O76" s="75"/>
      <c r="P76" s="1"/>
      <c r="Q76" s="1"/>
      <c r="R76" s="1"/>
      <c r="S76" s="1"/>
      <c r="T76" s="1"/>
      <c r="U76" s="1"/>
      <c r="V76" s="1"/>
      <c r="W76" s="1"/>
      <c r="X76" s="1"/>
      <c r="Y76" s="1"/>
      <c r="Z76" s="1"/>
    </row>
    <row r="77" spans="1:26" ht="15.75" customHeight="1">
      <c r="A77" s="1"/>
      <c r="B77" s="276"/>
      <c r="C77" s="510" t="s">
        <v>362</v>
      </c>
      <c r="D77" s="510" t="s">
        <v>363</v>
      </c>
      <c r="E77" s="510" t="s">
        <v>424</v>
      </c>
      <c r="F77" s="511">
        <v>113500</v>
      </c>
      <c r="G77" s="510" t="s">
        <v>425</v>
      </c>
      <c r="H77" s="219">
        <v>140000</v>
      </c>
      <c r="I77" s="510" t="s">
        <v>426</v>
      </c>
      <c r="J77" s="512">
        <v>15890</v>
      </c>
      <c r="K77" s="513">
        <v>1627.9107228017742</v>
      </c>
      <c r="L77" s="513">
        <v>0.19253149772228581</v>
      </c>
      <c r="M77" s="514">
        <v>2.8009313712211079E-2</v>
      </c>
      <c r="N77" s="1"/>
      <c r="O77" s="75" t="s">
        <v>427</v>
      </c>
      <c r="P77" s="1"/>
      <c r="Q77" s="1"/>
      <c r="R77" s="1"/>
      <c r="S77" s="1"/>
      <c r="T77" s="1"/>
      <c r="U77" s="1"/>
      <c r="V77" s="1"/>
      <c r="W77" s="1"/>
      <c r="X77" s="1"/>
      <c r="Y77" s="1"/>
      <c r="Z77" s="1"/>
    </row>
    <row r="78" spans="1:26" ht="15.75" customHeight="1">
      <c r="A78" s="1"/>
      <c r="B78" s="276"/>
      <c r="C78" s="210"/>
      <c r="D78" s="210"/>
      <c r="E78" s="210"/>
      <c r="F78" s="515"/>
      <c r="G78" s="210"/>
      <c r="H78" s="209"/>
      <c r="I78" s="210"/>
      <c r="J78" s="516"/>
      <c r="K78" s="517"/>
      <c r="L78" s="518"/>
      <c r="M78" s="519"/>
      <c r="N78" s="1"/>
      <c r="O78" s="75"/>
      <c r="P78" s="1"/>
      <c r="Q78" s="1"/>
      <c r="R78" s="1"/>
      <c r="S78" s="1"/>
      <c r="T78" s="1"/>
      <c r="U78" s="1"/>
      <c r="V78" s="1"/>
      <c r="W78" s="1"/>
      <c r="X78" s="1"/>
      <c r="Y78" s="1"/>
      <c r="Z78" s="1"/>
    </row>
    <row r="79" spans="1:26" ht="15.75" customHeight="1">
      <c r="A79" s="1"/>
      <c r="B79" s="276"/>
      <c r="C79" s="210" t="s">
        <v>428</v>
      </c>
      <c r="D79" s="210" t="s">
        <v>429</v>
      </c>
      <c r="E79" s="210" t="s">
        <v>424</v>
      </c>
      <c r="F79" s="515">
        <v>665</v>
      </c>
      <c r="G79" s="210" t="s">
        <v>425</v>
      </c>
      <c r="H79" s="209">
        <v>140000</v>
      </c>
      <c r="I79" s="210" t="s">
        <v>426</v>
      </c>
      <c r="J79" s="520">
        <v>93.1</v>
      </c>
      <c r="K79" s="521">
        <v>7.48</v>
      </c>
      <c r="L79" s="522">
        <v>0</v>
      </c>
      <c r="M79" s="523">
        <v>0</v>
      </c>
      <c r="N79" s="1"/>
      <c r="O79" s="75" t="s">
        <v>427</v>
      </c>
      <c r="P79" s="1"/>
      <c r="Q79" s="1"/>
      <c r="R79" s="1"/>
      <c r="S79" s="1"/>
      <c r="T79" s="1"/>
      <c r="U79" s="1"/>
      <c r="V79" s="1"/>
      <c r="W79" s="1"/>
      <c r="X79" s="1"/>
      <c r="Y79" s="1"/>
      <c r="Z79" s="1"/>
    </row>
    <row r="80" spans="1:26" ht="15.75" customHeight="1">
      <c r="A80" s="1"/>
      <c r="B80" s="292"/>
      <c r="C80" s="501"/>
      <c r="D80" s="242"/>
      <c r="E80" s="242"/>
      <c r="F80" s="352"/>
      <c r="G80" s="242"/>
      <c r="H80" s="352"/>
      <c r="I80" s="242"/>
      <c r="J80" s="524"/>
      <c r="K80" s="503"/>
      <c r="L80" s="525"/>
      <c r="M80" s="526"/>
      <c r="N80" s="1"/>
      <c r="O80" s="75"/>
      <c r="P80" s="1"/>
      <c r="Q80" s="1"/>
      <c r="R80" s="1"/>
      <c r="S80" s="1"/>
      <c r="T80" s="1"/>
      <c r="U80" s="1"/>
      <c r="V80" s="1"/>
      <c r="W80" s="1"/>
      <c r="X80" s="1"/>
      <c r="Y80" s="1"/>
      <c r="Z80" s="1"/>
    </row>
    <row r="81" spans="1:26" ht="15.75" customHeight="1">
      <c r="A81" s="1"/>
      <c r="B81" s="505" t="s">
        <v>366</v>
      </c>
      <c r="C81" s="205" t="s">
        <v>367</v>
      </c>
      <c r="D81" s="204"/>
      <c r="E81" s="204"/>
      <c r="F81" s="506"/>
      <c r="G81" s="204"/>
      <c r="H81" s="506"/>
      <c r="I81" s="204"/>
      <c r="J81" s="507"/>
      <c r="K81" s="508"/>
      <c r="L81" s="527"/>
      <c r="M81" s="528"/>
      <c r="N81" s="1"/>
      <c r="O81" s="75"/>
      <c r="P81" s="1"/>
      <c r="Q81" s="1"/>
      <c r="R81" s="1"/>
      <c r="S81" s="1"/>
      <c r="T81" s="1"/>
      <c r="U81" s="1"/>
      <c r="V81" s="1"/>
      <c r="W81" s="1"/>
      <c r="X81" s="1"/>
      <c r="Y81" s="1"/>
      <c r="Z81" s="1"/>
    </row>
    <row r="82" spans="1:26" ht="15.75" customHeight="1">
      <c r="A82" s="1"/>
      <c r="B82" s="276"/>
      <c r="C82" s="510" t="s">
        <v>368</v>
      </c>
      <c r="D82" s="529" t="s">
        <v>369</v>
      </c>
      <c r="E82" s="510" t="s">
        <v>430</v>
      </c>
      <c r="F82" s="511">
        <v>1080000</v>
      </c>
      <c r="G82" s="510" t="s">
        <v>425</v>
      </c>
      <c r="H82" s="219">
        <v>139</v>
      </c>
      <c r="I82" s="510" t="s">
        <v>431</v>
      </c>
      <c r="J82" s="530">
        <v>150.12</v>
      </c>
      <c r="K82" s="531">
        <v>17.680268317647489</v>
      </c>
      <c r="L82" s="532">
        <v>1.3260544686342993E-4</v>
      </c>
      <c r="M82" s="533">
        <v>9.9719296041299302E-5</v>
      </c>
      <c r="N82" s="1"/>
      <c r="O82" s="75" t="s">
        <v>427</v>
      </c>
      <c r="P82" s="1"/>
      <c r="Q82" s="1"/>
      <c r="R82" s="1"/>
      <c r="S82" s="1"/>
      <c r="T82" s="1"/>
      <c r="U82" s="1"/>
      <c r="V82" s="1"/>
      <c r="W82" s="1"/>
      <c r="X82" s="1"/>
      <c r="Y82" s="1"/>
      <c r="Z82" s="1"/>
    </row>
    <row r="83" spans="1:26" ht="15.75" customHeight="1">
      <c r="A83" s="1"/>
      <c r="B83" s="276"/>
      <c r="C83" s="210"/>
      <c r="D83" s="233"/>
      <c r="E83" s="210"/>
      <c r="F83" s="209"/>
      <c r="G83" s="210"/>
      <c r="H83" s="209"/>
      <c r="I83" s="210"/>
      <c r="J83" s="534"/>
      <c r="K83" s="517"/>
      <c r="L83" s="535"/>
      <c r="M83" s="536"/>
      <c r="N83" s="1"/>
      <c r="O83" s="75"/>
      <c r="P83" s="1"/>
      <c r="Q83" s="1"/>
      <c r="R83" s="1"/>
      <c r="S83" s="1"/>
      <c r="T83" s="1"/>
      <c r="U83" s="1"/>
      <c r="V83" s="1"/>
      <c r="W83" s="1"/>
      <c r="X83" s="1"/>
      <c r="Y83" s="1"/>
      <c r="Z83" s="1"/>
    </row>
    <row r="84" spans="1:26" ht="15.75" customHeight="1">
      <c r="A84" s="1"/>
      <c r="B84" s="276"/>
      <c r="C84" s="510" t="s">
        <v>372</v>
      </c>
      <c r="D84" s="529" t="s">
        <v>373</v>
      </c>
      <c r="E84" s="510" t="s">
        <v>430</v>
      </c>
      <c r="F84" s="511">
        <v>1284000</v>
      </c>
      <c r="G84" s="510" t="s">
        <v>425</v>
      </c>
      <c r="H84" s="219">
        <v>139</v>
      </c>
      <c r="I84" s="510" t="s">
        <v>431</v>
      </c>
      <c r="J84" s="530">
        <v>178.476</v>
      </c>
      <c r="K84" s="517">
        <v>18.523037689018818</v>
      </c>
      <c r="L84" s="537">
        <v>1.5769468121567734E-4</v>
      </c>
      <c r="M84" s="538">
        <v>1.1869492134513347E-4</v>
      </c>
      <c r="N84" s="1"/>
      <c r="O84" s="75" t="s">
        <v>427</v>
      </c>
      <c r="P84" s="1"/>
      <c r="Q84" s="1"/>
      <c r="R84" s="1"/>
      <c r="S84" s="1"/>
      <c r="T84" s="1"/>
      <c r="U84" s="1"/>
      <c r="V84" s="1"/>
      <c r="W84" s="1"/>
      <c r="X84" s="1"/>
      <c r="Y84" s="1"/>
      <c r="Z84" s="1"/>
    </row>
    <row r="85" spans="1:26" ht="15.75" customHeight="1">
      <c r="A85" s="1"/>
      <c r="B85" s="539"/>
      <c r="C85" s="224"/>
      <c r="D85" s="540"/>
      <c r="E85" s="224"/>
      <c r="F85" s="348"/>
      <c r="G85" s="224"/>
      <c r="H85" s="348"/>
      <c r="I85" s="224"/>
      <c r="J85" s="541"/>
      <c r="K85" s="542"/>
      <c r="L85" s="543"/>
      <c r="M85" s="544"/>
      <c r="N85" s="1"/>
      <c r="O85" s="75"/>
      <c r="P85" s="1"/>
      <c r="Q85" s="1"/>
      <c r="R85" s="1"/>
      <c r="S85" s="1"/>
      <c r="T85" s="1"/>
      <c r="U85" s="1"/>
      <c r="V85" s="1"/>
      <c r="W85" s="1"/>
      <c r="X85" s="1"/>
      <c r="Y85" s="1"/>
      <c r="Z85" s="1"/>
    </row>
    <row r="86" spans="1:26" ht="15.75" customHeight="1">
      <c r="A86" s="1"/>
      <c r="B86" s="505" t="s">
        <v>374</v>
      </c>
      <c r="C86" s="205" t="s">
        <v>375</v>
      </c>
      <c r="D86" s="207"/>
      <c r="E86" s="204"/>
      <c r="F86" s="506"/>
      <c r="G86" s="204"/>
      <c r="H86" s="506"/>
      <c r="I86" s="204"/>
      <c r="J86" s="507"/>
      <c r="K86" s="508"/>
      <c r="L86" s="527"/>
      <c r="M86" s="528"/>
      <c r="N86" s="1"/>
      <c r="O86" s="75"/>
      <c r="P86" s="1"/>
      <c r="Q86" s="1"/>
      <c r="R86" s="1"/>
      <c r="S86" s="1"/>
      <c r="T86" s="1"/>
      <c r="U86" s="1"/>
      <c r="V86" s="1"/>
      <c r="W86" s="1"/>
      <c r="X86" s="1"/>
      <c r="Y86" s="1"/>
      <c r="Z86" s="1"/>
    </row>
    <row r="87" spans="1:26" ht="15.75" customHeight="1">
      <c r="A87" s="1"/>
      <c r="B87" s="276"/>
      <c r="C87" s="210" t="s">
        <v>432</v>
      </c>
      <c r="D87" s="233" t="s">
        <v>433</v>
      </c>
      <c r="E87" s="210" t="s">
        <v>430</v>
      </c>
      <c r="F87" s="515">
        <v>121000</v>
      </c>
      <c r="G87" s="210" t="s">
        <v>425</v>
      </c>
      <c r="H87" s="209">
        <v>139</v>
      </c>
      <c r="I87" s="210" t="s">
        <v>431</v>
      </c>
      <c r="J87" s="545">
        <v>16819</v>
      </c>
      <c r="K87" s="517">
        <v>1320</v>
      </c>
      <c r="L87" s="546">
        <v>1.2999999999999999E-2</v>
      </c>
      <c r="M87" s="519">
        <v>1.6E-2</v>
      </c>
      <c r="N87" s="1"/>
      <c r="O87" s="75" t="s">
        <v>427</v>
      </c>
      <c r="P87" s="1"/>
      <c r="Q87" s="1"/>
      <c r="R87" s="1"/>
      <c r="S87" s="1"/>
      <c r="T87" s="1"/>
      <c r="U87" s="1"/>
      <c r="V87" s="1"/>
      <c r="W87" s="1"/>
      <c r="X87" s="1"/>
      <c r="Y87" s="1"/>
      <c r="Z87" s="1"/>
    </row>
    <row r="88" spans="1:26" ht="15.75" customHeight="1">
      <c r="A88" s="1"/>
      <c r="B88" s="276"/>
      <c r="C88" s="210"/>
      <c r="D88" s="233"/>
      <c r="E88" s="210"/>
      <c r="F88" s="209"/>
      <c r="G88" s="210"/>
      <c r="H88" s="209"/>
      <c r="I88" s="210"/>
      <c r="J88" s="547"/>
      <c r="K88" s="511"/>
      <c r="L88" s="548"/>
      <c r="M88" s="536"/>
      <c r="N88" s="1"/>
      <c r="O88" s="75"/>
      <c r="P88" s="1"/>
      <c r="Q88" s="1"/>
      <c r="R88" s="1"/>
      <c r="S88" s="1"/>
      <c r="T88" s="1"/>
      <c r="U88" s="1"/>
      <c r="V88" s="1"/>
      <c r="W88" s="1"/>
      <c r="X88" s="1"/>
      <c r="Y88" s="1"/>
      <c r="Z88" s="1"/>
    </row>
    <row r="89" spans="1:26" ht="15.75" customHeight="1">
      <c r="A89" s="1"/>
      <c r="B89" s="276"/>
      <c r="C89" s="210" t="s">
        <v>434</v>
      </c>
      <c r="D89" s="233" t="s">
        <v>435</v>
      </c>
      <c r="E89" s="210" t="s">
        <v>430</v>
      </c>
      <c r="F89" s="515">
        <v>15000</v>
      </c>
      <c r="G89" s="210" t="s">
        <v>425</v>
      </c>
      <c r="H89" s="209">
        <v>139</v>
      </c>
      <c r="I89" s="210" t="s">
        <v>431</v>
      </c>
      <c r="J89" s="545">
        <v>2085</v>
      </c>
      <c r="K89" s="517">
        <v>164</v>
      </c>
      <c r="L89" s="546">
        <v>2E-3</v>
      </c>
      <c r="M89" s="519">
        <v>2E-3</v>
      </c>
      <c r="N89" s="1"/>
      <c r="O89" s="75" t="s">
        <v>427</v>
      </c>
      <c r="P89" s="1"/>
      <c r="Q89" s="1"/>
      <c r="R89" s="1"/>
      <c r="S89" s="1"/>
      <c r="T89" s="1"/>
      <c r="U89" s="1"/>
      <c r="V89" s="1"/>
      <c r="W89" s="1"/>
      <c r="X89" s="1"/>
      <c r="Y89" s="1"/>
      <c r="Z89" s="1"/>
    </row>
    <row r="90" spans="1:26" ht="15.75" customHeight="1">
      <c r="A90" s="1"/>
      <c r="B90" s="276"/>
      <c r="C90" s="210"/>
      <c r="D90" s="233"/>
      <c r="E90" s="210"/>
      <c r="F90" s="515"/>
      <c r="G90" s="210"/>
      <c r="H90" s="209"/>
      <c r="I90" s="210"/>
      <c r="J90" s="547"/>
      <c r="K90" s="511"/>
      <c r="L90" s="548"/>
      <c r="M90" s="536"/>
      <c r="N90" s="1"/>
      <c r="O90" s="75"/>
      <c r="P90" s="1"/>
      <c r="Q90" s="1"/>
      <c r="R90" s="1"/>
      <c r="S90" s="1"/>
      <c r="T90" s="1"/>
      <c r="U90" s="1"/>
      <c r="V90" s="1"/>
      <c r="W90" s="1"/>
      <c r="X90" s="1"/>
      <c r="Y90" s="1"/>
      <c r="Z90" s="1"/>
    </row>
    <row r="91" spans="1:26" ht="15.75" customHeight="1">
      <c r="A91" s="1"/>
      <c r="B91" s="539"/>
      <c r="C91" s="224" t="s">
        <v>436</v>
      </c>
      <c r="D91" s="540" t="s">
        <v>437</v>
      </c>
      <c r="E91" s="224" t="s">
        <v>430</v>
      </c>
      <c r="F91" s="549">
        <v>89000</v>
      </c>
      <c r="G91" s="224" t="s">
        <v>425</v>
      </c>
      <c r="H91" s="348">
        <v>139</v>
      </c>
      <c r="I91" s="224" t="s">
        <v>431</v>
      </c>
      <c r="J91" s="550">
        <v>12371</v>
      </c>
      <c r="K91" s="542">
        <v>968</v>
      </c>
      <c r="L91" s="551">
        <v>0.01</v>
      </c>
      <c r="M91" s="552">
        <v>1.2E-2</v>
      </c>
      <c r="N91" s="1"/>
      <c r="O91" s="75" t="s">
        <v>427</v>
      </c>
      <c r="P91" s="1"/>
      <c r="Q91" s="1"/>
      <c r="R91" s="1"/>
      <c r="S91" s="1"/>
      <c r="T91" s="1"/>
      <c r="U91" s="1"/>
      <c r="V91" s="1"/>
      <c r="W91" s="1"/>
      <c r="X91" s="1"/>
      <c r="Y91" s="1"/>
      <c r="Z91" s="1"/>
    </row>
    <row r="92" spans="1:26" ht="15.75" customHeight="1">
      <c r="A92" s="1"/>
      <c r="B92" s="292"/>
      <c r="C92" s="242"/>
      <c r="D92" s="242"/>
      <c r="E92" s="242"/>
      <c r="F92" s="352"/>
      <c r="G92" s="242"/>
      <c r="H92" s="352"/>
      <c r="I92" s="242"/>
      <c r="J92" s="524"/>
      <c r="K92" s="503"/>
      <c r="L92" s="525"/>
      <c r="M92" s="526"/>
      <c r="N92" s="1"/>
      <c r="O92" s="75"/>
      <c r="P92" s="1"/>
      <c r="Q92" s="1"/>
      <c r="R92" s="1"/>
      <c r="S92" s="1"/>
      <c r="T92" s="1"/>
      <c r="U92" s="1"/>
      <c r="V92" s="1"/>
      <c r="W92" s="1"/>
      <c r="X92" s="1"/>
      <c r="Y92" s="1"/>
      <c r="Z92" s="1"/>
    </row>
    <row r="93" spans="1:26" ht="15.75" customHeight="1">
      <c r="A93" s="1"/>
      <c r="B93" s="505" t="s">
        <v>380</v>
      </c>
      <c r="C93" s="205" t="s">
        <v>381</v>
      </c>
      <c r="D93" s="204"/>
      <c r="E93" s="204"/>
      <c r="F93" s="506"/>
      <c r="G93" s="204"/>
      <c r="H93" s="506"/>
      <c r="I93" s="204"/>
      <c r="J93" s="553"/>
      <c r="K93" s="508"/>
      <c r="L93" s="527"/>
      <c r="M93" s="528"/>
      <c r="N93" s="1"/>
      <c r="O93" s="75"/>
      <c r="P93" s="1"/>
      <c r="Q93" s="1"/>
      <c r="R93" s="1"/>
      <c r="S93" s="1"/>
      <c r="T93" s="1"/>
      <c r="U93" s="1"/>
      <c r="V93" s="1"/>
      <c r="W93" s="1"/>
      <c r="X93" s="1"/>
      <c r="Y93" s="1"/>
      <c r="Z93" s="1"/>
    </row>
    <row r="94" spans="1:26" ht="15.75" customHeight="1">
      <c r="A94" s="1"/>
      <c r="B94" s="276"/>
      <c r="C94" s="210"/>
      <c r="D94" s="210"/>
      <c r="E94" s="210"/>
      <c r="F94" s="209"/>
      <c r="G94" s="210"/>
      <c r="H94" s="209"/>
      <c r="I94" s="210"/>
      <c r="J94" s="547"/>
      <c r="K94" s="511"/>
      <c r="L94" s="535"/>
      <c r="M94" s="536"/>
      <c r="N94" s="1"/>
      <c r="O94" s="75"/>
      <c r="P94" s="1"/>
      <c r="Q94" s="1"/>
      <c r="R94" s="1"/>
      <c r="S94" s="1"/>
      <c r="T94" s="1"/>
      <c r="U94" s="1"/>
      <c r="V94" s="1"/>
      <c r="W94" s="1"/>
      <c r="X94" s="1"/>
      <c r="Y94" s="1"/>
      <c r="Z94" s="1"/>
    </row>
    <row r="95" spans="1:26" ht="15.75" customHeight="1">
      <c r="A95" s="1"/>
      <c r="B95" s="276"/>
      <c r="C95" s="510" t="s">
        <v>382</v>
      </c>
      <c r="D95" s="529" t="s">
        <v>369</v>
      </c>
      <c r="E95" s="510" t="s">
        <v>438</v>
      </c>
      <c r="F95" s="511">
        <v>757726</v>
      </c>
      <c r="G95" s="510" t="s">
        <v>425</v>
      </c>
      <c r="H95" s="219">
        <v>137572</v>
      </c>
      <c r="I95" s="510" t="s">
        <v>426</v>
      </c>
      <c r="J95" s="530">
        <v>104241.881272</v>
      </c>
      <c r="K95" s="517">
        <v>11245.385398090562</v>
      </c>
      <c r="L95" s="537">
        <v>8.2187363707763347E-2</v>
      </c>
      <c r="M95" s="538">
        <v>6.5777586792228462E-2</v>
      </c>
      <c r="N95" s="1"/>
      <c r="O95" s="75" t="s">
        <v>427</v>
      </c>
      <c r="P95" s="1"/>
      <c r="Q95" s="1"/>
      <c r="R95" s="1"/>
      <c r="S95" s="1"/>
      <c r="T95" s="1"/>
      <c r="U95" s="1"/>
      <c r="V95" s="1"/>
      <c r="W95" s="1"/>
      <c r="X95" s="1"/>
      <c r="Y95" s="1"/>
      <c r="Z95" s="1"/>
    </row>
    <row r="96" spans="1:26" ht="15.75" customHeight="1">
      <c r="A96" s="1"/>
      <c r="B96" s="276"/>
      <c r="C96" s="210"/>
      <c r="D96" s="210"/>
      <c r="E96" s="210"/>
      <c r="F96" s="209"/>
      <c r="G96" s="210"/>
      <c r="H96" s="209"/>
      <c r="I96" s="210"/>
      <c r="J96" s="545"/>
      <c r="K96" s="511"/>
      <c r="L96" s="535"/>
      <c r="M96" s="536"/>
      <c r="N96" s="1"/>
      <c r="O96" s="75"/>
      <c r="P96" s="1"/>
      <c r="Q96" s="1"/>
      <c r="R96" s="1"/>
      <c r="S96" s="1"/>
      <c r="T96" s="1"/>
      <c r="U96" s="1"/>
      <c r="V96" s="1"/>
      <c r="W96" s="1"/>
      <c r="X96" s="1"/>
      <c r="Y96" s="1"/>
      <c r="Z96" s="1"/>
    </row>
    <row r="97" spans="1:26" ht="15.75" customHeight="1">
      <c r="A97" s="1"/>
      <c r="B97" s="276"/>
      <c r="C97" s="510" t="s">
        <v>384</v>
      </c>
      <c r="D97" s="529" t="s">
        <v>373</v>
      </c>
      <c r="E97" s="510" t="s">
        <v>438</v>
      </c>
      <c r="F97" s="511">
        <v>47448</v>
      </c>
      <c r="G97" s="510" t="s">
        <v>425</v>
      </c>
      <c r="H97" s="219">
        <v>137658</v>
      </c>
      <c r="I97" s="510" t="s">
        <v>426</v>
      </c>
      <c r="J97" s="530">
        <v>6531.5967840000003</v>
      </c>
      <c r="K97" s="517">
        <v>701.03180350719674</v>
      </c>
      <c r="L97" s="537">
        <v>5.1239178346359441E-3</v>
      </c>
      <c r="M97" s="538">
        <v>4.0991342677087553E-3</v>
      </c>
      <c r="N97" s="1"/>
      <c r="O97" s="75" t="s">
        <v>427</v>
      </c>
      <c r="P97" s="1"/>
      <c r="Q97" s="1"/>
      <c r="R97" s="1"/>
      <c r="S97" s="1"/>
      <c r="T97" s="1"/>
      <c r="U97" s="1"/>
      <c r="V97" s="1"/>
      <c r="W97" s="1"/>
      <c r="X97" s="1"/>
      <c r="Y97" s="1"/>
      <c r="Z97" s="1"/>
    </row>
    <row r="98" spans="1:26" ht="15.75" customHeight="1">
      <c r="A98" s="1"/>
      <c r="B98" s="276"/>
      <c r="C98" s="210"/>
      <c r="D98" s="233"/>
      <c r="E98" s="210"/>
      <c r="F98" s="209"/>
      <c r="G98" s="210"/>
      <c r="H98" s="209"/>
      <c r="I98" s="210"/>
      <c r="J98" s="545"/>
      <c r="K98" s="511"/>
      <c r="L98" s="535"/>
      <c r="M98" s="536"/>
      <c r="N98" s="1"/>
      <c r="O98" s="75"/>
      <c r="P98" s="1"/>
      <c r="Q98" s="1"/>
      <c r="R98" s="1"/>
      <c r="S98" s="1"/>
      <c r="T98" s="1"/>
      <c r="U98" s="1"/>
      <c r="V98" s="1"/>
      <c r="W98" s="1"/>
      <c r="X98" s="1"/>
      <c r="Y98" s="1"/>
      <c r="Z98" s="1"/>
    </row>
    <row r="99" spans="1:26" ht="15.75" customHeight="1">
      <c r="A99" s="1"/>
      <c r="B99" s="276"/>
      <c r="C99" s="210" t="s">
        <v>439</v>
      </c>
      <c r="D99" s="233" t="s">
        <v>440</v>
      </c>
      <c r="E99" s="210" t="s">
        <v>438</v>
      </c>
      <c r="F99" s="515">
        <v>63080</v>
      </c>
      <c r="G99" s="210" t="s">
        <v>425</v>
      </c>
      <c r="H99" s="209">
        <v>137630</v>
      </c>
      <c r="I99" s="210" t="s">
        <v>426</v>
      </c>
      <c r="J99" s="545">
        <v>8681.7003999999997</v>
      </c>
      <c r="K99" s="517">
        <v>1550</v>
      </c>
      <c r="L99" s="554">
        <v>2.0000000000000001E-4</v>
      </c>
      <c r="M99" s="519">
        <v>3.5000000000000003E-2</v>
      </c>
      <c r="N99" s="1"/>
      <c r="O99" s="75" t="s">
        <v>427</v>
      </c>
      <c r="P99" s="1"/>
      <c r="Q99" s="1"/>
      <c r="R99" s="1"/>
      <c r="S99" s="1"/>
      <c r="T99" s="1"/>
      <c r="U99" s="1"/>
      <c r="V99" s="1"/>
      <c r="W99" s="1"/>
      <c r="X99" s="1"/>
      <c r="Y99" s="1"/>
      <c r="Z99" s="1"/>
    </row>
    <row r="100" spans="1:26" ht="15.75" customHeight="1">
      <c r="A100" s="1"/>
      <c r="B100" s="276"/>
      <c r="C100" s="210"/>
      <c r="D100" s="233"/>
      <c r="E100" s="210"/>
      <c r="F100" s="209"/>
      <c r="G100" s="210"/>
      <c r="H100" s="209"/>
      <c r="I100" s="210"/>
      <c r="J100" s="547"/>
      <c r="K100" s="511"/>
      <c r="L100" s="535"/>
      <c r="M100" s="536"/>
      <c r="N100" s="1"/>
      <c r="O100" s="75"/>
      <c r="P100" s="1"/>
      <c r="Q100" s="1"/>
      <c r="R100" s="1"/>
      <c r="S100" s="1"/>
      <c r="T100" s="1"/>
      <c r="U100" s="1"/>
      <c r="V100" s="1"/>
      <c r="W100" s="1"/>
      <c r="X100" s="1"/>
      <c r="Y100" s="1"/>
      <c r="Z100" s="1"/>
    </row>
    <row r="101" spans="1:26" ht="15.75" customHeight="1">
      <c r="A101" s="1"/>
      <c r="B101" s="276"/>
      <c r="C101" s="210" t="s">
        <v>441</v>
      </c>
      <c r="D101" s="233" t="s">
        <v>442</v>
      </c>
      <c r="E101" s="210" t="s">
        <v>438</v>
      </c>
      <c r="F101" s="515">
        <v>111736</v>
      </c>
      <c r="G101" s="210" t="s">
        <v>425</v>
      </c>
      <c r="H101" s="209">
        <v>137630</v>
      </c>
      <c r="I101" s="210" t="s">
        <v>426</v>
      </c>
      <c r="J101" s="545">
        <v>10527</v>
      </c>
      <c r="K101" s="511">
        <v>854</v>
      </c>
      <c r="L101" s="555">
        <v>2.9999999999999997E-4</v>
      </c>
      <c r="M101" s="536">
        <v>6.2E-2</v>
      </c>
      <c r="N101" s="1"/>
      <c r="O101" s="75" t="s">
        <v>341</v>
      </c>
      <c r="P101" s="1"/>
      <c r="Q101" s="1"/>
      <c r="R101" s="1"/>
      <c r="S101" s="1"/>
      <c r="T101" s="1"/>
      <c r="U101" s="1"/>
      <c r="V101" s="1"/>
      <c r="W101" s="1"/>
      <c r="X101" s="1"/>
      <c r="Y101" s="1"/>
      <c r="Z101" s="1"/>
    </row>
    <row r="102" spans="1:26" ht="15.75" customHeight="1">
      <c r="A102" s="1"/>
      <c r="B102" s="276"/>
      <c r="C102" s="210"/>
      <c r="D102" s="233"/>
      <c r="E102" s="210"/>
      <c r="F102" s="209"/>
      <c r="G102" s="210"/>
      <c r="H102" s="209"/>
      <c r="I102" s="210"/>
      <c r="J102" s="547"/>
      <c r="K102" s="511"/>
      <c r="L102" s="535"/>
      <c r="M102" s="536"/>
      <c r="N102" s="1"/>
      <c r="O102" s="75"/>
      <c r="P102" s="1"/>
      <c r="Q102" s="1"/>
      <c r="R102" s="1"/>
      <c r="S102" s="1"/>
      <c r="T102" s="1"/>
      <c r="U102" s="1"/>
      <c r="V102" s="1"/>
      <c r="W102" s="1"/>
      <c r="X102" s="1"/>
      <c r="Y102" s="1"/>
      <c r="Z102" s="1"/>
    </row>
    <row r="103" spans="1:26" ht="15.75" customHeight="1">
      <c r="A103" s="1"/>
      <c r="B103" s="276"/>
      <c r="C103" s="510" t="s">
        <v>443</v>
      </c>
      <c r="D103" s="529" t="s">
        <v>444</v>
      </c>
      <c r="E103" s="510" t="s">
        <v>438</v>
      </c>
      <c r="F103" s="511">
        <v>269708</v>
      </c>
      <c r="G103" s="510" t="s">
        <v>425</v>
      </c>
      <c r="H103" s="219">
        <v>139001</v>
      </c>
      <c r="I103" s="510" t="s">
        <v>426</v>
      </c>
      <c r="J103" s="530">
        <v>37489.681707999996</v>
      </c>
      <c r="K103" s="517">
        <v>2444.017633327051</v>
      </c>
      <c r="L103" s="537">
        <v>1.4580915764344652E-2</v>
      </c>
      <c r="M103" s="538">
        <v>5.9111820666262097E-2</v>
      </c>
      <c r="N103" s="1"/>
      <c r="O103" s="75" t="s">
        <v>427</v>
      </c>
      <c r="P103" s="1"/>
      <c r="Q103" s="1"/>
      <c r="R103" s="1"/>
      <c r="S103" s="1"/>
      <c r="T103" s="1"/>
      <c r="U103" s="1"/>
      <c r="V103" s="1"/>
      <c r="W103" s="1"/>
      <c r="X103" s="1"/>
      <c r="Y103" s="1"/>
      <c r="Z103" s="1"/>
    </row>
    <row r="104" spans="1:26" ht="15.75" customHeight="1">
      <c r="A104" s="1"/>
      <c r="B104" s="276"/>
      <c r="C104" s="210"/>
      <c r="D104" s="233"/>
      <c r="E104" s="210"/>
      <c r="F104" s="209"/>
      <c r="G104" s="210"/>
      <c r="H104" s="209"/>
      <c r="I104" s="210"/>
      <c r="J104" s="545"/>
      <c r="K104" s="511"/>
      <c r="L104" s="535"/>
      <c r="M104" s="536"/>
      <c r="N104" s="1"/>
      <c r="O104" s="75"/>
      <c r="P104" s="1"/>
      <c r="Q104" s="1"/>
      <c r="R104" s="1"/>
      <c r="S104" s="1"/>
      <c r="T104" s="1"/>
      <c r="U104" s="1"/>
      <c r="V104" s="1"/>
      <c r="W104" s="1"/>
      <c r="X104" s="1"/>
      <c r="Y104" s="1"/>
      <c r="Z104" s="1"/>
    </row>
    <row r="105" spans="1:26" ht="15.75" customHeight="1">
      <c r="A105" s="1"/>
      <c r="B105" s="276"/>
      <c r="C105" s="510" t="s">
        <v>445</v>
      </c>
      <c r="D105" s="529" t="s">
        <v>446</v>
      </c>
      <c r="E105" s="510" t="s">
        <v>438</v>
      </c>
      <c r="F105" s="511">
        <v>66485</v>
      </c>
      <c r="G105" s="510" t="s">
        <v>425</v>
      </c>
      <c r="H105" s="219">
        <v>139001</v>
      </c>
      <c r="I105" s="510" t="s">
        <v>426</v>
      </c>
      <c r="J105" s="530">
        <v>9241.4814850000002</v>
      </c>
      <c r="K105" s="517">
        <v>565.3152868808354</v>
      </c>
      <c r="L105" s="537">
        <v>3.7826957772946995E-3</v>
      </c>
      <c r="M105" s="538">
        <v>1.0316443028985546E-2</v>
      </c>
      <c r="N105" s="1"/>
      <c r="O105" s="75" t="s">
        <v>427</v>
      </c>
      <c r="P105" s="1"/>
      <c r="Q105" s="1"/>
      <c r="R105" s="1"/>
      <c r="S105" s="1"/>
      <c r="T105" s="1"/>
      <c r="U105" s="1"/>
      <c r="V105" s="1"/>
      <c r="W105" s="1"/>
      <c r="X105" s="1"/>
      <c r="Y105" s="1"/>
      <c r="Z105" s="1"/>
    </row>
    <row r="106" spans="1:26" ht="15.75" customHeight="1">
      <c r="A106" s="1"/>
      <c r="B106" s="276"/>
      <c r="C106" s="210"/>
      <c r="D106" s="233"/>
      <c r="E106" s="210"/>
      <c r="F106" s="209"/>
      <c r="G106" s="210"/>
      <c r="H106" s="209"/>
      <c r="I106" s="210"/>
      <c r="J106" s="545"/>
      <c r="K106" s="511"/>
      <c r="L106" s="535"/>
      <c r="M106" s="536"/>
      <c r="N106" s="1"/>
      <c r="O106" s="75"/>
      <c r="P106" s="1"/>
      <c r="Q106" s="1"/>
      <c r="R106" s="1"/>
      <c r="S106" s="1"/>
      <c r="T106" s="1"/>
      <c r="U106" s="1"/>
      <c r="V106" s="1"/>
      <c r="W106" s="1"/>
      <c r="X106" s="1"/>
      <c r="Y106" s="1"/>
      <c r="Z106" s="1"/>
    </row>
    <row r="107" spans="1:26" ht="15.75" customHeight="1">
      <c r="A107" s="1"/>
      <c r="B107" s="276"/>
      <c r="C107" s="510" t="s">
        <v>447</v>
      </c>
      <c r="D107" s="529" t="s">
        <v>448</v>
      </c>
      <c r="E107" s="510" t="s">
        <v>438</v>
      </c>
      <c r="F107" s="511">
        <v>145075</v>
      </c>
      <c r="G107" s="510" t="s">
        <v>425</v>
      </c>
      <c r="H107" s="219">
        <v>139001</v>
      </c>
      <c r="I107" s="510" t="s">
        <v>426</v>
      </c>
      <c r="J107" s="530">
        <v>20165.570075</v>
      </c>
      <c r="K107" s="517">
        <v>1167.5515959444067</v>
      </c>
      <c r="L107" s="537">
        <v>7.3810337159427898E-3</v>
      </c>
      <c r="M107" s="538">
        <v>2.0666894404639813E-2</v>
      </c>
      <c r="N107" s="1"/>
      <c r="O107" s="75" t="s">
        <v>427</v>
      </c>
      <c r="P107" s="1"/>
      <c r="Q107" s="1"/>
      <c r="R107" s="1"/>
      <c r="S107" s="1"/>
      <c r="T107" s="1"/>
      <c r="U107" s="1"/>
      <c r="V107" s="1"/>
      <c r="W107" s="1"/>
      <c r="X107" s="1"/>
      <c r="Y107" s="1"/>
      <c r="Z107" s="1"/>
    </row>
    <row r="108" spans="1:26" ht="15.75" customHeight="1">
      <c r="A108" s="1"/>
      <c r="B108" s="276"/>
      <c r="C108" s="210"/>
      <c r="D108" s="233"/>
      <c r="E108" s="210"/>
      <c r="F108" s="209"/>
      <c r="G108" s="210"/>
      <c r="H108" s="209"/>
      <c r="I108" s="210"/>
      <c r="J108" s="545"/>
      <c r="K108" s="511"/>
      <c r="L108" s="535"/>
      <c r="M108" s="536"/>
      <c r="N108" s="1"/>
      <c r="O108" s="75"/>
      <c r="P108" s="1"/>
      <c r="Q108" s="1"/>
      <c r="R108" s="1"/>
      <c r="S108" s="1"/>
      <c r="T108" s="1"/>
      <c r="U108" s="1"/>
      <c r="V108" s="1"/>
      <c r="W108" s="1"/>
      <c r="X108" s="1"/>
      <c r="Y108" s="1"/>
      <c r="Z108" s="1"/>
    </row>
    <row r="109" spans="1:26" ht="15.75" customHeight="1">
      <c r="A109" s="1"/>
      <c r="B109" s="276"/>
      <c r="C109" s="510" t="s">
        <v>449</v>
      </c>
      <c r="D109" s="529" t="s">
        <v>450</v>
      </c>
      <c r="E109" s="510" t="s">
        <v>438</v>
      </c>
      <c r="F109" s="511">
        <v>209727</v>
      </c>
      <c r="G109" s="510" t="s">
        <v>425</v>
      </c>
      <c r="H109" s="219">
        <v>139001</v>
      </c>
      <c r="I109" s="510" t="s">
        <v>426</v>
      </c>
      <c r="J109" s="530">
        <v>29152.262727000001</v>
      </c>
      <c r="K109" s="517">
        <v>1960.3415059859005</v>
      </c>
      <c r="L109" s="537">
        <v>1.2381211735791457E-2</v>
      </c>
      <c r="M109" s="538">
        <v>3.9568821011292277E-2</v>
      </c>
      <c r="N109" s="1"/>
      <c r="O109" s="75" t="s">
        <v>427</v>
      </c>
      <c r="P109" s="1"/>
      <c r="Q109" s="1"/>
      <c r="R109" s="1"/>
      <c r="S109" s="1"/>
      <c r="T109" s="1"/>
      <c r="U109" s="1"/>
      <c r="V109" s="1"/>
      <c r="W109" s="1"/>
      <c r="X109" s="1"/>
      <c r="Y109" s="1"/>
      <c r="Z109" s="1"/>
    </row>
    <row r="110" spans="1:26" ht="15.75" customHeight="1">
      <c r="A110" s="1"/>
      <c r="B110" s="276"/>
      <c r="C110" s="210"/>
      <c r="D110" s="233"/>
      <c r="E110" s="210"/>
      <c r="F110" s="209"/>
      <c r="G110" s="210"/>
      <c r="H110" s="209"/>
      <c r="I110" s="210"/>
      <c r="J110" s="545"/>
      <c r="K110" s="511"/>
      <c r="L110" s="535"/>
      <c r="M110" s="536"/>
      <c r="N110" s="1"/>
      <c r="O110" s="75"/>
      <c r="P110" s="1"/>
      <c r="Q110" s="1"/>
      <c r="R110" s="1"/>
      <c r="S110" s="1"/>
      <c r="T110" s="1"/>
      <c r="U110" s="1"/>
      <c r="V110" s="1"/>
      <c r="W110" s="1"/>
      <c r="X110" s="1"/>
      <c r="Y110" s="1"/>
      <c r="Z110" s="1"/>
    </row>
    <row r="111" spans="1:26" ht="15.75" customHeight="1">
      <c r="A111" s="1"/>
      <c r="B111" s="276"/>
      <c r="C111" s="210" t="s">
        <v>451</v>
      </c>
      <c r="D111" s="233" t="s">
        <v>452</v>
      </c>
      <c r="E111" s="210" t="s">
        <v>438</v>
      </c>
      <c r="F111" s="515">
        <v>661277</v>
      </c>
      <c r="G111" s="210" t="s">
        <v>425</v>
      </c>
      <c r="H111" s="209">
        <v>139001</v>
      </c>
      <c r="I111" s="210" t="s">
        <v>426</v>
      </c>
      <c r="J111" s="534">
        <v>91918.164277000003</v>
      </c>
      <c r="K111" s="511">
        <v>7510</v>
      </c>
      <c r="L111" s="535">
        <v>0.24</v>
      </c>
      <c r="M111" s="536">
        <v>0.37</v>
      </c>
      <c r="N111" s="1"/>
      <c r="O111" s="75" t="s">
        <v>427</v>
      </c>
      <c r="P111" s="1"/>
      <c r="Q111" s="1"/>
      <c r="R111" s="1"/>
      <c r="S111" s="1"/>
      <c r="T111" s="1"/>
      <c r="U111" s="1"/>
      <c r="V111" s="1"/>
      <c r="W111" s="1"/>
      <c r="X111" s="1"/>
      <c r="Y111" s="1"/>
      <c r="Z111" s="1"/>
    </row>
    <row r="112" spans="1:26" ht="15.75" customHeight="1">
      <c r="A112" s="1"/>
      <c r="B112" s="276"/>
      <c r="C112" s="210" t="s">
        <v>453</v>
      </c>
      <c r="D112" s="233" t="s">
        <v>454</v>
      </c>
      <c r="E112" s="210" t="s">
        <v>438</v>
      </c>
      <c r="F112" s="515">
        <v>761546</v>
      </c>
      <c r="G112" s="210" t="s">
        <v>425</v>
      </c>
      <c r="H112" s="209">
        <v>139001</v>
      </c>
      <c r="I112" s="210" t="s">
        <v>426</v>
      </c>
      <c r="J112" s="534">
        <v>105855.65554599999</v>
      </c>
      <c r="K112" s="511">
        <v>8648</v>
      </c>
      <c r="L112" s="535">
        <v>0.28000000000000003</v>
      </c>
      <c r="M112" s="536">
        <v>0.42</v>
      </c>
      <c r="N112" s="1"/>
      <c r="O112" s="75" t="s">
        <v>427</v>
      </c>
      <c r="P112" s="1"/>
      <c r="Q112" s="1"/>
      <c r="R112" s="1"/>
      <c r="S112" s="1"/>
      <c r="T112" s="1"/>
      <c r="U112" s="1"/>
      <c r="V112" s="1"/>
      <c r="W112" s="1"/>
      <c r="X112" s="1"/>
      <c r="Y112" s="1"/>
      <c r="Z112" s="1"/>
    </row>
    <row r="113" spans="1:26" ht="15.75" customHeight="1">
      <c r="A113" s="1"/>
      <c r="B113" s="276"/>
      <c r="C113" s="210" t="s">
        <v>455</v>
      </c>
      <c r="D113" s="233" t="s">
        <v>456</v>
      </c>
      <c r="E113" s="210" t="s">
        <v>438</v>
      </c>
      <c r="F113" s="515">
        <v>390</v>
      </c>
      <c r="G113" s="210" t="s">
        <v>425</v>
      </c>
      <c r="H113" s="209">
        <v>139001</v>
      </c>
      <c r="I113" s="210" t="s">
        <v>426</v>
      </c>
      <c r="J113" s="534">
        <v>54.210389999999997</v>
      </c>
      <c r="K113" s="511">
        <v>4</v>
      </c>
      <c r="L113" s="556">
        <v>1.3999999999999999E-4</v>
      </c>
      <c r="M113" s="557">
        <v>2.2000000000000001E-4</v>
      </c>
      <c r="N113" s="1"/>
      <c r="O113" s="75" t="s">
        <v>427</v>
      </c>
      <c r="P113" s="1"/>
      <c r="Q113" s="1"/>
      <c r="R113" s="1"/>
      <c r="S113" s="1"/>
      <c r="T113" s="1"/>
      <c r="U113" s="1"/>
      <c r="V113" s="1"/>
      <c r="W113" s="1"/>
      <c r="X113" s="1"/>
      <c r="Y113" s="1"/>
      <c r="Z113" s="1"/>
    </row>
    <row r="114" spans="1:26" ht="15.75" customHeight="1">
      <c r="A114" s="1"/>
      <c r="B114" s="539"/>
      <c r="C114" s="224"/>
      <c r="D114" s="224"/>
      <c r="E114" s="224"/>
      <c r="F114" s="348"/>
      <c r="G114" s="224"/>
      <c r="H114" s="348"/>
      <c r="I114" s="224"/>
      <c r="J114" s="558"/>
      <c r="K114" s="559"/>
      <c r="L114" s="543"/>
      <c r="M114" s="544"/>
      <c r="N114" s="1"/>
      <c r="O114" s="75"/>
      <c r="P114" s="1"/>
      <c r="Q114" s="1"/>
      <c r="R114" s="1"/>
      <c r="S114" s="1"/>
      <c r="T114" s="1"/>
      <c r="U114" s="1"/>
      <c r="V114" s="1"/>
      <c r="W114" s="1"/>
      <c r="X114" s="1"/>
      <c r="Y114" s="1"/>
      <c r="Z114" s="1"/>
    </row>
    <row r="115" spans="1:26" ht="15.75" customHeight="1">
      <c r="A115" s="1"/>
      <c r="B115" s="292"/>
      <c r="C115" s="242"/>
      <c r="D115" s="242"/>
      <c r="E115" s="242"/>
      <c r="F115" s="352"/>
      <c r="G115" s="242"/>
      <c r="H115" s="352"/>
      <c r="I115" s="242"/>
      <c r="J115" s="524"/>
      <c r="K115" s="503"/>
      <c r="L115" s="525"/>
      <c r="M115" s="526"/>
      <c r="N115" s="1"/>
      <c r="O115" s="75"/>
      <c r="P115" s="1"/>
      <c r="Q115" s="1"/>
      <c r="R115" s="1"/>
      <c r="S115" s="1"/>
      <c r="T115" s="1"/>
      <c r="U115" s="1"/>
      <c r="V115" s="1"/>
      <c r="W115" s="1"/>
      <c r="X115" s="1"/>
      <c r="Y115" s="1"/>
      <c r="Z115" s="1"/>
    </row>
    <row r="116" spans="1:26" ht="15.75" customHeight="1">
      <c r="A116" s="1"/>
      <c r="B116" s="505" t="s">
        <v>457</v>
      </c>
      <c r="C116" s="205" t="s">
        <v>458</v>
      </c>
      <c r="D116" s="204"/>
      <c r="E116" s="204"/>
      <c r="F116" s="506"/>
      <c r="G116" s="204"/>
      <c r="H116" s="506"/>
      <c r="I116" s="204"/>
      <c r="J116" s="553"/>
      <c r="K116" s="508"/>
      <c r="L116" s="527"/>
      <c r="M116" s="528"/>
      <c r="N116" s="1"/>
      <c r="O116" s="75"/>
      <c r="P116" s="1"/>
      <c r="Q116" s="1"/>
      <c r="R116" s="1"/>
      <c r="S116" s="1"/>
      <c r="T116" s="1"/>
      <c r="U116" s="1"/>
      <c r="V116" s="1"/>
      <c r="W116" s="1"/>
      <c r="X116" s="1"/>
      <c r="Y116" s="1"/>
      <c r="Z116" s="1"/>
    </row>
    <row r="117" spans="1:26" ht="15.75" customHeight="1">
      <c r="A117" s="1"/>
      <c r="B117" s="276"/>
      <c r="C117" s="510" t="s">
        <v>459</v>
      </c>
      <c r="D117" s="510" t="s">
        <v>460</v>
      </c>
      <c r="E117" s="510" t="s">
        <v>438</v>
      </c>
      <c r="F117" s="511">
        <v>148903</v>
      </c>
      <c r="G117" s="510" t="s">
        <v>425</v>
      </c>
      <c r="H117" s="219">
        <v>138464</v>
      </c>
      <c r="I117" s="510" t="s">
        <v>426</v>
      </c>
      <c r="J117" s="530">
        <v>20617.704991999999</v>
      </c>
      <c r="K117" s="341">
        <v>1208.7965920985203</v>
      </c>
      <c r="L117" s="513">
        <v>1.9890445045749772E-2</v>
      </c>
      <c r="M117" s="514">
        <v>3.9780890091499543E-2</v>
      </c>
      <c r="N117" s="1"/>
      <c r="O117" s="75" t="s">
        <v>427</v>
      </c>
      <c r="P117" s="1"/>
      <c r="Q117" s="1"/>
      <c r="R117" s="1"/>
      <c r="S117" s="1"/>
      <c r="T117" s="1"/>
      <c r="U117" s="1"/>
      <c r="V117" s="1"/>
      <c r="W117" s="1"/>
      <c r="X117" s="1"/>
      <c r="Y117" s="1"/>
      <c r="Z117" s="1"/>
    </row>
    <row r="118" spans="1:26" ht="15.75" customHeight="1">
      <c r="A118" s="1"/>
      <c r="B118" s="539"/>
      <c r="C118" s="224"/>
      <c r="D118" s="224"/>
      <c r="E118" s="224"/>
      <c r="F118" s="348"/>
      <c r="G118" s="224"/>
      <c r="H118" s="348"/>
      <c r="I118" s="224"/>
      <c r="J118" s="550"/>
      <c r="K118" s="542"/>
      <c r="L118" s="543"/>
      <c r="M118" s="544"/>
      <c r="N118" s="1"/>
      <c r="O118" s="75"/>
      <c r="P118" s="1"/>
      <c r="Q118" s="1"/>
      <c r="R118" s="1"/>
      <c r="S118" s="1"/>
      <c r="T118" s="1"/>
      <c r="U118" s="1"/>
      <c r="V118" s="1"/>
      <c r="W118" s="1"/>
      <c r="X118" s="1"/>
      <c r="Y118" s="1"/>
      <c r="Z118" s="1"/>
    </row>
    <row r="119" spans="1:26" ht="15.75" customHeight="1">
      <c r="A119" s="1"/>
      <c r="B119" s="505" t="s">
        <v>385</v>
      </c>
      <c r="C119" s="205" t="s">
        <v>386</v>
      </c>
      <c r="D119" s="204"/>
      <c r="E119" s="204"/>
      <c r="F119" s="506"/>
      <c r="G119" s="204"/>
      <c r="H119" s="506"/>
      <c r="I119" s="204"/>
      <c r="J119" s="553"/>
      <c r="K119" s="508"/>
      <c r="L119" s="527"/>
      <c r="M119" s="528"/>
      <c r="N119" s="1"/>
      <c r="O119" s="75"/>
      <c r="P119" s="1"/>
      <c r="Q119" s="1"/>
      <c r="R119" s="1"/>
      <c r="S119" s="1"/>
      <c r="T119" s="1"/>
      <c r="U119" s="1"/>
      <c r="V119" s="1"/>
      <c r="W119" s="1"/>
      <c r="X119" s="1"/>
      <c r="Y119" s="1"/>
      <c r="Z119" s="1"/>
    </row>
    <row r="120" spans="1:26" ht="15.75" customHeight="1">
      <c r="A120" s="1"/>
      <c r="B120" s="276"/>
      <c r="C120" s="210"/>
      <c r="D120" s="210"/>
      <c r="E120" s="210"/>
      <c r="F120" s="209"/>
      <c r="G120" s="210"/>
      <c r="H120" s="209"/>
      <c r="I120" s="210"/>
      <c r="J120" s="560"/>
      <c r="K120" s="517"/>
      <c r="L120" s="518"/>
      <c r="M120" s="519"/>
      <c r="N120" s="1"/>
      <c r="O120" s="75"/>
      <c r="P120" s="1"/>
      <c r="Q120" s="1"/>
      <c r="R120" s="1"/>
      <c r="S120" s="1"/>
      <c r="T120" s="1"/>
      <c r="U120" s="1"/>
      <c r="V120" s="1"/>
      <c r="W120" s="1"/>
      <c r="X120" s="1"/>
      <c r="Y120" s="1"/>
      <c r="Z120" s="1"/>
    </row>
    <row r="121" spans="1:26" ht="15.75" customHeight="1">
      <c r="A121" s="1"/>
      <c r="B121" s="539"/>
      <c r="C121" s="224" t="s">
        <v>461</v>
      </c>
      <c r="D121" s="224" t="s">
        <v>462</v>
      </c>
      <c r="E121" s="224" t="s">
        <v>463</v>
      </c>
      <c r="F121" s="549">
        <v>44000</v>
      </c>
      <c r="G121" s="224" t="s">
        <v>425</v>
      </c>
      <c r="H121" s="348">
        <v>139</v>
      </c>
      <c r="I121" s="224" t="s">
        <v>464</v>
      </c>
      <c r="J121" s="561">
        <v>6116</v>
      </c>
      <c r="K121" s="542">
        <v>478.5</v>
      </c>
      <c r="L121" s="562">
        <v>0</v>
      </c>
      <c r="M121" s="552">
        <v>0.01</v>
      </c>
      <c r="N121" s="1"/>
      <c r="O121" s="75" t="s">
        <v>427</v>
      </c>
      <c r="P121" s="1"/>
      <c r="Q121" s="1"/>
      <c r="R121" s="1"/>
      <c r="S121" s="1"/>
      <c r="T121" s="1"/>
      <c r="U121" s="1"/>
      <c r="V121" s="1"/>
      <c r="W121" s="1"/>
      <c r="X121" s="1"/>
      <c r="Y121" s="1"/>
      <c r="Z121" s="1"/>
    </row>
    <row r="122" spans="1:26" ht="15.75" customHeight="1">
      <c r="A122" s="1"/>
      <c r="B122" s="505" t="s">
        <v>465</v>
      </c>
      <c r="C122" s="205" t="s">
        <v>466</v>
      </c>
      <c r="D122" s="204"/>
      <c r="E122" s="204"/>
      <c r="F122" s="506"/>
      <c r="G122" s="204"/>
      <c r="H122" s="506"/>
      <c r="I122" s="204"/>
      <c r="J122" s="553"/>
      <c r="K122" s="508"/>
      <c r="L122" s="527"/>
      <c r="M122" s="528"/>
      <c r="N122" s="1"/>
      <c r="O122" s="75"/>
      <c r="P122" s="1"/>
      <c r="Q122" s="1"/>
      <c r="R122" s="1"/>
      <c r="S122" s="1"/>
      <c r="T122" s="1"/>
      <c r="U122" s="1"/>
      <c r="V122" s="1"/>
      <c r="W122" s="1"/>
      <c r="X122" s="1"/>
      <c r="Y122" s="1"/>
      <c r="Z122" s="1"/>
    </row>
    <row r="123" spans="1:26" ht="15.75" customHeight="1">
      <c r="A123" s="1"/>
      <c r="B123" s="276"/>
      <c r="C123" s="510" t="s">
        <v>467</v>
      </c>
      <c r="D123" s="510" t="s">
        <v>468</v>
      </c>
      <c r="E123" s="510" t="s">
        <v>463</v>
      </c>
      <c r="F123" s="511">
        <v>1512000</v>
      </c>
      <c r="G123" s="510" t="s">
        <v>425</v>
      </c>
      <c r="H123" s="219">
        <v>138</v>
      </c>
      <c r="I123" s="510" t="s">
        <v>464</v>
      </c>
      <c r="J123" s="563">
        <v>208656</v>
      </c>
      <c r="K123" s="517">
        <v>13718.601982468434</v>
      </c>
      <c r="L123" s="537">
        <v>0.64750574504260394</v>
      </c>
      <c r="M123" s="538">
        <v>0.2726339979126754</v>
      </c>
      <c r="N123" s="1"/>
      <c r="O123" s="75" t="s">
        <v>427</v>
      </c>
      <c r="P123" s="1"/>
      <c r="Q123" s="1"/>
      <c r="R123" s="1"/>
      <c r="S123" s="1"/>
      <c r="T123" s="1"/>
      <c r="U123" s="1"/>
      <c r="V123" s="1"/>
      <c r="W123" s="1"/>
      <c r="X123" s="1"/>
      <c r="Y123" s="1"/>
      <c r="Z123" s="1"/>
    </row>
    <row r="124" spans="1:26" ht="15.75" customHeight="1">
      <c r="A124" s="1"/>
      <c r="B124" s="276"/>
      <c r="C124" s="210"/>
      <c r="D124" s="210"/>
      <c r="E124" s="210"/>
      <c r="F124" s="515"/>
      <c r="G124" s="210"/>
      <c r="H124" s="209"/>
      <c r="I124" s="210"/>
      <c r="J124" s="534"/>
      <c r="K124" s="511"/>
      <c r="L124" s="535"/>
      <c r="M124" s="536"/>
      <c r="N124" s="1"/>
      <c r="O124" s="75"/>
      <c r="P124" s="1"/>
      <c r="Q124" s="1"/>
      <c r="R124" s="1"/>
      <c r="S124" s="1"/>
      <c r="T124" s="1"/>
      <c r="U124" s="1"/>
      <c r="V124" s="1"/>
      <c r="W124" s="1"/>
      <c r="X124" s="1"/>
      <c r="Y124" s="1"/>
      <c r="Z124" s="1"/>
    </row>
    <row r="125" spans="1:26" ht="15.75" customHeight="1">
      <c r="A125" s="1"/>
      <c r="B125" s="276"/>
      <c r="C125" s="210"/>
      <c r="D125" s="210"/>
      <c r="E125" s="210"/>
      <c r="F125" s="515"/>
      <c r="G125" s="210"/>
      <c r="H125" s="209"/>
      <c r="I125" s="210"/>
      <c r="J125" s="547"/>
      <c r="K125" s="511"/>
      <c r="L125" s="535"/>
      <c r="M125" s="536"/>
      <c r="N125" s="1"/>
      <c r="O125" s="75"/>
      <c r="P125" s="1"/>
      <c r="Q125" s="1"/>
      <c r="R125" s="1"/>
      <c r="S125" s="1"/>
      <c r="T125" s="1"/>
      <c r="U125" s="1"/>
      <c r="V125" s="1"/>
      <c r="W125" s="1"/>
      <c r="X125" s="1"/>
      <c r="Y125" s="1"/>
      <c r="Z125" s="1"/>
    </row>
    <row r="126" spans="1:26" ht="15.75" customHeight="1">
      <c r="A126" s="1"/>
      <c r="B126" s="276"/>
      <c r="C126" s="210" t="s">
        <v>469</v>
      </c>
      <c r="D126" s="564" t="s">
        <v>470</v>
      </c>
      <c r="E126" s="210" t="s">
        <v>463</v>
      </c>
      <c r="F126" s="515">
        <v>533000</v>
      </c>
      <c r="G126" s="210" t="s">
        <v>425</v>
      </c>
      <c r="H126" s="209">
        <v>138</v>
      </c>
      <c r="I126" s="210" t="s">
        <v>464</v>
      </c>
      <c r="J126" s="534">
        <v>73554</v>
      </c>
      <c r="K126" s="511">
        <v>5773</v>
      </c>
      <c r="L126" s="535">
        <v>0.06</v>
      </c>
      <c r="M126" s="536">
        <v>7.0000000000000007E-2</v>
      </c>
      <c r="N126" s="1"/>
      <c r="O126" s="75" t="s">
        <v>427</v>
      </c>
      <c r="P126" s="1"/>
      <c r="Q126" s="1"/>
      <c r="R126" s="1"/>
      <c r="S126" s="1"/>
      <c r="T126" s="1"/>
      <c r="U126" s="1"/>
      <c r="V126" s="1"/>
      <c r="W126" s="1"/>
      <c r="X126" s="1"/>
      <c r="Y126" s="1"/>
      <c r="Z126" s="1"/>
    </row>
    <row r="127" spans="1:26" ht="15.75" customHeight="1">
      <c r="A127" s="1"/>
      <c r="B127" s="276"/>
      <c r="C127" s="210"/>
      <c r="D127" s="210"/>
      <c r="E127" s="210"/>
      <c r="F127" s="515"/>
      <c r="G127" s="210"/>
      <c r="H127" s="209"/>
      <c r="I127" s="210"/>
      <c r="J127" s="547"/>
      <c r="K127" s="511"/>
      <c r="L127" s="535"/>
      <c r="M127" s="536"/>
      <c r="N127" s="1"/>
      <c r="O127" s="75"/>
      <c r="P127" s="1"/>
      <c r="Q127" s="1"/>
      <c r="R127" s="1"/>
      <c r="S127" s="1"/>
      <c r="T127" s="1"/>
      <c r="U127" s="1"/>
      <c r="V127" s="1"/>
      <c r="W127" s="1"/>
      <c r="X127" s="1"/>
      <c r="Y127" s="1"/>
      <c r="Z127" s="1"/>
    </row>
    <row r="128" spans="1:26" ht="15.75" customHeight="1">
      <c r="A128" s="1"/>
      <c r="B128" s="276"/>
      <c r="C128" s="210" t="s">
        <v>471</v>
      </c>
      <c r="D128" s="564" t="s">
        <v>472</v>
      </c>
      <c r="E128" s="210" t="s">
        <v>463</v>
      </c>
      <c r="F128" s="515">
        <v>517000</v>
      </c>
      <c r="G128" s="210" t="s">
        <v>425</v>
      </c>
      <c r="H128" s="209">
        <v>138</v>
      </c>
      <c r="I128" s="210" t="s">
        <v>464</v>
      </c>
      <c r="J128" s="534">
        <v>71346</v>
      </c>
      <c r="K128" s="511">
        <v>5603</v>
      </c>
      <c r="L128" s="535">
        <v>0.06</v>
      </c>
      <c r="M128" s="536">
        <v>7.0000000000000007E-2</v>
      </c>
      <c r="N128" s="1"/>
      <c r="O128" s="75" t="s">
        <v>427</v>
      </c>
      <c r="P128" s="1"/>
      <c r="Q128" s="1"/>
      <c r="R128" s="1"/>
      <c r="S128" s="1"/>
      <c r="T128" s="1"/>
      <c r="U128" s="1"/>
      <c r="V128" s="1"/>
      <c r="W128" s="1"/>
      <c r="X128" s="1"/>
      <c r="Y128" s="1"/>
      <c r="Z128" s="1"/>
    </row>
    <row r="129" spans="1:26" ht="15.75" customHeight="1">
      <c r="A129" s="1"/>
      <c r="B129" s="276"/>
      <c r="C129" s="210"/>
      <c r="D129" s="210"/>
      <c r="E129" s="210"/>
      <c r="F129" s="515"/>
      <c r="G129" s="210"/>
      <c r="H129" s="209"/>
      <c r="I129" s="210"/>
      <c r="J129" s="547"/>
      <c r="K129" s="511"/>
      <c r="L129" s="535"/>
      <c r="M129" s="536"/>
      <c r="N129" s="1"/>
      <c r="O129" s="75"/>
      <c r="P129" s="1"/>
      <c r="Q129" s="1"/>
      <c r="R129" s="1"/>
      <c r="S129" s="1"/>
      <c r="T129" s="1"/>
      <c r="U129" s="1"/>
      <c r="V129" s="1"/>
      <c r="W129" s="1"/>
      <c r="X129" s="1"/>
      <c r="Y129" s="1"/>
      <c r="Z129" s="1"/>
    </row>
    <row r="130" spans="1:26" ht="15.75" customHeight="1">
      <c r="A130" s="1"/>
      <c r="B130" s="276"/>
      <c r="C130" s="210" t="s">
        <v>473</v>
      </c>
      <c r="D130" s="564" t="s">
        <v>474</v>
      </c>
      <c r="E130" s="210" t="s">
        <v>463</v>
      </c>
      <c r="F130" s="515">
        <v>611000</v>
      </c>
      <c r="G130" s="210" t="s">
        <v>425</v>
      </c>
      <c r="H130" s="209">
        <v>138</v>
      </c>
      <c r="I130" s="210" t="s">
        <v>464</v>
      </c>
      <c r="J130" s="534">
        <v>84318</v>
      </c>
      <c r="K130" s="511">
        <v>6619</v>
      </c>
      <c r="L130" s="535">
        <v>7.0000000000000007E-2</v>
      </c>
      <c r="M130" s="536">
        <v>0.08</v>
      </c>
      <c r="N130" s="1"/>
      <c r="O130" s="75" t="s">
        <v>427</v>
      </c>
      <c r="P130" s="1"/>
      <c r="Q130" s="1"/>
      <c r="R130" s="1"/>
      <c r="S130" s="1"/>
      <c r="T130" s="1"/>
      <c r="U130" s="1"/>
      <c r="V130" s="1"/>
      <c r="W130" s="1"/>
      <c r="X130" s="1"/>
      <c r="Y130" s="1"/>
      <c r="Z130" s="1"/>
    </row>
    <row r="131" spans="1:26" ht="15.75" customHeight="1">
      <c r="A131" s="1"/>
      <c r="B131" s="276"/>
      <c r="C131" s="210"/>
      <c r="D131" s="210"/>
      <c r="E131" s="210"/>
      <c r="F131" s="515"/>
      <c r="G131" s="210"/>
      <c r="H131" s="209"/>
      <c r="I131" s="210"/>
      <c r="J131" s="547"/>
      <c r="K131" s="511"/>
      <c r="L131" s="535"/>
      <c r="M131" s="536"/>
      <c r="N131" s="1"/>
      <c r="O131" s="75"/>
      <c r="P131" s="1"/>
      <c r="Q131" s="1"/>
      <c r="R131" s="1"/>
      <c r="S131" s="1"/>
      <c r="T131" s="1"/>
      <c r="U131" s="1"/>
      <c r="V131" s="1"/>
      <c r="W131" s="1"/>
      <c r="X131" s="1"/>
      <c r="Y131" s="1"/>
      <c r="Z131" s="1"/>
    </row>
    <row r="132" spans="1:26" ht="15.75" customHeight="1">
      <c r="A132" s="1"/>
      <c r="B132" s="539"/>
      <c r="C132" s="224" t="s">
        <v>475</v>
      </c>
      <c r="D132" s="253" t="s">
        <v>476</v>
      </c>
      <c r="E132" s="224" t="s">
        <v>463</v>
      </c>
      <c r="F132" s="549">
        <v>232000</v>
      </c>
      <c r="G132" s="224" t="s">
        <v>425</v>
      </c>
      <c r="H132" s="348">
        <v>138</v>
      </c>
      <c r="I132" s="224" t="s">
        <v>464</v>
      </c>
      <c r="J132" s="541">
        <v>32016</v>
      </c>
      <c r="K132" s="559">
        <v>2509</v>
      </c>
      <c r="L132" s="543">
        <v>0.03</v>
      </c>
      <c r="M132" s="544">
        <v>0.03</v>
      </c>
      <c r="N132" s="1"/>
      <c r="O132" s="75" t="s">
        <v>427</v>
      </c>
      <c r="P132" s="1"/>
      <c r="Q132" s="1"/>
      <c r="R132" s="1"/>
      <c r="S132" s="1"/>
      <c r="T132" s="1"/>
      <c r="U132" s="1"/>
      <c r="V132" s="1"/>
      <c r="W132" s="1"/>
      <c r="X132" s="1"/>
      <c r="Y132" s="1"/>
      <c r="Z132" s="1"/>
    </row>
    <row r="133" spans="1:26" ht="15.75" customHeight="1">
      <c r="A133" s="1"/>
      <c r="B133" s="292"/>
      <c r="C133" s="242"/>
      <c r="D133" s="242"/>
      <c r="E133" s="242"/>
      <c r="F133" s="352"/>
      <c r="G133" s="242"/>
      <c r="H133" s="352"/>
      <c r="I133" s="242"/>
      <c r="J133" s="524"/>
      <c r="K133" s="503"/>
      <c r="L133" s="525"/>
      <c r="M133" s="526"/>
      <c r="N133" s="1"/>
      <c r="O133" s="75"/>
      <c r="P133" s="1"/>
      <c r="Q133" s="1"/>
      <c r="R133" s="1"/>
      <c r="S133" s="1"/>
      <c r="T133" s="1"/>
      <c r="U133" s="1"/>
      <c r="V133" s="1"/>
      <c r="W133" s="1"/>
      <c r="X133" s="1"/>
      <c r="Y133" s="1"/>
      <c r="Z133" s="1"/>
    </row>
    <row r="134" spans="1:26" ht="15.75" customHeight="1">
      <c r="A134" s="1"/>
      <c r="B134" s="505" t="s">
        <v>391</v>
      </c>
      <c r="C134" s="205" t="s">
        <v>392</v>
      </c>
      <c r="D134" s="204"/>
      <c r="E134" s="204"/>
      <c r="F134" s="506"/>
      <c r="G134" s="204"/>
      <c r="H134" s="506"/>
      <c r="I134" s="204"/>
      <c r="J134" s="507"/>
      <c r="K134" s="508"/>
      <c r="L134" s="527"/>
      <c r="M134" s="528"/>
      <c r="N134" s="1"/>
      <c r="O134" s="75"/>
      <c r="P134" s="1"/>
      <c r="Q134" s="1"/>
      <c r="R134" s="1"/>
      <c r="S134" s="1"/>
      <c r="T134" s="1"/>
      <c r="U134" s="1"/>
      <c r="V134" s="1"/>
      <c r="W134" s="1"/>
      <c r="X134" s="1"/>
      <c r="Y134" s="1"/>
      <c r="Z134" s="1"/>
    </row>
    <row r="135" spans="1:26" ht="15.75" customHeight="1">
      <c r="A135" s="1"/>
      <c r="B135" s="276"/>
      <c r="C135" s="510" t="s">
        <v>393</v>
      </c>
      <c r="D135" s="510" t="s">
        <v>394</v>
      </c>
      <c r="E135" s="510" t="s">
        <v>477</v>
      </c>
      <c r="F135" s="511">
        <v>43079</v>
      </c>
      <c r="G135" s="510" t="s">
        <v>425</v>
      </c>
      <c r="H135" s="219">
        <v>141000</v>
      </c>
      <c r="I135" s="510" t="s">
        <v>478</v>
      </c>
      <c r="J135" s="565">
        <v>6074.1390000000001</v>
      </c>
      <c r="K135" s="517">
        <v>726.18253604675374</v>
      </c>
      <c r="L135" s="537">
        <v>3.7958420158212E-3</v>
      </c>
      <c r="M135" s="538">
        <v>3.7958420158212E-3</v>
      </c>
      <c r="N135" s="1"/>
      <c r="O135" s="75" t="s">
        <v>427</v>
      </c>
      <c r="P135" s="1"/>
      <c r="Q135" s="1"/>
      <c r="R135" s="1"/>
      <c r="S135" s="1"/>
      <c r="T135" s="1"/>
      <c r="U135" s="1"/>
      <c r="V135" s="1"/>
      <c r="W135" s="1"/>
      <c r="X135" s="1"/>
      <c r="Y135" s="1"/>
      <c r="Z135" s="1"/>
    </row>
    <row r="136" spans="1:26" ht="15.75" customHeight="1">
      <c r="A136" s="1"/>
      <c r="B136" s="276"/>
      <c r="C136" s="210"/>
      <c r="D136" s="210"/>
      <c r="E136" s="566"/>
      <c r="F136" s="515"/>
      <c r="G136" s="566"/>
      <c r="H136" s="209"/>
      <c r="I136" s="566"/>
      <c r="J136" s="534"/>
      <c r="K136" s="511"/>
      <c r="L136" s="535"/>
      <c r="M136" s="536"/>
      <c r="N136" s="1"/>
      <c r="O136" s="75"/>
      <c r="P136" s="1"/>
      <c r="Q136" s="1"/>
      <c r="R136" s="1"/>
      <c r="S136" s="1"/>
      <c r="T136" s="1"/>
      <c r="U136" s="1"/>
      <c r="V136" s="1"/>
      <c r="W136" s="1"/>
      <c r="X136" s="1"/>
      <c r="Y136" s="1"/>
      <c r="Z136" s="1"/>
    </row>
    <row r="137" spans="1:26" ht="15.75" customHeight="1">
      <c r="A137" s="1"/>
      <c r="B137" s="276"/>
      <c r="C137" s="510" t="s">
        <v>395</v>
      </c>
      <c r="D137" s="510" t="s">
        <v>396</v>
      </c>
      <c r="E137" s="510" t="s">
        <v>477</v>
      </c>
      <c r="F137" s="511">
        <v>111914</v>
      </c>
      <c r="G137" s="510" t="s">
        <v>425</v>
      </c>
      <c r="H137" s="219">
        <v>141000</v>
      </c>
      <c r="I137" s="510" t="s">
        <v>478</v>
      </c>
      <c r="J137" s="530">
        <v>15779.874</v>
      </c>
      <c r="K137" s="517">
        <v>1562.7739686393236</v>
      </c>
      <c r="L137" s="537">
        <v>1.4047564297480409E-2</v>
      </c>
      <c r="M137" s="538">
        <v>2.8095128594960817E-2</v>
      </c>
      <c r="N137" s="1"/>
      <c r="O137" s="75" t="s">
        <v>427</v>
      </c>
      <c r="P137" s="1"/>
      <c r="Q137" s="1"/>
      <c r="R137" s="1"/>
      <c r="S137" s="1"/>
      <c r="T137" s="1"/>
      <c r="U137" s="1"/>
      <c r="V137" s="1"/>
      <c r="W137" s="1"/>
      <c r="X137" s="1"/>
      <c r="Y137" s="1"/>
      <c r="Z137" s="1"/>
    </row>
    <row r="138" spans="1:26" ht="15.75" customHeight="1">
      <c r="A138" s="1"/>
      <c r="B138" s="292"/>
      <c r="C138" s="242"/>
      <c r="D138" s="242"/>
      <c r="E138" s="242"/>
      <c r="F138" s="567"/>
      <c r="G138" s="242"/>
      <c r="H138" s="352"/>
      <c r="I138" s="242"/>
      <c r="J138" s="568"/>
      <c r="K138" s="569"/>
      <c r="L138" s="525"/>
      <c r="M138" s="526"/>
      <c r="N138" s="1"/>
      <c r="O138" s="75"/>
      <c r="P138" s="1"/>
      <c r="Q138" s="1"/>
      <c r="R138" s="1"/>
      <c r="S138" s="1"/>
      <c r="T138" s="1"/>
      <c r="U138" s="1"/>
      <c r="V138" s="1"/>
      <c r="W138" s="1"/>
      <c r="X138" s="1"/>
      <c r="Y138" s="1"/>
      <c r="Z138" s="1"/>
    </row>
    <row r="139" spans="1:26" ht="15.75" customHeight="1">
      <c r="A139" s="1"/>
      <c r="B139" s="505" t="s">
        <v>479</v>
      </c>
      <c r="C139" s="205" t="s">
        <v>480</v>
      </c>
      <c r="D139" s="204"/>
      <c r="E139" s="204"/>
      <c r="F139" s="506"/>
      <c r="G139" s="204"/>
      <c r="H139" s="506"/>
      <c r="I139" s="204"/>
      <c r="J139" s="507"/>
      <c r="K139" s="508"/>
      <c r="L139" s="527"/>
      <c r="M139" s="528"/>
      <c r="N139" s="1"/>
      <c r="O139" s="75"/>
      <c r="P139" s="1"/>
      <c r="Q139" s="1"/>
      <c r="R139" s="1"/>
      <c r="S139" s="1"/>
      <c r="T139" s="1"/>
      <c r="U139" s="1"/>
      <c r="V139" s="1"/>
      <c r="W139" s="1"/>
      <c r="X139" s="1"/>
      <c r="Y139" s="1"/>
      <c r="Z139" s="1"/>
    </row>
    <row r="140" spans="1:26" ht="15.75" customHeight="1">
      <c r="A140" s="1"/>
      <c r="B140" s="276"/>
      <c r="C140" s="210"/>
      <c r="D140" s="210"/>
      <c r="E140" s="566"/>
      <c r="F140" s="209"/>
      <c r="G140" s="566"/>
      <c r="H140" s="209"/>
      <c r="I140" s="566"/>
      <c r="J140" s="547"/>
      <c r="K140" s="511"/>
      <c r="L140" s="548"/>
      <c r="M140" s="536"/>
      <c r="N140" s="1"/>
      <c r="O140" s="75"/>
      <c r="P140" s="1"/>
      <c r="Q140" s="1"/>
      <c r="R140" s="1"/>
      <c r="S140" s="1"/>
      <c r="T140" s="1"/>
      <c r="U140" s="1"/>
      <c r="V140" s="1"/>
      <c r="W140" s="1"/>
      <c r="X140" s="1"/>
      <c r="Y140" s="1"/>
      <c r="Z140" s="1"/>
    </row>
    <row r="141" spans="1:26" ht="15.75" customHeight="1">
      <c r="A141" s="1"/>
      <c r="B141" s="276"/>
      <c r="C141" s="210" t="s">
        <v>481</v>
      </c>
      <c r="D141" s="210" t="s">
        <v>482</v>
      </c>
      <c r="E141" s="210" t="s">
        <v>477</v>
      </c>
      <c r="F141" s="515">
        <v>97000</v>
      </c>
      <c r="G141" s="210" t="s">
        <v>425</v>
      </c>
      <c r="H141" s="209">
        <v>139</v>
      </c>
      <c r="I141" s="566" t="s">
        <v>464</v>
      </c>
      <c r="J141" s="545">
        <v>13483</v>
      </c>
      <c r="K141" s="517">
        <v>1060</v>
      </c>
      <c r="L141" s="546">
        <v>0.01</v>
      </c>
      <c r="M141" s="519">
        <v>0.01</v>
      </c>
      <c r="N141" s="1"/>
      <c r="O141" s="75" t="s">
        <v>427</v>
      </c>
      <c r="P141" s="1"/>
      <c r="Q141" s="1"/>
      <c r="R141" s="1"/>
      <c r="S141" s="1"/>
      <c r="T141" s="1"/>
      <c r="U141" s="1"/>
      <c r="V141" s="1"/>
      <c r="W141" s="1"/>
      <c r="X141" s="1"/>
      <c r="Y141" s="1"/>
      <c r="Z141" s="1"/>
    </row>
    <row r="142" spans="1:26" ht="15.75" customHeight="1">
      <c r="A142" s="1"/>
      <c r="B142" s="276"/>
      <c r="C142" s="210"/>
      <c r="D142" s="210"/>
      <c r="E142" s="566"/>
      <c r="F142" s="209"/>
      <c r="G142" s="566"/>
      <c r="H142" s="209"/>
      <c r="I142" s="566"/>
      <c r="J142" s="547"/>
      <c r="K142" s="511"/>
      <c r="L142" s="548"/>
      <c r="M142" s="536"/>
      <c r="N142" s="1"/>
      <c r="O142" s="75"/>
      <c r="P142" s="1"/>
      <c r="Q142" s="1"/>
      <c r="R142" s="1"/>
      <c r="S142" s="1"/>
      <c r="T142" s="1"/>
      <c r="U142" s="1"/>
      <c r="V142" s="1"/>
      <c r="W142" s="1"/>
      <c r="X142" s="1"/>
      <c r="Y142" s="1"/>
      <c r="Z142" s="1"/>
    </row>
    <row r="143" spans="1:26" ht="15.75" customHeight="1">
      <c r="A143" s="1"/>
      <c r="B143" s="539"/>
      <c r="C143" s="224" t="s">
        <v>483</v>
      </c>
      <c r="D143" s="224" t="s">
        <v>484</v>
      </c>
      <c r="E143" s="224" t="s">
        <v>477</v>
      </c>
      <c r="F143" s="549">
        <v>105000</v>
      </c>
      <c r="G143" s="224" t="s">
        <v>425</v>
      </c>
      <c r="H143" s="348">
        <v>139</v>
      </c>
      <c r="I143" s="570" t="s">
        <v>464</v>
      </c>
      <c r="J143" s="550">
        <v>14595</v>
      </c>
      <c r="K143" s="542">
        <v>1150</v>
      </c>
      <c r="L143" s="551">
        <v>1.0999999999999999E-2</v>
      </c>
      <c r="M143" s="552">
        <v>0.01</v>
      </c>
      <c r="N143" s="1"/>
      <c r="O143" s="75" t="s">
        <v>427</v>
      </c>
      <c r="P143" s="1"/>
      <c r="Q143" s="1"/>
      <c r="R143" s="1"/>
      <c r="S143" s="1"/>
      <c r="T143" s="1"/>
      <c r="U143" s="1"/>
      <c r="V143" s="1"/>
      <c r="W143" s="1"/>
      <c r="X143" s="1"/>
      <c r="Y143" s="1"/>
      <c r="Z143" s="1"/>
    </row>
    <row r="144" spans="1:26" ht="15.75" customHeight="1">
      <c r="A144" s="1"/>
      <c r="B144" s="292"/>
      <c r="C144" s="242"/>
      <c r="D144" s="242"/>
      <c r="E144" s="571"/>
      <c r="F144" s="352"/>
      <c r="G144" s="571"/>
      <c r="H144" s="352"/>
      <c r="I144" s="571"/>
      <c r="J144" s="524"/>
      <c r="K144" s="503"/>
      <c r="L144" s="525"/>
      <c r="M144" s="526"/>
      <c r="N144" s="1"/>
      <c r="O144" s="75"/>
      <c r="P144" s="1"/>
      <c r="Q144" s="1"/>
      <c r="R144" s="1"/>
      <c r="S144" s="1"/>
      <c r="T144" s="1"/>
      <c r="U144" s="1"/>
      <c r="V144" s="1"/>
      <c r="W144" s="1"/>
      <c r="X144" s="1"/>
      <c r="Y144" s="1"/>
      <c r="Z144" s="1"/>
    </row>
    <row r="145" spans="1:26" ht="15.75" customHeight="1">
      <c r="A145" s="1"/>
      <c r="B145" s="292"/>
      <c r="C145" s="242"/>
      <c r="D145" s="242"/>
      <c r="E145" s="571"/>
      <c r="F145" s="352"/>
      <c r="G145" s="571"/>
      <c r="H145" s="352"/>
      <c r="I145" s="571"/>
      <c r="J145" s="524"/>
      <c r="K145" s="503"/>
      <c r="L145" s="525"/>
      <c r="M145" s="526"/>
      <c r="N145" s="1"/>
      <c r="O145" s="75"/>
      <c r="P145" s="1"/>
      <c r="Q145" s="1"/>
      <c r="R145" s="1"/>
      <c r="S145" s="1"/>
      <c r="T145" s="1"/>
      <c r="U145" s="1"/>
      <c r="V145" s="1"/>
      <c r="W145" s="1"/>
      <c r="X145" s="1"/>
      <c r="Y145" s="1"/>
      <c r="Z145" s="1"/>
    </row>
    <row r="146" spans="1:26" ht="15.75" customHeight="1">
      <c r="A146" s="1"/>
      <c r="B146" s="505" t="s">
        <v>485</v>
      </c>
      <c r="C146" s="205" t="s">
        <v>486</v>
      </c>
      <c r="D146" s="204"/>
      <c r="E146" s="572"/>
      <c r="F146" s="506"/>
      <c r="G146" s="572"/>
      <c r="H146" s="506"/>
      <c r="I146" s="572"/>
      <c r="J146" s="553"/>
      <c r="K146" s="508"/>
      <c r="L146" s="527"/>
      <c r="M146" s="528"/>
      <c r="N146" s="1"/>
      <c r="O146" s="75"/>
      <c r="P146" s="1"/>
      <c r="Q146" s="1"/>
      <c r="R146" s="1"/>
      <c r="S146" s="1"/>
      <c r="T146" s="1"/>
      <c r="U146" s="1"/>
      <c r="V146" s="1"/>
      <c r="W146" s="1"/>
      <c r="X146" s="1"/>
      <c r="Y146" s="1"/>
      <c r="Z146" s="1"/>
    </row>
    <row r="147" spans="1:26" ht="15.75" customHeight="1">
      <c r="A147" s="1"/>
      <c r="B147" s="276"/>
      <c r="C147" s="510" t="s">
        <v>487</v>
      </c>
      <c r="D147" s="510" t="s">
        <v>488</v>
      </c>
      <c r="E147" s="510" t="s">
        <v>477</v>
      </c>
      <c r="F147" s="511">
        <v>72528</v>
      </c>
      <c r="G147" s="510" t="s">
        <v>425</v>
      </c>
      <c r="H147" s="219">
        <v>140208</v>
      </c>
      <c r="I147" s="510" t="s">
        <v>489</v>
      </c>
      <c r="J147" s="565">
        <v>10169.005824</v>
      </c>
      <c r="K147" s="517">
        <v>781.71200395904316</v>
      </c>
      <c r="L147" s="537">
        <v>9.0484903061039471E-3</v>
      </c>
      <c r="M147" s="538">
        <v>1.6804339139907334E-2</v>
      </c>
      <c r="N147" s="1"/>
      <c r="O147" s="75" t="s">
        <v>427</v>
      </c>
      <c r="P147" s="1"/>
      <c r="Q147" s="1"/>
      <c r="R147" s="1"/>
      <c r="S147" s="1"/>
      <c r="T147" s="1"/>
      <c r="U147" s="1"/>
      <c r="V147" s="1"/>
      <c r="W147" s="1"/>
      <c r="X147" s="1"/>
      <c r="Y147" s="1"/>
      <c r="Z147" s="1"/>
    </row>
    <row r="148" spans="1:26" ht="15.75" customHeight="1">
      <c r="A148" s="1"/>
      <c r="B148" s="276"/>
      <c r="C148" s="210"/>
      <c r="D148" s="210"/>
      <c r="E148" s="566"/>
      <c r="F148" s="515"/>
      <c r="G148" s="566"/>
      <c r="H148" s="209"/>
      <c r="I148" s="566"/>
      <c r="J148" s="545"/>
      <c r="K148" s="521"/>
      <c r="L148" s="535"/>
      <c r="M148" s="536"/>
      <c r="N148" s="1"/>
      <c r="O148" s="75"/>
      <c r="P148" s="1"/>
      <c r="Q148" s="1"/>
      <c r="R148" s="1"/>
      <c r="S148" s="1"/>
      <c r="T148" s="1"/>
      <c r="U148" s="1"/>
      <c r="V148" s="1"/>
      <c r="W148" s="1"/>
      <c r="X148" s="1"/>
      <c r="Y148" s="1"/>
      <c r="Z148" s="1"/>
    </row>
    <row r="149" spans="1:26" ht="15.75" customHeight="1">
      <c r="A149" s="1"/>
      <c r="B149" s="276"/>
      <c r="C149" s="210" t="s">
        <v>490</v>
      </c>
      <c r="D149" s="210" t="s">
        <v>491</v>
      </c>
      <c r="E149" s="210" t="s">
        <v>477</v>
      </c>
      <c r="F149" s="515">
        <v>17927</v>
      </c>
      <c r="G149" s="210" t="s">
        <v>425</v>
      </c>
      <c r="H149" s="209">
        <v>140163</v>
      </c>
      <c r="I149" s="210" t="s">
        <v>489</v>
      </c>
      <c r="J149" s="545">
        <v>2512.7021009999999</v>
      </c>
      <c r="K149" s="537">
        <v>199.89</v>
      </c>
      <c r="L149" s="573">
        <v>0</v>
      </c>
      <c r="M149" s="574">
        <v>0.01</v>
      </c>
      <c r="N149" s="1"/>
      <c r="O149" s="75" t="s">
        <v>427</v>
      </c>
      <c r="P149" s="1"/>
      <c r="Q149" s="1"/>
      <c r="R149" s="1"/>
      <c r="S149" s="1"/>
      <c r="T149" s="1"/>
      <c r="U149" s="1"/>
      <c r="V149" s="1"/>
      <c r="W149" s="1"/>
      <c r="X149" s="1"/>
      <c r="Y149" s="1"/>
      <c r="Z149" s="1"/>
    </row>
    <row r="150" spans="1:26" ht="15.75" customHeight="1">
      <c r="A150" s="1"/>
      <c r="B150" s="276"/>
      <c r="C150" s="210"/>
      <c r="D150" s="210"/>
      <c r="E150" s="566"/>
      <c r="F150" s="515"/>
      <c r="G150" s="566"/>
      <c r="H150" s="209"/>
      <c r="I150" s="566"/>
      <c r="J150" s="547"/>
      <c r="K150" s="521"/>
      <c r="L150" s="522"/>
      <c r="M150" s="523"/>
      <c r="N150" s="1"/>
      <c r="O150" s="75"/>
      <c r="P150" s="1"/>
      <c r="Q150" s="1"/>
      <c r="R150" s="1"/>
      <c r="S150" s="1"/>
      <c r="T150" s="1"/>
      <c r="U150" s="1"/>
      <c r="V150" s="1"/>
      <c r="W150" s="1"/>
      <c r="X150" s="1"/>
      <c r="Y150" s="1"/>
      <c r="Z150" s="1"/>
    </row>
    <row r="151" spans="1:26" ht="15.75" customHeight="1">
      <c r="A151" s="1"/>
      <c r="B151" s="539"/>
      <c r="C151" s="224" t="s">
        <v>492</v>
      </c>
      <c r="D151" s="224" t="s">
        <v>460</v>
      </c>
      <c r="E151" s="224" t="s">
        <v>477</v>
      </c>
      <c r="F151" s="549">
        <v>36090</v>
      </c>
      <c r="G151" s="224" t="s">
        <v>425</v>
      </c>
      <c r="H151" s="348">
        <v>140085</v>
      </c>
      <c r="I151" s="224" t="s">
        <v>489</v>
      </c>
      <c r="J151" s="550">
        <v>5055.6676500000003</v>
      </c>
      <c r="K151" s="575">
        <v>396.87</v>
      </c>
      <c r="L151" s="562">
        <v>0</v>
      </c>
      <c r="M151" s="576">
        <v>0</v>
      </c>
      <c r="N151" s="1"/>
      <c r="O151" s="75" t="s">
        <v>427</v>
      </c>
      <c r="P151" s="1"/>
      <c r="Q151" s="1"/>
      <c r="R151" s="1"/>
      <c r="S151" s="1"/>
      <c r="T151" s="1"/>
      <c r="U151" s="1"/>
      <c r="V151" s="1"/>
      <c r="W151" s="1"/>
      <c r="X151" s="1"/>
      <c r="Y151" s="1"/>
      <c r="Z151" s="1"/>
    </row>
    <row r="152" spans="1:26" ht="15.75" customHeight="1">
      <c r="A152" s="1"/>
      <c r="B152" s="292"/>
      <c r="C152" s="242"/>
      <c r="D152" s="242"/>
      <c r="E152" s="571"/>
      <c r="F152" s="352"/>
      <c r="G152" s="571"/>
      <c r="H152" s="352"/>
      <c r="I152" s="571"/>
      <c r="J152" s="524"/>
      <c r="K152" s="569"/>
      <c r="L152" s="525"/>
      <c r="M152" s="526"/>
      <c r="N152" s="1"/>
      <c r="O152" s="75"/>
      <c r="P152" s="1"/>
      <c r="Q152" s="1"/>
      <c r="R152" s="1"/>
      <c r="S152" s="1"/>
      <c r="T152" s="1"/>
      <c r="U152" s="1"/>
      <c r="V152" s="1"/>
      <c r="W152" s="1"/>
      <c r="X152" s="1"/>
      <c r="Y152" s="1"/>
      <c r="Z152" s="1"/>
    </row>
    <row r="153" spans="1:26" ht="15.75" customHeight="1">
      <c r="A153" s="1"/>
      <c r="B153" s="505" t="s">
        <v>397</v>
      </c>
      <c r="C153" s="577" t="s">
        <v>398</v>
      </c>
      <c r="D153" s="204"/>
      <c r="E153" s="204"/>
      <c r="F153" s="506"/>
      <c r="G153" s="204"/>
      <c r="H153" s="506"/>
      <c r="I153" s="204"/>
      <c r="J153" s="507"/>
      <c r="K153" s="578"/>
      <c r="L153" s="527"/>
      <c r="M153" s="528"/>
      <c r="N153" s="1"/>
      <c r="O153" s="75"/>
      <c r="P153" s="1"/>
      <c r="Q153" s="1"/>
      <c r="R153" s="1"/>
      <c r="S153" s="1"/>
      <c r="T153" s="1"/>
      <c r="U153" s="1"/>
      <c r="V153" s="1"/>
      <c r="W153" s="1"/>
      <c r="X153" s="1"/>
      <c r="Y153" s="1"/>
      <c r="Z153" s="1"/>
    </row>
    <row r="154" spans="1:26" ht="15.75" customHeight="1">
      <c r="A154" s="1"/>
      <c r="B154" s="276"/>
      <c r="C154" s="510" t="s">
        <v>399</v>
      </c>
      <c r="D154" s="529" t="s">
        <v>400</v>
      </c>
      <c r="E154" s="510" t="s">
        <v>477</v>
      </c>
      <c r="F154" s="511">
        <v>262249</v>
      </c>
      <c r="G154" s="510" t="s">
        <v>425</v>
      </c>
      <c r="H154" s="219">
        <v>139181</v>
      </c>
      <c r="I154" s="510" t="s">
        <v>426</v>
      </c>
      <c r="J154" s="530">
        <v>36500.078069000003</v>
      </c>
      <c r="K154" s="517">
        <v>3558.102273556568</v>
      </c>
      <c r="L154" s="537">
        <v>2.6014907621387723E-2</v>
      </c>
      <c r="M154" s="538">
        <v>5.5498469592293813E-2</v>
      </c>
      <c r="N154" s="1"/>
      <c r="O154" s="75" t="s">
        <v>427</v>
      </c>
      <c r="P154" s="1"/>
      <c r="Q154" s="1"/>
      <c r="R154" s="1"/>
      <c r="S154" s="1"/>
      <c r="T154" s="1"/>
      <c r="U154" s="1"/>
      <c r="V154" s="1"/>
      <c r="W154" s="1"/>
      <c r="X154" s="1"/>
      <c r="Y154" s="1"/>
      <c r="Z154" s="1"/>
    </row>
    <row r="155" spans="1:26" ht="15.75" customHeight="1">
      <c r="A155" s="1"/>
      <c r="B155" s="276"/>
      <c r="C155" s="210"/>
      <c r="D155" s="233"/>
      <c r="E155" s="210"/>
      <c r="F155" s="515"/>
      <c r="G155" s="210"/>
      <c r="H155" s="209"/>
      <c r="I155" s="210"/>
      <c r="J155" s="545"/>
      <c r="K155" s="511"/>
      <c r="L155" s="535"/>
      <c r="M155" s="536"/>
      <c r="N155" s="1"/>
      <c r="O155" s="75"/>
      <c r="P155" s="1"/>
      <c r="Q155" s="1"/>
      <c r="R155" s="1"/>
      <c r="S155" s="1"/>
      <c r="T155" s="1"/>
      <c r="U155" s="1"/>
      <c r="V155" s="1"/>
      <c r="W155" s="1"/>
      <c r="X155" s="1"/>
      <c r="Y155" s="1"/>
      <c r="Z155" s="1"/>
    </row>
    <row r="156" spans="1:26" ht="15.75" customHeight="1">
      <c r="A156" s="1"/>
      <c r="B156" s="276"/>
      <c r="C156" s="510" t="s">
        <v>401</v>
      </c>
      <c r="D156" s="529" t="s">
        <v>402</v>
      </c>
      <c r="E156" s="510" t="s">
        <v>477</v>
      </c>
      <c r="F156" s="511">
        <v>280645</v>
      </c>
      <c r="G156" s="510" t="s">
        <v>425</v>
      </c>
      <c r="H156" s="219">
        <v>139181</v>
      </c>
      <c r="I156" s="510" t="s">
        <v>426</v>
      </c>
      <c r="J156" s="530">
        <v>39060.451744999998</v>
      </c>
      <c r="K156" s="517">
        <v>3978.0954684942749</v>
      </c>
      <c r="L156" s="537">
        <v>2.9058403714348247E-2</v>
      </c>
      <c r="M156" s="538">
        <v>6.2213814740902249E-2</v>
      </c>
      <c r="N156" s="1"/>
      <c r="O156" s="75" t="s">
        <v>427</v>
      </c>
      <c r="P156" s="1"/>
      <c r="Q156" s="1"/>
      <c r="R156" s="1"/>
      <c r="S156" s="1"/>
      <c r="T156" s="1"/>
      <c r="U156" s="1"/>
      <c r="V156" s="1"/>
      <c r="W156" s="1"/>
      <c r="X156" s="1"/>
      <c r="Y156" s="1"/>
      <c r="Z156" s="1"/>
    </row>
    <row r="157" spans="1:26" ht="15.75" customHeight="1">
      <c r="A157" s="1"/>
      <c r="B157" s="276"/>
      <c r="C157" s="210"/>
      <c r="D157" s="233"/>
      <c r="E157" s="210"/>
      <c r="F157" s="515"/>
      <c r="G157" s="210"/>
      <c r="H157" s="209"/>
      <c r="I157" s="210"/>
      <c r="J157" s="545"/>
      <c r="K157" s="517"/>
      <c r="L157" s="535"/>
      <c r="M157" s="536"/>
      <c r="N157" s="1"/>
      <c r="O157" s="75"/>
      <c r="P157" s="1"/>
      <c r="Q157" s="1"/>
      <c r="R157" s="1"/>
      <c r="S157" s="1"/>
      <c r="T157" s="1"/>
      <c r="U157" s="1"/>
      <c r="V157" s="1"/>
      <c r="W157" s="1"/>
      <c r="X157" s="1"/>
      <c r="Y157" s="1"/>
      <c r="Z157" s="1"/>
    </row>
    <row r="158" spans="1:26" ht="15.75" customHeight="1">
      <c r="A158" s="1"/>
      <c r="B158" s="276"/>
      <c r="C158" s="510" t="s">
        <v>403</v>
      </c>
      <c r="D158" s="529" t="s">
        <v>404</v>
      </c>
      <c r="E158" s="510" t="s">
        <v>477</v>
      </c>
      <c r="F158" s="511">
        <v>258523</v>
      </c>
      <c r="G158" s="510" t="s">
        <v>425</v>
      </c>
      <c r="H158" s="219">
        <v>139181</v>
      </c>
      <c r="I158" s="510" t="s">
        <v>426</v>
      </c>
      <c r="J158" s="530">
        <v>35981.489663</v>
      </c>
      <c r="K158" s="517">
        <v>3624.5012122397807</v>
      </c>
      <c r="L158" s="537">
        <v>2.6494635039959927E-2</v>
      </c>
      <c r="M158" s="538">
        <v>5.6222037220074114E-2</v>
      </c>
      <c r="N158" s="1"/>
      <c r="O158" s="75" t="s">
        <v>427</v>
      </c>
      <c r="P158" s="1"/>
      <c r="Q158" s="1"/>
      <c r="R158" s="1"/>
      <c r="S158" s="1"/>
      <c r="T158" s="1"/>
      <c r="U158" s="1"/>
      <c r="V158" s="1"/>
      <c r="W158" s="1"/>
      <c r="X158" s="1"/>
      <c r="Y158" s="1"/>
      <c r="Z158" s="1"/>
    </row>
    <row r="159" spans="1:26" ht="15.75" customHeight="1">
      <c r="A159" s="1"/>
      <c r="B159" s="276"/>
      <c r="C159" s="210"/>
      <c r="D159" s="210"/>
      <c r="E159" s="210"/>
      <c r="F159" s="515"/>
      <c r="G159" s="210"/>
      <c r="H159" s="209"/>
      <c r="I159" s="210"/>
      <c r="J159" s="545"/>
      <c r="K159" s="517"/>
      <c r="L159" s="535"/>
      <c r="M159" s="536"/>
      <c r="N159" s="1"/>
      <c r="O159" s="75"/>
      <c r="P159" s="1"/>
      <c r="Q159" s="1"/>
      <c r="R159" s="1"/>
      <c r="S159" s="1"/>
      <c r="T159" s="1"/>
      <c r="U159" s="1"/>
      <c r="V159" s="1"/>
      <c r="W159" s="1"/>
      <c r="X159" s="1"/>
      <c r="Y159" s="1"/>
      <c r="Z159" s="1"/>
    </row>
    <row r="160" spans="1:26" ht="15.75" customHeight="1">
      <c r="A160" s="1"/>
      <c r="B160" s="276"/>
      <c r="C160" s="210" t="s">
        <v>493</v>
      </c>
      <c r="D160" s="233" t="s">
        <v>494</v>
      </c>
      <c r="E160" s="210" t="s">
        <v>495</v>
      </c>
      <c r="F160" s="515">
        <v>25757</v>
      </c>
      <c r="G160" s="210" t="s">
        <v>425</v>
      </c>
      <c r="H160" s="209">
        <v>139181</v>
      </c>
      <c r="I160" s="210" t="s">
        <v>426</v>
      </c>
      <c r="J160" s="560">
        <v>3584.8850170000001</v>
      </c>
      <c r="K160" s="517">
        <v>293</v>
      </c>
      <c r="L160" s="554">
        <v>6.9999999999999999E-4</v>
      </c>
      <c r="M160" s="519">
        <v>0.01</v>
      </c>
      <c r="N160" s="1"/>
      <c r="O160" s="75" t="s">
        <v>427</v>
      </c>
      <c r="P160" s="1"/>
      <c r="Q160" s="1"/>
      <c r="R160" s="1"/>
      <c r="S160" s="1"/>
      <c r="T160" s="1"/>
      <c r="U160" s="1"/>
      <c r="V160" s="1"/>
      <c r="W160" s="1"/>
      <c r="X160" s="1"/>
      <c r="Y160" s="1"/>
      <c r="Z160" s="1"/>
    </row>
    <row r="161" spans="1:26" ht="15.75" customHeight="1">
      <c r="A161" s="1"/>
      <c r="B161" s="539"/>
      <c r="C161" s="224"/>
      <c r="D161" s="540"/>
      <c r="E161" s="224"/>
      <c r="F161" s="549"/>
      <c r="G161" s="224"/>
      <c r="H161" s="348"/>
      <c r="I161" s="224"/>
      <c r="J161" s="541"/>
      <c r="K161" s="559"/>
      <c r="L161" s="543"/>
      <c r="M161" s="544"/>
      <c r="N161" s="1"/>
      <c r="O161" s="75"/>
      <c r="P161" s="1"/>
      <c r="Q161" s="1"/>
      <c r="R161" s="1"/>
      <c r="S161" s="1"/>
      <c r="T161" s="1"/>
      <c r="U161" s="1"/>
      <c r="V161" s="1"/>
      <c r="W161" s="1"/>
      <c r="X161" s="1"/>
      <c r="Y161" s="1"/>
      <c r="Z161" s="1"/>
    </row>
    <row r="162" spans="1:26" ht="15.75" customHeight="1">
      <c r="A162" s="1"/>
      <c r="B162" s="292"/>
      <c r="C162" s="242"/>
      <c r="D162" s="579"/>
      <c r="E162" s="242"/>
      <c r="F162" s="567"/>
      <c r="G162" s="242"/>
      <c r="H162" s="352"/>
      <c r="I162" s="242"/>
      <c r="J162" s="580"/>
      <c r="K162" s="503"/>
      <c r="L162" s="525"/>
      <c r="M162" s="526"/>
      <c r="N162" s="1"/>
      <c r="O162" s="75"/>
      <c r="P162" s="1"/>
      <c r="Q162" s="1"/>
      <c r="R162" s="1"/>
      <c r="S162" s="1"/>
      <c r="T162" s="1"/>
      <c r="U162" s="1"/>
      <c r="V162" s="1"/>
      <c r="W162" s="1"/>
      <c r="X162" s="1"/>
      <c r="Y162" s="1"/>
      <c r="Z162" s="1"/>
    </row>
    <row r="163" spans="1:26" ht="15.75" customHeight="1">
      <c r="A163" s="1"/>
      <c r="B163" s="505" t="s">
        <v>496</v>
      </c>
      <c r="C163" s="577" t="s">
        <v>497</v>
      </c>
      <c r="D163" s="207"/>
      <c r="E163" s="204"/>
      <c r="F163" s="581"/>
      <c r="G163" s="204"/>
      <c r="H163" s="506"/>
      <c r="I163" s="204"/>
      <c r="J163" s="582"/>
      <c r="K163" s="508"/>
      <c r="L163" s="527"/>
      <c r="M163" s="528"/>
      <c r="N163" s="1"/>
      <c r="O163" s="75"/>
      <c r="P163" s="1"/>
      <c r="Q163" s="1"/>
      <c r="R163" s="1"/>
      <c r="S163" s="1"/>
      <c r="T163" s="1"/>
      <c r="U163" s="1"/>
      <c r="V163" s="1"/>
      <c r="W163" s="1"/>
      <c r="X163" s="1"/>
      <c r="Y163" s="1"/>
      <c r="Z163" s="1"/>
    </row>
    <row r="164" spans="1:26" ht="15.75" customHeight="1">
      <c r="A164" s="1"/>
      <c r="B164" s="276"/>
      <c r="C164" s="510" t="s">
        <v>498</v>
      </c>
      <c r="D164" s="529" t="s">
        <v>499</v>
      </c>
      <c r="E164" s="510" t="s">
        <v>495</v>
      </c>
      <c r="F164" s="511">
        <v>128653</v>
      </c>
      <c r="G164" s="510" t="s">
        <v>425</v>
      </c>
      <c r="H164" s="219">
        <v>139181</v>
      </c>
      <c r="I164" s="510" t="s">
        <v>426</v>
      </c>
      <c r="J164" s="530">
        <v>17906.053193</v>
      </c>
      <c r="K164" s="517">
        <v>885.01950770852966</v>
      </c>
      <c r="L164" s="537">
        <v>7.2305515335664192E-2</v>
      </c>
      <c r="M164" s="538">
        <v>3.0988078000998939E-2</v>
      </c>
      <c r="N164" s="1"/>
      <c r="O164" s="75" t="s">
        <v>427</v>
      </c>
      <c r="P164" s="1"/>
      <c r="Q164" s="1"/>
      <c r="R164" s="1"/>
      <c r="S164" s="1"/>
      <c r="T164" s="1"/>
      <c r="U164" s="1"/>
      <c r="V164" s="1"/>
      <c r="W164" s="1"/>
      <c r="X164" s="1"/>
      <c r="Y164" s="1"/>
      <c r="Z164" s="1"/>
    </row>
    <row r="165" spans="1:26" ht="15.75" customHeight="1">
      <c r="A165" s="1"/>
      <c r="B165" s="276"/>
      <c r="C165" s="210"/>
      <c r="D165" s="233"/>
      <c r="E165" s="210"/>
      <c r="F165" s="515"/>
      <c r="G165" s="210"/>
      <c r="H165" s="209"/>
      <c r="I165" s="210"/>
      <c r="J165" s="534"/>
      <c r="K165" s="511"/>
      <c r="L165" s="535"/>
      <c r="M165" s="536"/>
      <c r="N165" s="1"/>
      <c r="O165" s="75"/>
      <c r="P165" s="1"/>
      <c r="Q165" s="1"/>
      <c r="R165" s="1"/>
      <c r="S165" s="1"/>
      <c r="T165" s="1"/>
      <c r="U165" s="1"/>
      <c r="V165" s="1"/>
      <c r="W165" s="1"/>
      <c r="X165" s="1"/>
      <c r="Y165" s="1"/>
      <c r="Z165" s="1"/>
    </row>
    <row r="166" spans="1:26" ht="15.75" customHeight="1">
      <c r="A166" s="1"/>
      <c r="B166" s="279"/>
      <c r="C166" s="510" t="s">
        <v>500</v>
      </c>
      <c r="D166" s="529" t="s">
        <v>501</v>
      </c>
      <c r="E166" s="510" t="s">
        <v>495</v>
      </c>
      <c r="F166" s="511">
        <v>117793</v>
      </c>
      <c r="G166" s="510" t="s">
        <v>425</v>
      </c>
      <c r="H166" s="219">
        <v>139181</v>
      </c>
      <c r="I166" s="510" t="s">
        <v>426</v>
      </c>
      <c r="J166" s="530">
        <v>16394.547533000001</v>
      </c>
      <c r="K166" s="517">
        <v>779.24991399101225</v>
      </c>
      <c r="L166" s="537">
        <v>6.4247427866609669E-2</v>
      </c>
      <c r="M166" s="538">
        <v>2.855441238515985E-2</v>
      </c>
      <c r="N166" s="1"/>
      <c r="O166" s="75" t="s">
        <v>427</v>
      </c>
      <c r="P166" s="1"/>
      <c r="Q166" s="1"/>
      <c r="R166" s="1"/>
      <c r="S166" s="1"/>
      <c r="T166" s="1"/>
      <c r="U166" s="1"/>
      <c r="V166" s="1"/>
      <c r="W166" s="1"/>
      <c r="X166" s="1"/>
      <c r="Y166" s="1"/>
      <c r="Z166" s="1"/>
    </row>
    <row r="167" spans="1:26" ht="15.75" customHeight="1">
      <c r="A167" s="1"/>
      <c r="B167" s="583"/>
      <c r="C167" s="501"/>
      <c r="D167" s="501"/>
      <c r="E167" s="501"/>
      <c r="F167" s="584"/>
      <c r="G167" s="501"/>
      <c r="H167" s="366"/>
      <c r="I167" s="501"/>
      <c r="J167" s="585"/>
      <c r="K167" s="586"/>
      <c r="L167" s="587"/>
      <c r="M167" s="588"/>
      <c r="N167" s="1"/>
      <c r="O167" s="75"/>
      <c r="P167" s="1"/>
      <c r="Q167" s="1"/>
      <c r="R167" s="1"/>
      <c r="S167" s="1"/>
      <c r="T167" s="1"/>
      <c r="U167" s="1"/>
      <c r="V167" s="1"/>
      <c r="W167" s="1"/>
      <c r="X167" s="1"/>
      <c r="Y167" s="1"/>
      <c r="Z167" s="1"/>
    </row>
    <row r="168" spans="1:26" ht="15.75" customHeight="1">
      <c r="A168" s="1"/>
      <c r="B168" s="505" t="s">
        <v>405</v>
      </c>
      <c r="C168" s="577" t="s">
        <v>406</v>
      </c>
      <c r="D168" s="204"/>
      <c r="E168" s="204"/>
      <c r="F168" s="581"/>
      <c r="G168" s="204"/>
      <c r="H168" s="506"/>
      <c r="I168" s="204"/>
      <c r="J168" s="507"/>
      <c r="K168" s="508"/>
      <c r="L168" s="527"/>
      <c r="M168" s="528"/>
      <c r="N168" s="1"/>
      <c r="O168" s="75"/>
      <c r="P168" s="1"/>
      <c r="Q168" s="1"/>
      <c r="R168" s="1"/>
      <c r="S168" s="1"/>
      <c r="T168" s="1"/>
      <c r="U168" s="1"/>
      <c r="V168" s="1"/>
      <c r="W168" s="1"/>
      <c r="X168" s="1"/>
      <c r="Y168" s="1"/>
      <c r="Z168" s="1"/>
    </row>
    <row r="169" spans="1:26" ht="15.75" customHeight="1">
      <c r="A169" s="1"/>
      <c r="B169" s="276"/>
      <c r="C169" s="510" t="s">
        <v>407</v>
      </c>
      <c r="D169" s="529">
        <v>1</v>
      </c>
      <c r="E169" s="510" t="s">
        <v>477</v>
      </c>
      <c r="F169" s="511">
        <v>560730</v>
      </c>
      <c r="G169" s="510" t="s">
        <v>425</v>
      </c>
      <c r="H169" s="219">
        <v>140057</v>
      </c>
      <c r="I169" s="510" t="s">
        <v>502</v>
      </c>
      <c r="J169" s="530">
        <v>78534.161609999996</v>
      </c>
      <c r="K169" s="537">
        <v>8915.9397047808707</v>
      </c>
      <c r="L169" s="537">
        <v>6.5169473700270111E-2</v>
      </c>
      <c r="M169" s="538">
        <v>0.13902821056057624</v>
      </c>
      <c r="N169" s="1"/>
      <c r="O169" s="75" t="s">
        <v>427</v>
      </c>
      <c r="P169" s="1"/>
      <c r="Q169" s="1"/>
      <c r="R169" s="1"/>
      <c r="S169" s="1"/>
      <c r="T169" s="1"/>
      <c r="U169" s="1"/>
      <c r="V169" s="1"/>
      <c r="W169" s="1"/>
      <c r="X169" s="1"/>
      <c r="Y169" s="1"/>
      <c r="Z169" s="1"/>
    </row>
    <row r="170" spans="1:26" ht="15.75" customHeight="1">
      <c r="A170" s="1"/>
      <c r="B170" s="276"/>
      <c r="C170" s="210"/>
      <c r="D170" s="233"/>
      <c r="E170" s="210"/>
      <c r="F170" s="515"/>
      <c r="G170" s="210"/>
      <c r="H170" s="209"/>
      <c r="I170" s="210"/>
      <c r="J170" s="534"/>
      <c r="K170" s="511"/>
      <c r="L170" s="535"/>
      <c r="M170" s="536"/>
      <c r="N170" s="1"/>
      <c r="O170" s="75"/>
      <c r="P170" s="1"/>
      <c r="Q170" s="1"/>
      <c r="R170" s="1"/>
      <c r="S170" s="1"/>
      <c r="T170" s="1"/>
      <c r="U170" s="1"/>
      <c r="V170" s="1"/>
      <c r="W170" s="1"/>
      <c r="X170" s="1"/>
      <c r="Y170" s="1"/>
      <c r="Z170" s="1"/>
    </row>
    <row r="171" spans="1:26" ht="15.75" customHeight="1">
      <c r="A171" s="1"/>
      <c r="B171" s="276"/>
      <c r="C171" s="210"/>
      <c r="D171" s="233"/>
      <c r="E171" s="210"/>
      <c r="F171" s="515"/>
      <c r="G171" s="210"/>
      <c r="H171" s="209"/>
      <c r="I171" s="210"/>
      <c r="J171" s="547"/>
      <c r="K171" s="511"/>
      <c r="L171" s="535"/>
      <c r="M171" s="536"/>
      <c r="N171" s="1"/>
      <c r="O171" s="75"/>
      <c r="P171" s="1"/>
      <c r="Q171" s="1"/>
      <c r="R171" s="1"/>
      <c r="S171" s="1"/>
      <c r="T171" s="1"/>
      <c r="U171" s="1"/>
      <c r="V171" s="1"/>
      <c r="W171" s="1"/>
      <c r="X171" s="1"/>
      <c r="Y171" s="1"/>
      <c r="Z171" s="1"/>
    </row>
    <row r="172" spans="1:26" ht="15.75" customHeight="1">
      <c r="A172" s="1"/>
      <c r="B172" s="276"/>
      <c r="C172" s="510" t="s">
        <v>408</v>
      </c>
      <c r="D172" s="529">
        <v>2</v>
      </c>
      <c r="E172" s="510" t="s">
        <v>477</v>
      </c>
      <c r="F172" s="511">
        <v>330721</v>
      </c>
      <c r="G172" s="510" t="s">
        <v>425</v>
      </c>
      <c r="H172" s="219">
        <v>140092</v>
      </c>
      <c r="I172" s="510" t="s">
        <v>502</v>
      </c>
      <c r="J172" s="530">
        <v>46331.366331999998</v>
      </c>
      <c r="K172" s="517">
        <v>4688.4930230757882</v>
      </c>
      <c r="L172" s="517">
        <v>3.6331536153834797E-2</v>
      </c>
      <c r="M172" s="589">
        <v>7.749779727530319E-2</v>
      </c>
      <c r="N172" s="1"/>
      <c r="O172" s="75" t="s">
        <v>427</v>
      </c>
      <c r="P172" s="1"/>
      <c r="Q172" s="1"/>
      <c r="R172" s="1"/>
      <c r="S172" s="1"/>
      <c r="T172" s="1"/>
      <c r="U172" s="1"/>
      <c r="V172" s="1"/>
      <c r="W172" s="1"/>
      <c r="X172" s="1"/>
      <c r="Y172" s="1"/>
      <c r="Z172" s="1"/>
    </row>
    <row r="173" spans="1:26" ht="15.75" customHeight="1">
      <c r="A173" s="1"/>
      <c r="B173" s="276"/>
      <c r="C173" s="210"/>
      <c r="D173" s="233"/>
      <c r="E173" s="210"/>
      <c r="F173" s="515"/>
      <c r="G173" s="210"/>
      <c r="H173" s="209"/>
      <c r="I173" s="210"/>
      <c r="J173" s="534"/>
      <c r="K173" s="511"/>
      <c r="L173" s="535"/>
      <c r="M173" s="536"/>
      <c r="N173" s="1"/>
      <c r="O173" s="75"/>
      <c r="P173" s="1"/>
      <c r="Q173" s="1"/>
      <c r="R173" s="1"/>
      <c r="S173" s="1"/>
      <c r="T173" s="1"/>
      <c r="U173" s="1"/>
      <c r="V173" s="1"/>
      <c r="W173" s="1"/>
      <c r="X173" s="1"/>
      <c r="Y173" s="1"/>
      <c r="Z173" s="1"/>
    </row>
    <row r="174" spans="1:26" ht="15.75" customHeight="1">
      <c r="A174" s="1"/>
      <c r="B174" s="276"/>
      <c r="C174" s="210"/>
      <c r="D174" s="233"/>
      <c r="E174" s="210"/>
      <c r="F174" s="515"/>
      <c r="G174" s="210"/>
      <c r="H174" s="209"/>
      <c r="I174" s="210"/>
      <c r="J174" s="534"/>
      <c r="K174" s="511"/>
      <c r="L174" s="535"/>
      <c r="M174" s="536"/>
      <c r="N174" s="1"/>
      <c r="O174" s="75"/>
      <c r="P174" s="1"/>
      <c r="Q174" s="1"/>
      <c r="R174" s="1"/>
      <c r="S174" s="1"/>
      <c r="T174" s="1"/>
      <c r="U174" s="1"/>
      <c r="V174" s="1"/>
      <c r="W174" s="1"/>
      <c r="X174" s="1"/>
      <c r="Y174" s="1"/>
      <c r="Z174" s="1"/>
    </row>
    <row r="175" spans="1:26" ht="15.75" customHeight="1">
      <c r="A175" s="1"/>
      <c r="B175" s="276"/>
      <c r="C175" s="210" t="s">
        <v>503</v>
      </c>
      <c r="D175" s="233" t="s">
        <v>504</v>
      </c>
      <c r="E175" s="210" t="s">
        <v>495</v>
      </c>
      <c r="F175" s="515">
        <v>469111</v>
      </c>
      <c r="G175" s="210" t="s">
        <v>425</v>
      </c>
      <c r="H175" s="209">
        <v>140162</v>
      </c>
      <c r="I175" s="210" t="s">
        <v>502</v>
      </c>
      <c r="J175" s="534">
        <v>65751.535982000001</v>
      </c>
      <c r="K175" s="511">
        <v>5372</v>
      </c>
      <c r="L175" s="548">
        <v>1.2999999999999999E-2</v>
      </c>
      <c r="M175" s="536">
        <v>0.3</v>
      </c>
      <c r="N175" s="1"/>
      <c r="O175" s="75" t="s">
        <v>427</v>
      </c>
      <c r="P175" s="1"/>
      <c r="Q175" s="1"/>
      <c r="R175" s="1"/>
      <c r="S175" s="1"/>
      <c r="T175" s="1"/>
      <c r="U175" s="1"/>
      <c r="V175" s="1"/>
      <c r="W175" s="1"/>
      <c r="X175" s="1"/>
      <c r="Y175" s="1"/>
      <c r="Z175" s="1"/>
    </row>
    <row r="176" spans="1:26" ht="15.75" customHeight="1">
      <c r="A176" s="1"/>
      <c r="B176" s="276"/>
      <c r="C176" s="210" t="s">
        <v>505</v>
      </c>
      <c r="D176" s="233" t="s">
        <v>506</v>
      </c>
      <c r="E176" s="210" t="s">
        <v>495</v>
      </c>
      <c r="F176" s="515">
        <v>6581</v>
      </c>
      <c r="G176" s="210" t="s">
        <v>425</v>
      </c>
      <c r="H176" s="209">
        <v>140162</v>
      </c>
      <c r="I176" s="210" t="s">
        <v>502</v>
      </c>
      <c r="J176" s="534">
        <v>922.40612199999998</v>
      </c>
      <c r="K176" s="511">
        <v>75</v>
      </c>
      <c r="L176" s="555">
        <v>2.0000000000000001E-4</v>
      </c>
      <c r="M176" s="590">
        <v>4.0000000000000001E-3</v>
      </c>
      <c r="N176" s="1"/>
      <c r="O176" s="75" t="s">
        <v>427</v>
      </c>
      <c r="P176" s="1"/>
      <c r="Q176" s="1"/>
      <c r="R176" s="1"/>
      <c r="S176" s="1"/>
      <c r="T176" s="1"/>
      <c r="U176" s="1"/>
      <c r="V176" s="1"/>
      <c r="W176" s="1"/>
      <c r="X176" s="1"/>
      <c r="Y176" s="1"/>
      <c r="Z176" s="1"/>
    </row>
    <row r="177" spans="1:26" ht="15.75" customHeight="1">
      <c r="A177" s="1"/>
      <c r="B177" s="276"/>
      <c r="C177" s="210" t="s">
        <v>507</v>
      </c>
      <c r="D177" s="233" t="s">
        <v>499</v>
      </c>
      <c r="E177" s="210" t="s">
        <v>495</v>
      </c>
      <c r="F177" s="515">
        <v>119770</v>
      </c>
      <c r="G177" s="210" t="s">
        <v>425</v>
      </c>
      <c r="H177" s="209">
        <v>140156</v>
      </c>
      <c r="I177" s="210" t="s">
        <v>502</v>
      </c>
      <c r="J177" s="534">
        <v>16786.484120000001</v>
      </c>
      <c r="K177" s="511">
        <v>1371</v>
      </c>
      <c r="L177" s="535">
        <v>7.0000000000000007E-2</v>
      </c>
      <c r="M177" s="536">
        <v>7.0000000000000007E-2</v>
      </c>
      <c r="N177" s="1"/>
      <c r="O177" s="75" t="s">
        <v>427</v>
      </c>
      <c r="P177" s="1"/>
      <c r="Q177" s="1"/>
      <c r="R177" s="1"/>
      <c r="S177" s="1"/>
      <c r="T177" s="1"/>
      <c r="U177" s="1"/>
      <c r="V177" s="1"/>
      <c r="W177" s="1"/>
      <c r="X177" s="1"/>
      <c r="Y177" s="1"/>
      <c r="Z177" s="1"/>
    </row>
    <row r="178" spans="1:26" ht="15.75" customHeight="1">
      <c r="A178" s="1"/>
      <c r="B178" s="276"/>
      <c r="C178" s="210" t="s">
        <v>508</v>
      </c>
      <c r="D178" s="233" t="s">
        <v>501</v>
      </c>
      <c r="E178" s="210" t="s">
        <v>495</v>
      </c>
      <c r="F178" s="515">
        <v>115848</v>
      </c>
      <c r="G178" s="210" t="s">
        <v>425</v>
      </c>
      <c r="H178" s="209">
        <v>140162</v>
      </c>
      <c r="I178" s="210" t="s">
        <v>502</v>
      </c>
      <c r="J178" s="534">
        <v>16237.487375999999</v>
      </c>
      <c r="K178" s="511">
        <v>1327</v>
      </c>
      <c r="L178" s="535">
        <v>7.0000000000000007E-2</v>
      </c>
      <c r="M178" s="536">
        <v>7.0000000000000007E-2</v>
      </c>
      <c r="N178" s="1"/>
      <c r="O178" s="75" t="s">
        <v>427</v>
      </c>
      <c r="P178" s="1"/>
      <c r="Q178" s="1"/>
      <c r="R178" s="1"/>
      <c r="S178" s="1"/>
      <c r="T178" s="1"/>
      <c r="U178" s="1"/>
      <c r="V178" s="1"/>
      <c r="W178" s="1"/>
      <c r="X178" s="1"/>
      <c r="Y178" s="1"/>
      <c r="Z178" s="1"/>
    </row>
    <row r="179" spans="1:26" ht="15.75" customHeight="1">
      <c r="A179" s="1"/>
      <c r="B179" s="276"/>
      <c r="C179" s="210" t="s">
        <v>509</v>
      </c>
      <c r="D179" s="233" t="s">
        <v>510</v>
      </c>
      <c r="E179" s="210" t="s">
        <v>511</v>
      </c>
      <c r="F179" s="515">
        <v>294735</v>
      </c>
      <c r="G179" s="210" t="s">
        <v>425</v>
      </c>
      <c r="H179" s="209">
        <v>140152</v>
      </c>
      <c r="I179" s="210" t="s">
        <v>502</v>
      </c>
      <c r="J179" s="534">
        <v>41307.699719999997</v>
      </c>
      <c r="K179" s="511">
        <v>3750</v>
      </c>
      <c r="L179" s="535">
        <v>0.2</v>
      </c>
      <c r="M179" s="536">
        <v>0.2</v>
      </c>
      <c r="N179" s="1"/>
      <c r="O179" s="75" t="s">
        <v>427</v>
      </c>
      <c r="P179" s="1"/>
      <c r="Q179" s="1"/>
      <c r="R179" s="1"/>
      <c r="S179" s="1"/>
      <c r="T179" s="1"/>
      <c r="U179" s="1"/>
      <c r="V179" s="1"/>
      <c r="W179" s="1"/>
      <c r="X179" s="1"/>
      <c r="Y179" s="1"/>
      <c r="Z179" s="1"/>
    </row>
    <row r="180" spans="1:26" ht="15.75" customHeight="1">
      <c r="A180" s="1"/>
      <c r="B180" s="276"/>
      <c r="C180" s="210" t="s">
        <v>512</v>
      </c>
      <c r="D180" s="233" t="s">
        <v>513</v>
      </c>
      <c r="E180" s="210" t="s">
        <v>511</v>
      </c>
      <c r="F180" s="515">
        <v>391937</v>
      </c>
      <c r="G180" s="210" t="s">
        <v>425</v>
      </c>
      <c r="H180" s="209">
        <v>140164</v>
      </c>
      <c r="I180" s="210" t="s">
        <v>502</v>
      </c>
      <c r="J180" s="534">
        <v>54935.457668000003</v>
      </c>
      <c r="K180" s="511">
        <v>4565</v>
      </c>
      <c r="L180" s="535">
        <v>0.2</v>
      </c>
      <c r="M180" s="536">
        <v>0.2</v>
      </c>
      <c r="N180" s="1"/>
      <c r="O180" s="75" t="s">
        <v>427</v>
      </c>
      <c r="P180" s="1"/>
      <c r="Q180" s="1"/>
      <c r="R180" s="1"/>
      <c r="S180" s="1"/>
      <c r="T180" s="1"/>
      <c r="U180" s="1"/>
      <c r="V180" s="1"/>
      <c r="W180" s="1"/>
      <c r="X180" s="1"/>
      <c r="Y180" s="1"/>
      <c r="Z180" s="1"/>
    </row>
    <row r="181" spans="1:26" ht="15.75" customHeight="1">
      <c r="A181" s="1"/>
      <c r="B181" s="276"/>
      <c r="C181" s="210" t="s">
        <v>514</v>
      </c>
      <c r="D181" s="233" t="s">
        <v>515</v>
      </c>
      <c r="E181" s="210" t="s">
        <v>511</v>
      </c>
      <c r="F181" s="515">
        <v>259626</v>
      </c>
      <c r="G181" s="210" t="s">
        <v>425</v>
      </c>
      <c r="H181" s="209">
        <v>140154</v>
      </c>
      <c r="I181" s="210" t="s">
        <v>502</v>
      </c>
      <c r="J181" s="534">
        <v>36387.622404000002</v>
      </c>
      <c r="K181" s="511">
        <v>2926</v>
      </c>
      <c r="L181" s="535">
        <v>0.2</v>
      </c>
      <c r="M181" s="536">
        <v>0.1</v>
      </c>
      <c r="N181" s="1"/>
      <c r="O181" s="75" t="s">
        <v>427</v>
      </c>
      <c r="P181" s="1"/>
      <c r="Q181" s="1"/>
      <c r="R181" s="1"/>
      <c r="S181" s="1"/>
      <c r="T181" s="1"/>
      <c r="U181" s="1"/>
      <c r="V181" s="1"/>
      <c r="W181" s="1"/>
      <c r="X181" s="1"/>
      <c r="Y181" s="1"/>
      <c r="Z181" s="1"/>
    </row>
    <row r="182" spans="1:26" ht="15.75" customHeight="1">
      <c r="A182" s="1"/>
      <c r="B182" s="276"/>
      <c r="C182" s="210" t="s">
        <v>516</v>
      </c>
      <c r="D182" s="233" t="s">
        <v>517</v>
      </c>
      <c r="E182" s="210" t="s">
        <v>511</v>
      </c>
      <c r="F182" s="515">
        <v>286912</v>
      </c>
      <c r="G182" s="210" t="s">
        <v>425</v>
      </c>
      <c r="H182" s="209">
        <v>140145</v>
      </c>
      <c r="I182" s="210" t="s">
        <v>502</v>
      </c>
      <c r="J182" s="534">
        <v>40209.28224</v>
      </c>
      <c r="K182" s="511">
        <v>3170</v>
      </c>
      <c r="L182" s="535">
        <v>0.2</v>
      </c>
      <c r="M182" s="536">
        <v>0.2</v>
      </c>
      <c r="N182" s="1"/>
      <c r="O182" s="75" t="s">
        <v>427</v>
      </c>
      <c r="P182" s="1"/>
      <c r="Q182" s="1"/>
      <c r="R182" s="1"/>
      <c r="S182" s="1"/>
      <c r="T182" s="1"/>
      <c r="U182" s="1"/>
      <c r="V182" s="1"/>
      <c r="W182" s="1"/>
      <c r="X182" s="1"/>
      <c r="Y182" s="1"/>
      <c r="Z182" s="1"/>
    </row>
    <row r="183" spans="1:26" ht="15.75" customHeight="1">
      <c r="A183" s="1"/>
      <c r="B183" s="539"/>
      <c r="C183" s="224"/>
      <c r="D183" s="224"/>
      <c r="E183" s="224"/>
      <c r="F183" s="549"/>
      <c r="G183" s="224"/>
      <c r="H183" s="348"/>
      <c r="I183" s="224"/>
      <c r="J183" s="591"/>
      <c r="K183" s="559"/>
      <c r="L183" s="543"/>
      <c r="M183" s="544"/>
      <c r="N183" s="1"/>
      <c r="O183" s="75"/>
      <c r="P183" s="1"/>
      <c r="Q183" s="1"/>
      <c r="R183" s="1"/>
      <c r="S183" s="1"/>
      <c r="T183" s="1"/>
      <c r="U183" s="1"/>
      <c r="V183" s="1"/>
      <c r="W183" s="1"/>
      <c r="X183" s="1"/>
      <c r="Y183" s="1"/>
      <c r="Z183" s="1"/>
    </row>
    <row r="184" spans="1:26" ht="15.75" customHeight="1">
      <c r="A184" s="1"/>
      <c r="B184" s="292"/>
      <c r="C184" s="592"/>
      <c r="D184" s="592"/>
      <c r="E184" s="592"/>
      <c r="F184" s="593"/>
      <c r="G184" s="592"/>
      <c r="H184" s="594"/>
      <c r="I184" s="592"/>
      <c r="J184" s="595"/>
      <c r="K184" s="596"/>
      <c r="L184" s="597"/>
      <c r="M184" s="598"/>
      <c r="N184" s="1"/>
      <c r="O184" s="75"/>
      <c r="P184" s="1"/>
      <c r="Q184" s="1"/>
      <c r="R184" s="1"/>
      <c r="S184" s="1"/>
      <c r="T184" s="1"/>
      <c r="U184" s="1"/>
      <c r="V184" s="1"/>
      <c r="W184" s="1"/>
      <c r="X184" s="1"/>
      <c r="Y184" s="1"/>
      <c r="Z184" s="1"/>
    </row>
    <row r="185" spans="1:26" ht="15.75" customHeight="1">
      <c r="A185" s="1"/>
      <c r="B185" s="269" t="s">
        <v>518</v>
      </c>
      <c r="C185" s="243" t="s">
        <v>519</v>
      </c>
      <c r="D185" s="242"/>
      <c r="E185" s="242"/>
      <c r="F185" s="352"/>
      <c r="G185" s="242"/>
      <c r="H185" s="599"/>
      <c r="I185" s="242"/>
      <c r="J185" s="600"/>
      <c r="K185" s="437"/>
      <c r="L185" s="601"/>
      <c r="M185" s="602"/>
      <c r="N185" s="1"/>
      <c r="O185" s="75"/>
      <c r="P185" s="1"/>
      <c r="Q185" s="1"/>
      <c r="R185" s="1"/>
      <c r="S185" s="1"/>
      <c r="T185" s="1"/>
      <c r="U185" s="1"/>
      <c r="V185" s="1"/>
      <c r="W185" s="1"/>
      <c r="X185" s="1"/>
      <c r="Y185" s="1"/>
      <c r="Z185" s="1"/>
    </row>
    <row r="186" spans="1:26" ht="15.75" customHeight="1">
      <c r="A186" s="1"/>
      <c r="B186" s="292"/>
      <c r="C186" s="242" t="s">
        <v>520</v>
      </c>
      <c r="D186" s="579">
        <v>1</v>
      </c>
      <c r="E186" s="242" t="s">
        <v>521</v>
      </c>
      <c r="F186" s="352">
        <f>(J186*1000000)/140000</f>
        <v>110157.14285714286</v>
      </c>
      <c r="G186" s="242" t="s">
        <v>425</v>
      </c>
      <c r="H186" s="599">
        <v>140000</v>
      </c>
      <c r="I186" s="242" t="s">
        <v>426</v>
      </c>
      <c r="J186" s="603">
        <v>15422</v>
      </c>
      <c r="K186" s="604">
        <v>918.6961865552779</v>
      </c>
      <c r="L186" s="604">
        <v>6.5874123999576206E-2</v>
      </c>
      <c r="M186" s="605">
        <v>2.2827666732526411E-2</v>
      </c>
      <c r="N186" s="1"/>
      <c r="O186" s="75" t="s">
        <v>427</v>
      </c>
      <c r="P186" s="1"/>
      <c r="Q186" s="1"/>
      <c r="R186" s="1"/>
      <c r="S186" s="1"/>
      <c r="T186" s="1"/>
      <c r="U186" s="1"/>
      <c r="V186" s="1"/>
      <c r="W186" s="1"/>
      <c r="X186" s="1"/>
      <c r="Y186" s="1"/>
      <c r="Z186" s="1"/>
    </row>
    <row r="187" spans="1:26" ht="15.75" customHeight="1">
      <c r="A187" s="1"/>
      <c r="B187" s="292"/>
      <c r="C187" s="242"/>
      <c r="D187" s="579"/>
      <c r="E187" s="242"/>
      <c r="F187" s="352"/>
      <c r="G187" s="242"/>
      <c r="H187" s="599"/>
      <c r="I187" s="242"/>
      <c r="J187" s="600"/>
      <c r="K187" s="437"/>
      <c r="L187" s="601"/>
      <c r="M187" s="602"/>
      <c r="N187" s="1"/>
      <c r="O187" s="75"/>
      <c r="P187" s="1"/>
      <c r="Q187" s="1"/>
      <c r="R187" s="1"/>
      <c r="S187" s="1"/>
      <c r="T187" s="1"/>
      <c r="U187" s="1"/>
      <c r="V187" s="1"/>
      <c r="W187" s="1"/>
      <c r="X187" s="1"/>
      <c r="Y187" s="1"/>
      <c r="Z187" s="1"/>
    </row>
    <row r="188" spans="1:26" ht="15.75" customHeight="1">
      <c r="A188" s="1"/>
      <c r="B188" s="292"/>
      <c r="C188" s="242" t="s">
        <v>522</v>
      </c>
      <c r="D188" s="579">
        <v>2</v>
      </c>
      <c r="E188" s="242" t="s">
        <v>521</v>
      </c>
      <c r="F188" s="352">
        <f>(J188*1000000)/H188</f>
        <v>111100</v>
      </c>
      <c r="G188" s="242" t="s">
        <v>425</v>
      </c>
      <c r="H188" s="599">
        <v>140000</v>
      </c>
      <c r="I188" s="242" t="s">
        <v>478</v>
      </c>
      <c r="J188" s="603">
        <v>15554</v>
      </c>
      <c r="K188" s="604">
        <v>926.76680407738411</v>
      </c>
      <c r="L188" s="604">
        <v>6.6329574791018017E-2</v>
      </c>
      <c r="M188" s="605">
        <v>2.2823079497984695E-2</v>
      </c>
      <c r="N188" s="1"/>
      <c r="O188" s="75" t="s">
        <v>427</v>
      </c>
      <c r="P188" s="1"/>
      <c r="Q188" s="1"/>
      <c r="R188" s="1"/>
      <c r="S188" s="1"/>
      <c r="T188" s="1"/>
      <c r="U188" s="1"/>
      <c r="V188" s="1"/>
      <c r="W188" s="1"/>
      <c r="X188" s="1"/>
      <c r="Y188" s="1"/>
      <c r="Z188" s="1"/>
    </row>
    <row r="189" spans="1:26" ht="15.75" customHeight="1">
      <c r="A189" s="1"/>
      <c r="B189" s="292"/>
      <c r="C189" s="242"/>
      <c r="D189" s="242"/>
      <c r="E189" s="242"/>
      <c r="F189" s="352"/>
      <c r="G189" s="242"/>
      <c r="H189" s="352"/>
      <c r="I189" s="242"/>
      <c r="J189" s="502"/>
      <c r="K189" s="503"/>
      <c r="L189" s="525"/>
      <c r="M189" s="526"/>
      <c r="N189" s="1"/>
      <c r="O189" s="75"/>
      <c r="P189" s="1"/>
      <c r="Q189" s="1"/>
      <c r="R189" s="1"/>
      <c r="S189" s="1"/>
      <c r="T189" s="1"/>
      <c r="U189" s="1"/>
      <c r="V189" s="1"/>
      <c r="W189" s="1"/>
      <c r="X189" s="1"/>
      <c r="Y189" s="1"/>
      <c r="Z189" s="1"/>
    </row>
    <row r="190" spans="1:26" ht="15.75" customHeight="1">
      <c r="A190" s="1"/>
      <c r="B190" s="505" t="s">
        <v>523</v>
      </c>
      <c r="C190" s="205" t="s">
        <v>524</v>
      </c>
      <c r="D190" s="204"/>
      <c r="E190" s="204"/>
      <c r="F190" s="506"/>
      <c r="G190" s="204"/>
      <c r="H190" s="506"/>
      <c r="I190" s="204"/>
      <c r="J190" s="507"/>
      <c r="K190" s="508"/>
      <c r="L190" s="527"/>
      <c r="M190" s="528"/>
      <c r="N190" s="1"/>
      <c r="O190" s="75"/>
      <c r="P190" s="1"/>
      <c r="Q190" s="1"/>
      <c r="R190" s="1"/>
      <c r="S190" s="1"/>
      <c r="T190" s="1"/>
      <c r="U190" s="1"/>
      <c r="V190" s="1"/>
      <c r="W190" s="1"/>
      <c r="X190" s="1"/>
      <c r="Y190" s="1"/>
      <c r="Z190" s="1"/>
    </row>
    <row r="191" spans="1:26" ht="15.75" customHeight="1">
      <c r="A191" s="1"/>
      <c r="B191" s="276"/>
      <c r="C191" s="210" t="s">
        <v>525</v>
      </c>
      <c r="D191" s="210" t="s">
        <v>470</v>
      </c>
      <c r="E191" s="210" t="s">
        <v>526</v>
      </c>
      <c r="F191" s="209">
        <v>132000</v>
      </c>
      <c r="G191" s="210" t="s">
        <v>425</v>
      </c>
      <c r="H191" s="209">
        <v>139</v>
      </c>
      <c r="I191" s="210" t="s">
        <v>527</v>
      </c>
      <c r="J191" s="534">
        <v>18348</v>
      </c>
      <c r="K191" s="511">
        <v>1441</v>
      </c>
      <c r="L191" s="535">
        <v>0.01</v>
      </c>
      <c r="M191" s="536">
        <v>0.02</v>
      </c>
      <c r="N191" s="1"/>
      <c r="O191" s="75" t="s">
        <v>427</v>
      </c>
      <c r="P191" s="1"/>
      <c r="Q191" s="1"/>
      <c r="R191" s="1"/>
      <c r="S191" s="1"/>
      <c r="T191" s="1"/>
      <c r="U191" s="1"/>
      <c r="V191" s="1"/>
      <c r="W191" s="1"/>
      <c r="X191" s="1"/>
      <c r="Y191" s="1"/>
      <c r="Z191" s="1"/>
    </row>
    <row r="192" spans="1:26" ht="15.75" customHeight="1">
      <c r="A192" s="1"/>
      <c r="B192" s="276"/>
      <c r="C192" s="210" t="s">
        <v>528</v>
      </c>
      <c r="D192" s="210" t="s">
        <v>472</v>
      </c>
      <c r="E192" s="210" t="s">
        <v>526</v>
      </c>
      <c r="F192" s="209">
        <v>167000</v>
      </c>
      <c r="G192" s="210" t="s">
        <v>425</v>
      </c>
      <c r="H192" s="209">
        <v>139</v>
      </c>
      <c r="I192" s="210" t="s">
        <v>527</v>
      </c>
      <c r="J192" s="534">
        <v>23213</v>
      </c>
      <c r="K192" s="511">
        <v>1827</v>
      </c>
      <c r="L192" s="535">
        <v>0.02</v>
      </c>
      <c r="M192" s="536">
        <v>0.02</v>
      </c>
      <c r="N192" s="1"/>
      <c r="O192" s="75" t="s">
        <v>427</v>
      </c>
      <c r="P192" s="1"/>
      <c r="Q192" s="1"/>
      <c r="R192" s="1"/>
      <c r="S192" s="1"/>
      <c r="T192" s="1"/>
      <c r="U192" s="1"/>
      <c r="V192" s="1"/>
      <c r="W192" s="1"/>
      <c r="X192" s="1"/>
      <c r="Y192" s="1"/>
      <c r="Z192" s="1"/>
    </row>
    <row r="193" spans="1:26" ht="15.75" customHeight="1">
      <c r="A193" s="1"/>
      <c r="B193" s="276"/>
      <c r="C193" s="210" t="s">
        <v>529</v>
      </c>
      <c r="D193" s="210" t="s">
        <v>474</v>
      </c>
      <c r="E193" s="210" t="s">
        <v>526</v>
      </c>
      <c r="F193" s="209">
        <v>161000</v>
      </c>
      <c r="G193" s="210" t="s">
        <v>425</v>
      </c>
      <c r="H193" s="209">
        <v>139</v>
      </c>
      <c r="I193" s="210" t="s">
        <v>527</v>
      </c>
      <c r="J193" s="534">
        <v>22379</v>
      </c>
      <c r="K193" s="511">
        <v>1757</v>
      </c>
      <c r="L193" s="535">
        <v>0.02</v>
      </c>
      <c r="M193" s="536">
        <v>0.02</v>
      </c>
      <c r="N193" s="1"/>
      <c r="O193" s="75" t="s">
        <v>427</v>
      </c>
      <c r="P193" s="1"/>
      <c r="Q193" s="1"/>
      <c r="R193" s="1"/>
      <c r="S193" s="1"/>
      <c r="T193" s="1"/>
      <c r="U193" s="1"/>
      <c r="V193" s="1"/>
      <c r="W193" s="1"/>
      <c r="X193" s="1"/>
      <c r="Y193" s="1"/>
      <c r="Z193" s="1"/>
    </row>
    <row r="194" spans="1:26" ht="15.75" customHeight="1">
      <c r="A194" s="1"/>
      <c r="B194" s="539"/>
      <c r="C194" s="224" t="s">
        <v>530</v>
      </c>
      <c r="D194" s="224" t="s">
        <v>476</v>
      </c>
      <c r="E194" s="224" t="s">
        <v>526</v>
      </c>
      <c r="F194" s="348">
        <v>187000</v>
      </c>
      <c r="G194" s="224" t="s">
        <v>425</v>
      </c>
      <c r="H194" s="348">
        <v>139</v>
      </c>
      <c r="I194" s="224" t="s">
        <v>527</v>
      </c>
      <c r="J194" s="541">
        <v>25993</v>
      </c>
      <c r="K194" s="559">
        <v>2042</v>
      </c>
      <c r="L194" s="543">
        <v>0.02</v>
      </c>
      <c r="M194" s="544">
        <v>0.02</v>
      </c>
      <c r="N194" s="1"/>
      <c r="O194" s="75" t="s">
        <v>427</v>
      </c>
      <c r="P194" s="1"/>
      <c r="Q194" s="1"/>
      <c r="R194" s="1"/>
      <c r="S194" s="1"/>
      <c r="T194" s="1"/>
      <c r="U194" s="1"/>
      <c r="V194" s="1"/>
      <c r="W194" s="1"/>
      <c r="X194" s="1"/>
      <c r="Y194" s="1"/>
      <c r="Z194" s="1"/>
    </row>
    <row r="195" spans="1:26" ht="15.75" customHeight="1">
      <c r="A195" s="1"/>
      <c r="B195" s="505"/>
      <c r="C195" s="204"/>
      <c r="D195" s="204"/>
      <c r="E195" s="204"/>
      <c r="F195" s="506"/>
      <c r="G195" s="204"/>
      <c r="H195" s="506"/>
      <c r="I195" s="204"/>
      <c r="J195" s="553"/>
      <c r="K195" s="508"/>
      <c r="L195" s="527"/>
      <c r="M195" s="528"/>
      <c r="N195" s="1"/>
      <c r="O195" s="75"/>
      <c r="P195" s="1"/>
      <c r="Q195" s="1"/>
      <c r="R195" s="1"/>
      <c r="S195" s="1"/>
      <c r="T195" s="1"/>
      <c r="U195" s="1"/>
      <c r="V195" s="1"/>
      <c r="W195" s="1"/>
      <c r="X195" s="1"/>
      <c r="Y195" s="1"/>
      <c r="Z195" s="1"/>
    </row>
    <row r="196" spans="1:26" ht="15.75" customHeight="1">
      <c r="A196" s="1"/>
      <c r="B196" s="606"/>
      <c r="C196" s="225"/>
      <c r="D196" s="224"/>
      <c r="E196" s="224"/>
      <c r="F196" s="348"/>
      <c r="G196" s="224"/>
      <c r="H196" s="348"/>
      <c r="I196" s="224"/>
      <c r="J196" s="591"/>
      <c r="K196" s="559"/>
      <c r="L196" s="227"/>
      <c r="M196" s="544"/>
      <c r="N196" s="1"/>
      <c r="O196" s="75"/>
      <c r="P196" s="1"/>
      <c r="Q196" s="1"/>
      <c r="R196" s="1"/>
      <c r="S196" s="1"/>
      <c r="T196" s="1"/>
      <c r="U196" s="1"/>
      <c r="V196" s="1"/>
      <c r="W196" s="1"/>
      <c r="X196" s="1"/>
      <c r="Y196" s="1"/>
      <c r="Z196" s="1"/>
    </row>
    <row r="197" spans="1:26" ht="15.75" customHeight="1">
      <c r="A197" s="1"/>
      <c r="B197" s="505" t="s">
        <v>531</v>
      </c>
      <c r="C197" s="205" t="s">
        <v>532</v>
      </c>
      <c r="D197" s="204"/>
      <c r="E197" s="204"/>
      <c r="F197" s="607"/>
      <c r="G197" s="204"/>
      <c r="H197" s="506"/>
      <c r="I197" s="204"/>
      <c r="J197" s="608"/>
      <c r="K197" s="508"/>
      <c r="L197" s="609"/>
      <c r="M197" s="610"/>
      <c r="N197" s="1"/>
      <c r="O197" s="75"/>
      <c r="P197" s="1"/>
      <c r="Q197" s="1"/>
      <c r="R197" s="1"/>
      <c r="S197" s="1"/>
      <c r="T197" s="1"/>
      <c r="U197" s="1"/>
      <c r="V197" s="1"/>
      <c r="W197" s="1"/>
      <c r="X197" s="1"/>
      <c r="Y197" s="1"/>
      <c r="Z197" s="1"/>
    </row>
    <row r="198" spans="1:26" ht="15.75" customHeight="1">
      <c r="A198" s="1"/>
      <c r="B198" s="611"/>
      <c r="C198" s="210" t="s">
        <v>533</v>
      </c>
      <c r="D198" s="1" t="s">
        <v>534</v>
      </c>
      <c r="E198" s="210" t="s">
        <v>535</v>
      </c>
      <c r="F198" s="209">
        <v>5471</v>
      </c>
      <c r="G198" s="210" t="s">
        <v>425</v>
      </c>
      <c r="H198" s="209">
        <v>137</v>
      </c>
      <c r="I198" s="210" t="s">
        <v>536</v>
      </c>
      <c r="J198" s="534">
        <v>749.52700000000004</v>
      </c>
      <c r="K198" s="521">
        <v>61.8</v>
      </c>
      <c r="L198" s="548">
        <v>3.0000000000000001E-3</v>
      </c>
      <c r="M198" s="612">
        <v>0</v>
      </c>
      <c r="N198" s="1"/>
      <c r="O198" s="75" t="s">
        <v>341</v>
      </c>
      <c r="P198" s="1"/>
      <c r="Q198" s="1"/>
      <c r="R198" s="1"/>
      <c r="S198" s="1"/>
      <c r="T198" s="1"/>
      <c r="U198" s="1"/>
      <c r="V198" s="1"/>
      <c r="W198" s="1"/>
      <c r="X198" s="1"/>
      <c r="Y198" s="1"/>
      <c r="Z198" s="1"/>
    </row>
    <row r="199" spans="1:26" ht="15.75" customHeight="1">
      <c r="A199" s="1"/>
      <c r="B199" s="611"/>
      <c r="C199" s="210" t="s">
        <v>537</v>
      </c>
      <c r="D199" s="1" t="s">
        <v>538</v>
      </c>
      <c r="E199" s="210" t="s">
        <v>535</v>
      </c>
      <c r="F199" s="209">
        <v>5811</v>
      </c>
      <c r="G199" s="210" t="s">
        <v>425</v>
      </c>
      <c r="H199" s="209">
        <v>137</v>
      </c>
      <c r="I199" s="210" t="s">
        <v>536</v>
      </c>
      <c r="J199" s="534">
        <v>796.10699999999997</v>
      </c>
      <c r="K199" s="521">
        <v>65.7</v>
      </c>
      <c r="L199" s="548">
        <v>3.0000000000000001E-3</v>
      </c>
      <c r="M199" s="612">
        <v>0</v>
      </c>
      <c r="N199" s="1"/>
      <c r="O199" s="75" t="s">
        <v>341</v>
      </c>
      <c r="P199" s="1"/>
      <c r="Q199" s="1"/>
      <c r="R199" s="1"/>
      <c r="S199" s="1"/>
      <c r="T199" s="1"/>
      <c r="U199" s="1"/>
      <c r="V199" s="1"/>
      <c r="W199" s="1"/>
      <c r="X199" s="1"/>
      <c r="Y199" s="1"/>
      <c r="Z199" s="1"/>
    </row>
    <row r="200" spans="1:26" ht="15.75" customHeight="1">
      <c r="A200" s="1"/>
      <c r="B200" s="611"/>
      <c r="C200" s="210" t="s">
        <v>539</v>
      </c>
      <c r="D200" s="1" t="s">
        <v>540</v>
      </c>
      <c r="E200" s="210" t="s">
        <v>535</v>
      </c>
      <c r="F200" s="209">
        <v>20420</v>
      </c>
      <c r="G200" s="210" t="s">
        <v>425</v>
      </c>
      <c r="H200" s="209">
        <v>137</v>
      </c>
      <c r="I200" s="210" t="s">
        <v>536</v>
      </c>
      <c r="J200" s="534">
        <v>2797.54</v>
      </c>
      <c r="K200" s="521">
        <v>230.7</v>
      </c>
      <c r="L200" s="548">
        <v>1.0999999999999999E-2</v>
      </c>
      <c r="M200" s="612">
        <v>1E-3</v>
      </c>
      <c r="N200" s="1"/>
      <c r="O200" s="75" t="s">
        <v>341</v>
      </c>
      <c r="P200" s="1"/>
      <c r="Q200" s="1"/>
      <c r="R200" s="1"/>
      <c r="S200" s="1"/>
      <c r="T200" s="1"/>
      <c r="U200" s="1"/>
      <c r="V200" s="1"/>
      <c r="W200" s="1"/>
      <c r="X200" s="1"/>
      <c r="Y200" s="1"/>
      <c r="Z200" s="1"/>
    </row>
    <row r="201" spans="1:26" ht="15.75" customHeight="1">
      <c r="A201" s="1"/>
      <c r="B201" s="611"/>
      <c r="C201" s="210" t="s">
        <v>541</v>
      </c>
      <c r="D201" s="1" t="s">
        <v>488</v>
      </c>
      <c r="E201" s="210" t="s">
        <v>535</v>
      </c>
      <c r="F201" s="209">
        <v>20146</v>
      </c>
      <c r="G201" s="210" t="s">
        <v>425</v>
      </c>
      <c r="H201" s="209">
        <v>137</v>
      </c>
      <c r="I201" s="210" t="s">
        <v>536</v>
      </c>
      <c r="J201" s="534">
        <v>2760.002</v>
      </c>
      <c r="K201" s="521">
        <v>227.6</v>
      </c>
      <c r="L201" s="548">
        <v>1.0999999999999999E-2</v>
      </c>
      <c r="M201" s="612">
        <v>1E-3</v>
      </c>
      <c r="N201" s="1"/>
      <c r="O201" s="75" t="s">
        <v>341</v>
      </c>
      <c r="P201" s="1"/>
      <c r="Q201" s="1"/>
      <c r="R201" s="1"/>
      <c r="S201" s="1"/>
      <c r="T201" s="1"/>
      <c r="U201" s="1"/>
      <c r="V201" s="1"/>
      <c r="W201" s="1"/>
      <c r="X201" s="1"/>
      <c r="Y201" s="1"/>
      <c r="Z201" s="1"/>
    </row>
    <row r="202" spans="1:26" ht="15.75" customHeight="1">
      <c r="A202" s="1"/>
      <c r="B202" s="611"/>
      <c r="C202" s="210" t="s">
        <v>542</v>
      </c>
      <c r="D202" s="1" t="s">
        <v>543</v>
      </c>
      <c r="E202" s="210" t="s">
        <v>535</v>
      </c>
      <c r="F202" s="209">
        <v>26491</v>
      </c>
      <c r="G202" s="210" t="s">
        <v>425</v>
      </c>
      <c r="H202" s="209">
        <v>137</v>
      </c>
      <c r="I202" s="210" t="s">
        <v>536</v>
      </c>
      <c r="J202" s="534">
        <v>3629.2669999999998</v>
      </c>
      <c r="K202" s="521">
        <v>299.3</v>
      </c>
      <c r="L202" s="548">
        <v>1.4999999999999999E-2</v>
      </c>
      <c r="M202" s="612">
        <v>1E-3</v>
      </c>
      <c r="N202" s="1"/>
      <c r="O202" s="75" t="s">
        <v>341</v>
      </c>
      <c r="P202" s="1"/>
      <c r="Q202" s="1"/>
      <c r="R202" s="1"/>
      <c r="S202" s="1"/>
      <c r="T202" s="1"/>
      <c r="U202" s="1"/>
      <c r="V202" s="1"/>
      <c r="W202" s="1"/>
      <c r="X202" s="1"/>
      <c r="Y202" s="1"/>
      <c r="Z202" s="1"/>
    </row>
    <row r="203" spans="1:26" ht="15.75" customHeight="1">
      <c r="A203" s="1"/>
      <c r="B203" s="611"/>
      <c r="C203" s="210" t="s">
        <v>544</v>
      </c>
      <c r="D203" s="1" t="s">
        <v>545</v>
      </c>
      <c r="E203" s="210" t="s">
        <v>535</v>
      </c>
      <c r="F203" s="209">
        <v>30331</v>
      </c>
      <c r="G203" s="210" t="s">
        <v>425</v>
      </c>
      <c r="H203" s="209">
        <v>137</v>
      </c>
      <c r="I203" s="210" t="s">
        <v>536</v>
      </c>
      <c r="J203" s="534">
        <v>4155.3469999999998</v>
      </c>
      <c r="K203" s="521">
        <v>342.7</v>
      </c>
      <c r="L203" s="548">
        <v>1.7000000000000001E-2</v>
      </c>
      <c r="M203" s="612">
        <v>2E-3</v>
      </c>
      <c r="N203" s="1"/>
      <c r="O203" s="75" t="s">
        <v>341</v>
      </c>
      <c r="P203" s="1"/>
      <c r="Q203" s="1"/>
      <c r="R203" s="1"/>
      <c r="S203" s="1"/>
      <c r="T203" s="1"/>
      <c r="U203" s="1"/>
      <c r="V203" s="1"/>
      <c r="W203" s="1"/>
      <c r="X203" s="1"/>
      <c r="Y203" s="1"/>
      <c r="Z203" s="1"/>
    </row>
    <row r="204" spans="1:26" ht="15.75" customHeight="1">
      <c r="A204" s="1"/>
      <c r="B204" s="611"/>
      <c r="C204" s="210" t="s">
        <v>546</v>
      </c>
      <c r="D204" s="1" t="s">
        <v>547</v>
      </c>
      <c r="E204" s="210" t="s">
        <v>535</v>
      </c>
      <c r="F204" s="209">
        <v>26760</v>
      </c>
      <c r="G204" s="210" t="s">
        <v>425</v>
      </c>
      <c r="H204" s="209">
        <v>137</v>
      </c>
      <c r="I204" s="210" t="s">
        <v>536</v>
      </c>
      <c r="J204" s="534">
        <v>3666.12</v>
      </c>
      <c r="K204" s="521">
        <v>302.39999999999998</v>
      </c>
      <c r="L204" s="548">
        <v>1.4999999999999999E-2</v>
      </c>
      <c r="M204" s="612">
        <v>1E-3</v>
      </c>
      <c r="N204" s="1"/>
      <c r="O204" s="75" t="s">
        <v>341</v>
      </c>
      <c r="P204" s="1"/>
      <c r="Q204" s="1"/>
      <c r="R204" s="1"/>
      <c r="S204" s="1"/>
      <c r="T204" s="1"/>
      <c r="U204" s="1"/>
      <c r="V204" s="1"/>
      <c r="W204" s="1"/>
      <c r="X204" s="1"/>
      <c r="Y204" s="1"/>
      <c r="Z204" s="1"/>
    </row>
    <row r="205" spans="1:26" ht="15.75" customHeight="1">
      <c r="A205" s="1"/>
      <c r="B205" s="611"/>
      <c r="C205" s="210" t="s">
        <v>548</v>
      </c>
      <c r="D205" s="1" t="s">
        <v>549</v>
      </c>
      <c r="E205" s="210" t="s">
        <v>535</v>
      </c>
      <c r="F205" s="209">
        <v>38516</v>
      </c>
      <c r="G205" s="210" t="s">
        <v>425</v>
      </c>
      <c r="H205" s="209">
        <v>137</v>
      </c>
      <c r="I205" s="210" t="s">
        <v>536</v>
      </c>
      <c r="J205" s="534">
        <v>5276.692</v>
      </c>
      <c r="K205" s="521">
        <v>435.2</v>
      </c>
      <c r="L205" s="548">
        <v>2.1000000000000001E-2</v>
      </c>
      <c r="M205" s="612">
        <v>2E-3</v>
      </c>
      <c r="N205" s="1"/>
      <c r="O205" s="75" t="s">
        <v>341</v>
      </c>
      <c r="P205" s="1"/>
      <c r="Q205" s="1"/>
      <c r="R205" s="1"/>
      <c r="S205" s="1"/>
      <c r="T205" s="1"/>
      <c r="U205" s="1"/>
      <c r="V205" s="1"/>
      <c r="W205" s="1"/>
      <c r="X205" s="1"/>
      <c r="Y205" s="1"/>
      <c r="Z205" s="1"/>
    </row>
    <row r="206" spans="1:26" ht="15.75" customHeight="1">
      <c r="A206" s="1"/>
      <c r="B206" s="611"/>
      <c r="C206" s="210" t="s">
        <v>550</v>
      </c>
      <c r="D206" s="1" t="s">
        <v>551</v>
      </c>
      <c r="E206" s="210" t="s">
        <v>535</v>
      </c>
      <c r="F206" s="209">
        <v>68406</v>
      </c>
      <c r="G206" s="210" t="s">
        <v>425</v>
      </c>
      <c r="H206" s="209">
        <v>137</v>
      </c>
      <c r="I206" s="210" t="s">
        <v>536</v>
      </c>
      <c r="J206" s="534">
        <v>9371.6219999999994</v>
      </c>
      <c r="K206" s="521">
        <v>773</v>
      </c>
      <c r="L206" s="548">
        <v>3.7999999999999999E-2</v>
      </c>
      <c r="M206" s="613">
        <v>4.0000000000000001E-3</v>
      </c>
      <c r="N206" s="1"/>
      <c r="O206" s="75" t="s">
        <v>341</v>
      </c>
      <c r="P206" s="1"/>
      <c r="Q206" s="1"/>
      <c r="R206" s="1"/>
      <c r="S206" s="1"/>
      <c r="T206" s="1"/>
      <c r="U206" s="1"/>
      <c r="V206" s="1"/>
      <c r="W206" s="1"/>
      <c r="X206" s="1"/>
      <c r="Y206" s="1"/>
      <c r="Z206" s="1"/>
    </row>
    <row r="207" spans="1:26" ht="15.75" customHeight="1">
      <c r="A207" s="1"/>
      <c r="B207" s="539"/>
      <c r="C207" s="224" t="s">
        <v>552</v>
      </c>
      <c r="D207" s="1" t="s">
        <v>553</v>
      </c>
      <c r="E207" s="224" t="s">
        <v>535</v>
      </c>
      <c r="F207" s="254">
        <v>26650</v>
      </c>
      <c r="G207" s="224" t="s">
        <v>425</v>
      </c>
      <c r="H207" s="348">
        <v>137</v>
      </c>
      <c r="I207" s="224" t="s">
        <v>536</v>
      </c>
      <c r="J207" s="541">
        <v>3651.05</v>
      </c>
      <c r="K207" s="614">
        <v>301.10000000000002</v>
      </c>
      <c r="L207" s="615">
        <v>1.4999999999999999E-2</v>
      </c>
      <c r="M207" s="616">
        <v>1E-3</v>
      </c>
      <c r="N207" s="1"/>
      <c r="O207" s="75" t="s">
        <v>341</v>
      </c>
      <c r="P207" s="1"/>
      <c r="Q207" s="1"/>
      <c r="R207" s="1"/>
      <c r="S207" s="1"/>
      <c r="T207" s="1"/>
      <c r="U207" s="1"/>
      <c r="V207" s="1"/>
      <c r="W207" s="1"/>
      <c r="X207" s="1"/>
      <c r="Y207" s="1"/>
      <c r="Z207" s="1"/>
    </row>
    <row r="208" spans="1:26" ht="15.75" customHeight="1">
      <c r="A208" s="1"/>
      <c r="B208" s="505"/>
      <c r="C208" s="204"/>
      <c r="D208" s="204"/>
      <c r="E208" s="204"/>
      <c r="F208" s="506"/>
      <c r="G208" s="204"/>
      <c r="H208" s="506"/>
      <c r="I208" s="204"/>
      <c r="J208" s="507"/>
      <c r="K208" s="617"/>
      <c r="L208" s="527"/>
      <c r="M208" s="610"/>
      <c r="N208" s="1"/>
      <c r="O208" s="75"/>
      <c r="P208" s="1"/>
      <c r="Q208" s="1"/>
      <c r="R208" s="1"/>
      <c r="S208" s="1"/>
      <c r="T208" s="1"/>
      <c r="U208" s="1"/>
      <c r="V208" s="1"/>
      <c r="W208" s="1"/>
      <c r="X208" s="1"/>
      <c r="Y208" s="1"/>
      <c r="Z208" s="1"/>
    </row>
    <row r="209" spans="1:26" ht="15.75" customHeight="1">
      <c r="A209" s="1"/>
      <c r="B209" s="276" t="s">
        <v>554</v>
      </c>
      <c r="C209" s="30" t="s">
        <v>555</v>
      </c>
      <c r="D209" s="210"/>
      <c r="E209" s="210"/>
      <c r="F209" s="209"/>
      <c r="G209" s="210"/>
      <c r="H209" s="209"/>
      <c r="I209" s="210"/>
      <c r="J209" s="618"/>
      <c r="K209" s="220"/>
      <c r="L209" s="223"/>
      <c r="M209" s="619"/>
      <c r="N209" s="1"/>
      <c r="O209" s="75"/>
      <c r="P209" s="1"/>
      <c r="Q209" s="1"/>
      <c r="R209" s="1"/>
      <c r="S209" s="1"/>
      <c r="T209" s="1"/>
      <c r="U209" s="1"/>
      <c r="V209" s="1"/>
      <c r="W209" s="1"/>
      <c r="X209" s="1"/>
      <c r="Y209" s="1"/>
      <c r="Z209" s="1"/>
    </row>
    <row r="210" spans="1:26" ht="15.75" customHeight="1">
      <c r="A210" s="1"/>
      <c r="B210" s="276"/>
      <c r="C210" s="210" t="s">
        <v>556</v>
      </c>
      <c r="D210" s="1" t="s">
        <v>557</v>
      </c>
      <c r="E210" s="210" t="s">
        <v>535</v>
      </c>
      <c r="F210" s="515">
        <v>5013</v>
      </c>
      <c r="G210" s="210" t="s">
        <v>425</v>
      </c>
      <c r="H210" s="209">
        <v>137000</v>
      </c>
      <c r="I210" s="210" t="s">
        <v>558</v>
      </c>
      <c r="J210" s="620">
        <v>687</v>
      </c>
      <c r="K210" s="537">
        <v>56.6</v>
      </c>
      <c r="L210" s="518">
        <v>3.0000000000000001E-3</v>
      </c>
      <c r="M210" s="519">
        <v>0</v>
      </c>
      <c r="N210" s="1"/>
      <c r="O210" s="75" t="s">
        <v>427</v>
      </c>
      <c r="P210" s="1"/>
      <c r="Q210" s="1"/>
      <c r="R210" s="1"/>
      <c r="S210" s="1"/>
      <c r="T210" s="1"/>
      <c r="U210" s="1"/>
      <c r="V210" s="1"/>
      <c r="W210" s="1"/>
      <c r="X210" s="1"/>
      <c r="Y210" s="1"/>
      <c r="Z210" s="1"/>
    </row>
    <row r="211" spans="1:26" ht="15.75" customHeight="1">
      <c r="A211" s="1"/>
      <c r="B211" s="276"/>
      <c r="C211" s="210" t="s">
        <v>559</v>
      </c>
      <c r="D211" s="1" t="s">
        <v>560</v>
      </c>
      <c r="E211" s="210" t="s">
        <v>535</v>
      </c>
      <c r="F211" s="515">
        <v>5289</v>
      </c>
      <c r="G211" s="210" t="s">
        <v>425</v>
      </c>
      <c r="H211" s="209">
        <v>137000</v>
      </c>
      <c r="I211" s="210" t="s">
        <v>558</v>
      </c>
      <c r="J211" s="620">
        <v>725</v>
      </c>
      <c r="K211" s="537">
        <v>59.8</v>
      </c>
      <c r="L211" s="518">
        <v>3.0000000000000001E-3</v>
      </c>
      <c r="M211" s="519">
        <v>0</v>
      </c>
      <c r="N211" s="1"/>
      <c r="O211" s="75" t="s">
        <v>427</v>
      </c>
      <c r="P211" s="1"/>
      <c r="Q211" s="1"/>
      <c r="R211" s="1"/>
      <c r="S211" s="1"/>
      <c r="T211" s="1"/>
      <c r="U211" s="1"/>
      <c r="V211" s="1"/>
      <c r="W211" s="1"/>
      <c r="X211" s="1"/>
      <c r="Y211" s="1"/>
      <c r="Z211" s="1"/>
    </row>
    <row r="212" spans="1:26" ht="15.75" customHeight="1">
      <c r="A212" s="1"/>
      <c r="B212" s="276"/>
      <c r="C212" s="210" t="s">
        <v>561</v>
      </c>
      <c r="D212" s="1" t="s">
        <v>562</v>
      </c>
      <c r="E212" s="210" t="s">
        <v>535</v>
      </c>
      <c r="F212" s="515">
        <v>44606</v>
      </c>
      <c r="G212" s="210" t="s">
        <v>425</v>
      </c>
      <c r="H212" s="209">
        <v>137000</v>
      </c>
      <c r="I212" s="210" t="s">
        <v>558</v>
      </c>
      <c r="J212" s="621">
        <v>6111</v>
      </c>
      <c r="K212" s="513">
        <v>504</v>
      </c>
      <c r="L212" s="622">
        <v>0</v>
      </c>
      <c r="M212" s="623">
        <v>0</v>
      </c>
      <c r="N212" s="1"/>
      <c r="O212" s="75" t="s">
        <v>427</v>
      </c>
      <c r="P212" s="1"/>
      <c r="Q212" s="1"/>
      <c r="R212" s="1"/>
      <c r="S212" s="1"/>
      <c r="T212" s="1"/>
      <c r="U212" s="1"/>
      <c r="V212" s="1"/>
      <c r="W212" s="1"/>
      <c r="X212" s="1"/>
      <c r="Y212" s="1"/>
      <c r="Z212" s="1"/>
    </row>
    <row r="213" spans="1:26" ht="15.75" customHeight="1">
      <c r="A213" s="1"/>
      <c r="B213" s="276"/>
      <c r="C213" s="210" t="s">
        <v>563</v>
      </c>
      <c r="D213" s="1" t="s">
        <v>564</v>
      </c>
      <c r="E213" s="210" t="s">
        <v>535</v>
      </c>
      <c r="F213" s="515">
        <v>47695</v>
      </c>
      <c r="G213" s="210" t="s">
        <v>425</v>
      </c>
      <c r="H213" s="209">
        <v>137000</v>
      </c>
      <c r="I213" s="210" t="s">
        <v>558</v>
      </c>
      <c r="J213" s="620">
        <v>6534</v>
      </c>
      <c r="K213" s="537">
        <v>539</v>
      </c>
      <c r="L213" s="518">
        <v>0</v>
      </c>
      <c r="M213" s="519">
        <v>0</v>
      </c>
      <c r="N213" s="1"/>
      <c r="O213" s="75" t="s">
        <v>427</v>
      </c>
      <c r="P213" s="1"/>
      <c r="Q213" s="1"/>
      <c r="R213" s="1"/>
      <c r="S213" s="1"/>
      <c r="T213" s="1"/>
      <c r="U213" s="1"/>
      <c r="V213" s="1"/>
      <c r="W213" s="1"/>
      <c r="X213" s="1"/>
      <c r="Y213" s="1"/>
      <c r="Z213" s="1"/>
    </row>
    <row r="214" spans="1:26" ht="15.75" customHeight="1">
      <c r="A214" s="1"/>
      <c r="B214" s="276"/>
      <c r="C214" s="210" t="s">
        <v>565</v>
      </c>
      <c r="D214" s="1" t="s">
        <v>566</v>
      </c>
      <c r="E214" s="210" t="s">
        <v>535</v>
      </c>
      <c r="F214" s="515">
        <v>45059</v>
      </c>
      <c r="G214" s="210" t="s">
        <v>425</v>
      </c>
      <c r="H214" s="209">
        <v>137000</v>
      </c>
      <c r="I214" s="210" t="s">
        <v>558</v>
      </c>
      <c r="J214" s="620">
        <v>6173</v>
      </c>
      <c r="K214" s="537">
        <v>488.68</v>
      </c>
      <c r="L214" s="518">
        <v>2.41E-2</v>
      </c>
      <c r="M214" s="519">
        <v>2.0999999999999999E-3</v>
      </c>
      <c r="N214" s="1"/>
      <c r="O214" s="75" t="s">
        <v>427</v>
      </c>
      <c r="P214" s="1"/>
      <c r="Q214" s="1"/>
      <c r="R214" s="1"/>
      <c r="S214" s="1"/>
      <c r="T214" s="1"/>
      <c r="U214" s="1"/>
      <c r="V214" s="1"/>
      <c r="W214" s="1"/>
      <c r="X214" s="1"/>
      <c r="Y214" s="1"/>
      <c r="Z214" s="1"/>
    </row>
    <row r="215" spans="1:26" ht="15.75" customHeight="1">
      <c r="A215" s="1"/>
      <c r="B215" s="276"/>
      <c r="C215" s="210" t="s">
        <v>567</v>
      </c>
      <c r="D215" s="1" t="s">
        <v>568</v>
      </c>
      <c r="E215" s="210" t="s">
        <v>535</v>
      </c>
      <c r="F215" s="515">
        <v>58124</v>
      </c>
      <c r="G215" s="210" t="s">
        <v>425</v>
      </c>
      <c r="H215" s="209">
        <v>137000</v>
      </c>
      <c r="I215" s="210" t="s">
        <v>558</v>
      </c>
      <c r="J215" s="620">
        <v>7963</v>
      </c>
      <c r="K215" s="537">
        <v>638.66</v>
      </c>
      <c r="L215" s="518">
        <v>3.1300000000000001E-2</v>
      </c>
      <c r="M215" s="624">
        <v>3.3999999999999998E-3</v>
      </c>
      <c r="N215" s="1"/>
      <c r="O215" s="75" t="s">
        <v>427</v>
      </c>
      <c r="P215" s="1"/>
      <c r="Q215" s="1"/>
      <c r="R215" s="1"/>
      <c r="S215" s="1"/>
      <c r="T215" s="1"/>
      <c r="U215" s="1"/>
      <c r="V215" s="1"/>
      <c r="W215" s="1"/>
      <c r="X215" s="1"/>
      <c r="Y215" s="1"/>
      <c r="Z215" s="1"/>
    </row>
    <row r="216" spans="1:26" ht="15.75" customHeight="1">
      <c r="A216" s="1"/>
      <c r="B216" s="276"/>
      <c r="C216" s="210" t="s">
        <v>569</v>
      </c>
      <c r="D216" s="1" t="s">
        <v>570</v>
      </c>
      <c r="E216" s="210" t="s">
        <v>535</v>
      </c>
      <c r="F216" s="515">
        <v>39785</v>
      </c>
      <c r="G216" s="210" t="s">
        <v>425</v>
      </c>
      <c r="H216" s="209">
        <v>137000</v>
      </c>
      <c r="I216" s="210" t="s">
        <v>558</v>
      </c>
      <c r="J216" s="620">
        <v>5451</v>
      </c>
      <c r="K216" s="537">
        <v>427.43</v>
      </c>
      <c r="L216" s="546">
        <v>2.12E-2</v>
      </c>
      <c r="M216" s="519">
        <v>2.2000000000000001E-3</v>
      </c>
      <c r="N216" s="1"/>
      <c r="O216" s="75" t="s">
        <v>427</v>
      </c>
      <c r="P216" s="1"/>
      <c r="Q216" s="1"/>
      <c r="R216" s="1"/>
      <c r="S216" s="1"/>
      <c r="T216" s="1"/>
      <c r="U216" s="1"/>
      <c r="V216" s="1"/>
      <c r="W216" s="1"/>
      <c r="X216" s="1"/>
      <c r="Y216" s="1"/>
      <c r="Z216" s="1"/>
    </row>
    <row r="217" spans="1:26" ht="15.75" customHeight="1">
      <c r="A217" s="1"/>
      <c r="B217" s="539"/>
      <c r="C217" s="224" t="s">
        <v>571</v>
      </c>
      <c r="D217" s="1" t="s">
        <v>572</v>
      </c>
      <c r="E217" s="224" t="s">
        <v>535</v>
      </c>
      <c r="F217" s="549">
        <v>26150</v>
      </c>
      <c r="G217" s="224" t="s">
        <v>425</v>
      </c>
      <c r="H217" s="348">
        <v>137000</v>
      </c>
      <c r="I217" s="224" t="s">
        <v>558</v>
      </c>
      <c r="J217" s="625">
        <v>3583</v>
      </c>
      <c r="K217" s="575">
        <v>277.77999999999997</v>
      </c>
      <c r="L217" s="551">
        <v>1.3599999999999999E-2</v>
      </c>
      <c r="M217" s="552">
        <v>1.1999999999999999E-3</v>
      </c>
      <c r="N217" s="1"/>
      <c r="O217" s="75" t="s">
        <v>427</v>
      </c>
      <c r="P217" s="1"/>
      <c r="Q217" s="1"/>
      <c r="R217" s="1"/>
      <c r="S217" s="1"/>
      <c r="T217" s="1"/>
      <c r="U217" s="1"/>
      <c r="V217" s="1"/>
      <c r="W217" s="1"/>
      <c r="X217" s="1"/>
      <c r="Y217" s="1"/>
      <c r="Z217" s="1"/>
    </row>
    <row r="218" spans="1:26" ht="15.75" customHeight="1">
      <c r="A218" s="1"/>
      <c r="B218" s="292"/>
      <c r="C218" s="242"/>
      <c r="D218" s="242"/>
      <c r="E218" s="242"/>
      <c r="F218" s="352"/>
      <c r="G218" s="242"/>
      <c r="H218" s="352"/>
      <c r="I218" s="242"/>
      <c r="J218" s="502"/>
      <c r="K218" s="626"/>
      <c r="L218" s="362"/>
      <c r="M218" s="627"/>
      <c r="N218" s="1"/>
      <c r="O218" s="75"/>
      <c r="P218" s="1"/>
      <c r="Q218" s="1"/>
      <c r="R218" s="1"/>
      <c r="S218" s="1"/>
      <c r="T218" s="1"/>
      <c r="U218" s="1"/>
      <c r="V218" s="1"/>
      <c r="W218" s="1"/>
      <c r="X218" s="1"/>
      <c r="Y218" s="1"/>
      <c r="Z218" s="1"/>
    </row>
    <row r="219" spans="1:26" ht="15.75" customHeight="1">
      <c r="A219" s="1"/>
      <c r="B219" s="505" t="s">
        <v>573</v>
      </c>
      <c r="C219" s="205" t="s">
        <v>574</v>
      </c>
      <c r="D219" s="204"/>
      <c r="E219" s="205"/>
      <c r="F219" s="607"/>
      <c r="G219" s="204"/>
      <c r="H219" s="506"/>
      <c r="I219" s="204"/>
      <c r="J219" s="608"/>
      <c r="K219" s="628"/>
      <c r="L219" s="609"/>
      <c r="M219" s="610"/>
      <c r="N219" s="1"/>
      <c r="O219" s="75"/>
      <c r="P219" s="1"/>
      <c r="Q219" s="1"/>
      <c r="R219" s="1"/>
      <c r="S219" s="1"/>
      <c r="T219" s="1"/>
      <c r="U219" s="1"/>
      <c r="V219" s="1"/>
      <c r="W219" s="1"/>
      <c r="X219" s="1"/>
      <c r="Y219" s="1"/>
      <c r="Z219" s="1"/>
    </row>
    <row r="220" spans="1:26" ht="15.75" customHeight="1">
      <c r="A220" s="1"/>
      <c r="B220" s="276"/>
      <c r="C220" s="210" t="s">
        <v>548</v>
      </c>
      <c r="D220" s="210" t="s">
        <v>575</v>
      </c>
      <c r="E220" s="210" t="s">
        <v>526</v>
      </c>
      <c r="F220" s="515">
        <v>9912</v>
      </c>
      <c r="G220" s="210" t="s">
        <v>425</v>
      </c>
      <c r="H220" s="209">
        <v>140983</v>
      </c>
      <c r="I220" s="210" t="s">
        <v>426</v>
      </c>
      <c r="J220" s="545">
        <v>1397.4234959999999</v>
      </c>
      <c r="K220" s="537">
        <v>110.02</v>
      </c>
      <c r="L220" s="518">
        <v>4.6211873811363886E-3</v>
      </c>
      <c r="M220" s="519">
        <v>9.2423747622727751E-4</v>
      </c>
      <c r="N220" s="1"/>
      <c r="O220" s="75" t="s">
        <v>427</v>
      </c>
      <c r="P220" s="1"/>
      <c r="Q220" s="1"/>
      <c r="R220" s="1"/>
      <c r="S220" s="1"/>
      <c r="T220" s="1"/>
      <c r="U220" s="1"/>
      <c r="V220" s="1"/>
      <c r="W220" s="1"/>
      <c r="X220" s="1"/>
      <c r="Y220" s="1"/>
      <c r="Z220" s="1"/>
    </row>
    <row r="221" spans="1:26" ht="15.75" customHeight="1">
      <c r="A221" s="1"/>
      <c r="B221" s="276"/>
      <c r="C221" s="210" t="s">
        <v>550</v>
      </c>
      <c r="D221" s="210" t="s">
        <v>576</v>
      </c>
      <c r="E221" s="210" t="s">
        <v>526</v>
      </c>
      <c r="F221" s="515">
        <v>3968</v>
      </c>
      <c r="G221" s="210" t="s">
        <v>425</v>
      </c>
      <c r="H221" s="209">
        <v>140984</v>
      </c>
      <c r="I221" s="210" t="s">
        <v>426</v>
      </c>
      <c r="J221" s="545">
        <v>559.42451200000005</v>
      </c>
      <c r="K221" s="537">
        <v>44.04</v>
      </c>
      <c r="L221" s="518">
        <v>1.8499799831280226E-3</v>
      </c>
      <c r="M221" s="519">
        <v>3.699959966256045E-4</v>
      </c>
      <c r="N221" s="1"/>
      <c r="O221" s="75" t="s">
        <v>427</v>
      </c>
      <c r="P221" s="1"/>
      <c r="Q221" s="1"/>
      <c r="R221" s="1"/>
      <c r="S221" s="1"/>
      <c r="T221" s="1"/>
      <c r="U221" s="1"/>
      <c r="V221" s="1"/>
      <c r="W221" s="1"/>
      <c r="X221" s="1"/>
      <c r="Y221" s="1"/>
      <c r="Z221" s="1"/>
    </row>
    <row r="222" spans="1:26" ht="15.75" customHeight="1">
      <c r="A222" s="1"/>
      <c r="B222" s="276"/>
      <c r="C222" s="210" t="s">
        <v>537</v>
      </c>
      <c r="D222" s="1" t="s">
        <v>577</v>
      </c>
      <c r="E222" s="1" t="s">
        <v>477</v>
      </c>
      <c r="F222" s="254">
        <v>5238</v>
      </c>
      <c r="G222" s="210" t="s">
        <v>425</v>
      </c>
      <c r="H222" s="209">
        <v>140987</v>
      </c>
      <c r="I222" s="210" t="s">
        <v>426</v>
      </c>
      <c r="J222" s="254">
        <f>F222*H222/1000000</f>
        <v>738.48990600000002</v>
      </c>
      <c r="K222" s="1">
        <v>58.14</v>
      </c>
      <c r="L222" s="1">
        <v>0</v>
      </c>
      <c r="M222" s="1">
        <v>0</v>
      </c>
      <c r="N222" s="1"/>
      <c r="O222" s="75"/>
      <c r="P222" s="1"/>
      <c r="Q222" s="1"/>
      <c r="R222" s="1"/>
      <c r="S222" s="1"/>
      <c r="T222" s="1"/>
      <c r="U222" s="1"/>
      <c r="V222" s="1"/>
      <c r="W222" s="1"/>
      <c r="X222" s="1"/>
      <c r="Y222" s="1"/>
      <c r="Z222" s="1"/>
    </row>
    <row r="223" spans="1:26" ht="15.75" customHeight="1">
      <c r="A223" s="1"/>
      <c r="B223" s="276"/>
      <c r="C223" s="210" t="s">
        <v>578</v>
      </c>
      <c r="D223" s="210" t="s">
        <v>579</v>
      </c>
      <c r="E223" s="210" t="s">
        <v>526</v>
      </c>
      <c r="F223" s="515">
        <v>5198</v>
      </c>
      <c r="G223" s="210" t="s">
        <v>425</v>
      </c>
      <c r="H223" s="209">
        <v>140987</v>
      </c>
      <c r="I223" s="210" t="s">
        <v>426</v>
      </c>
      <c r="J223" s="545">
        <v>732.85042599999997</v>
      </c>
      <c r="K223" s="537">
        <v>57.7</v>
      </c>
      <c r="L223" s="518">
        <v>2.4234880482442E-3</v>
      </c>
      <c r="M223" s="519">
        <v>4.846976096488399E-4</v>
      </c>
      <c r="N223" s="1"/>
      <c r="O223" s="75" t="s">
        <v>427</v>
      </c>
      <c r="P223" s="1"/>
      <c r="Q223" s="1"/>
      <c r="R223" s="1"/>
      <c r="S223" s="1"/>
      <c r="T223" s="1"/>
      <c r="U223" s="1"/>
      <c r="V223" s="1"/>
      <c r="W223" s="1"/>
      <c r="X223" s="1"/>
      <c r="Y223" s="1"/>
      <c r="Z223" s="1"/>
    </row>
    <row r="224" spans="1:26" ht="15.75" customHeight="1">
      <c r="A224" s="1"/>
      <c r="B224" s="539"/>
      <c r="C224" s="224"/>
      <c r="D224" s="224"/>
      <c r="E224" s="224"/>
      <c r="F224" s="348"/>
      <c r="G224" s="224"/>
      <c r="H224" s="348"/>
      <c r="I224" s="224"/>
      <c r="J224" s="629"/>
      <c r="K224" s="630"/>
      <c r="L224" s="543"/>
      <c r="M224" s="544"/>
      <c r="N224" s="1"/>
      <c r="O224" s="75"/>
      <c r="P224" s="1"/>
      <c r="Q224" s="1"/>
      <c r="R224" s="1"/>
      <c r="S224" s="1"/>
      <c r="T224" s="1"/>
      <c r="U224" s="1"/>
      <c r="V224" s="1"/>
      <c r="W224" s="1"/>
      <c r="X224" s="1"/>
      <c r="Y224" s="1"/>
      <c r="Z224" s="1"/>
    </row>
    <row r="225" spans="1:26" ht="15.75" customHeight="1">
      <c r="A225" s="1"/>
      <c r="B225" s="292"/>
      <c r="C225" s="242"/>
      <c r="D225" s="242"/>
      <c r="E225" s="242"/>
      <c r="F225" s="352"/>
      <c r="G225" s="242"/>
      <c r="H225" s="352"/>
      <c r="I225" s="242"/>
      <c r="J225" s="502"/>
      <c r="K225" s="631"/>
      <c r="L225" s="362"/>
      <c r="M225" s="627"/>
      <c r="N225" s="1"/>
      <c r="O225" s="75"/>
      <c r="P225" s="1"/>
      <c r="Q225" s="1"/>
      <c r="R225" s="1"/>
      <c r="S225" s="1"/>
      <c r="T225" s="1"/>
      <c r="U225" s="1"/>
      <c r="V225" s="1"/>
      <c r="W225" s="1"/>
      <c r="X225" s="1"/>
      <c r="Y225" s="1"/>
      <c r="Z225" s="1"/>
    </row>
    <row r="226" spans="1:26" ht="15.75" customHeight="1">
      <c r="A226" s="1"/>
      <c r="B226" s="505" t="s">
        <v>580</v>
      </c>
      <c r="C226" s="205" t="s">
        <v>581</v>
      </c>
      <c r="D226" s="204"/>
      <c r="E226" s="205"/>
      <c r="F226" s="607"/>
      <c r="G226" s="204"/>
      <c r="H226" s="506"/>
      <c r="I226" s="204"/>
      <c r="J226" s="553"/>
      <c r="K226" s="632"/>
      <c r="L226" s="609"/>
      <c r="M226" s="610"/>
      <c r="N226" s="1"/>
      <c r="O226" s="75"/>
      <c r="P226" s="1"/>
      <c r="Q226" s="1"/>
      <c r="R226" s="1"/>
      <c r="S226" s="1"/>
      <c r="T226" s="1"/>
      <c r="U226" s="1"/>
      <c r="V226" s="1"/>
      <c r="W226" s="1"/>
      <c r="X226" s="1"/>
      <c r="Y226" s="1"/>
      <c r="Z226" s="1"/>
    </row>
    <row r="227" spans="1:26" ht="15.75" customHeight="1">
      <c r="A227" s="1"/>
      <c r="B227" s="276"/>
      <c r="C227" s="210" t="s">
        <v>582</v>
      </c>
      <c r="D227" s="210" t="s">
        <v>583</v>
      </c>
      <c r="E227" s="210" t="s">
        <v>526</v>
      </c>
      <c r="F227" s="515">
        <v>10166</v>
      </c>
      <c r="G227" s="210" t="s">
        <v>425</v>
      </c>
      <c r="H227" s="209">
        <v>141494</v>
      </c>
      <c r="I227" s="210" t="s">
        <v>426</v>
      </c>
      <c r="J227" s="545">
        <v>1438.4280040000001</v>
      </c>
      <c r="K227" s="517">
        <v>115</v>
      </c>
      <c r="L227" s="546">
        <v>6.0000000000000001E-3</v>
      </c>
      <c r="M227" s="574">
        <v>0</v>
      </c>
      <c r="N227" s="1"/>
      <c r="O227" s="75" t="s">
        <v>427</v>
      </c>
      <c r="P227" s="1"/>
      <c r="Q227" s="1"/>
      <c r="R227" s="1"/>
      <c r="S227" s="1"/>
      <c r="T227" s="1"/>
      <c r="U227" s="1"/>
      <c r="V227" s="1"/>
      <c r="W227" s="1"/>
      <c r="X227" s="1"/>
      <c r="Y227" s="1"/>
      <c r="Z227" s="1"/>
    </row>
    <row r="228" spans="1:26" ht="15.75" customHeight="1">
      <c r="A228" s="1"/>
      <c r="B228" s="276"/>
      <c r="C228" s="210" t="s">
        <v>584</v>
      </c>
      <c r="D228" s="210" t="s">
        <v>585</v>
      </c>
      <c r="E228" s="210" t="s">
        <v>526</v>
      </c>
      <c r="F228" s="515">
        <v>10078</v>
      </c>
      <c r="G228" s="210" t="s">
        <v>425</v>
      </c>
      <c r="H228" s="209">
        <v>141494</v>
      </c>
      <c r="I228" s="210" t="s">
        <v>426</v>
      </c>
      <c r="J228" s="545">
        <v>1425.9765319999999</v>
      </c>
      <c r="K228" s="517">
        <v>114</v>
      </c>
      <c r="L228" s="546">
        <v>6.0000000000000001E-3</v>
      </c>
      <c r="M228" s="574">
        <v>0</v>
      </c>
      <c r="N228" s="1"/>
      <c r="O228" s="75" t="s">
        <v>427</v>
      </c>
      <c r="P228" s="1"/>
      <c r="Q228" s="1"/>
      <c r="R228" s="1"/>
      <c r="S228" s="1"/>
      <c r="T228" s="1"/>
      <c r="U228" s="1"/>
      <c r="V228" s="1"/>
      <c r="W228" s="1"/>
      <c r="X228" s="1"/>
      <c r="Y228" s="1"/>
      <c r="Z228" s="1"/>
    </row>
    <row r="229" spans="1:26" ht="15.75" customHeight="1">
      <c r="A229" s="1"/>
      <c r="B229" s="276"/>
      <c r="C229" s="210" t="s">
        <v>586</v>
      </c>
      <c r="D229" s="210" t="s">
        <v>587</v>
      </c>
      <c r="E229" s="210" t="s">
        <v>526</v>
      </c>
      <c r="F229" s="515">
        <v>10166</v>
      </c>
      <c r="G229" s="210" t="s">
        <v>425</v>
      </c>
      <c r="H229" s="209">
        <v>141494</v>
      </c>
      <c r="I229" s="210" t="s">
        <v>426</v>
      </c>
      <c r="J229" s="545">
        <v>1438.4280040000001</v>
      </c>
      <c r="K229" s="517">
        <v>115</v>
      </c>
      <c r="L229" s="546">
        <v>6.0000000000000001E-3</v>
      </c>
      <c r="M229" s="574">
        <v>0</v>
      </c>
      <c r="N229" s="1"/>
      <c r="O229" s="75" t="s">
        <v>427</v>
      </c>
      <c r="P229" s="1"/>
      <c r="Q229" s="1"/>
      <c r="R229" s="1"/>
      <c r="S229" s="1"/>
      <c r="T229" s="1"/>
      <c r="U229" s="1"/>
      <c r="V229" s="1"/>
      <c r="W229" s="1"/>
      <c r="X229" s="1"/>
      <c r="Y229" s="1"/>
      <c r="Z229" s="1"/>
    </row>
    <row r="230" spans="1:26" ht="15.75" customHeight="1">
      <c r="A230" s="1"/>
      <c r="B230" s="539"/>
      <c r="C230" s="224" t="s">
        <v>588</v>
      </c>
      <c r="D230" s="224" t="s">
        <v>589</v>
      </c>
      <c r="E230" s="224" t="s">
        <v>526</v>
      </c>
      <c r="F230" s="549">
        <v>10166.123</v>
      </c>
      <c r="G230" s="224" t="s">
        <v>425</v>
      </c>
      <c r="H230" s="348">
        <v>141494</v>
      </c>
      <c r="I230" s="224" t="s">
        <v>426</v>
      </c>
      <c r="J230" s="550">
        <v>1438.4454077619998</v>
      </c>
      <c r="K230" s="542">
        <v>115</v>
      </c>
      <c r="L230" s="551">
        <v>6.0000000000000001E-3</v>
      </c>
      <c r="M230" s="576">
        <v>0</v>
      </c>
      <c r="N230" s="1"/>
      <c r="O230" s="75" t="s">
        <v>427</v>
      </c>
      <c r="P230" s="1"/>
      <c r="Q230" s="1"/>
      <c r="R230" s="1"/>
      <c r="S230" s="1"/>
      <c r="T230" s="1"/>
      <c r="U230" s="1"/>
      <c r="V230" s="1"/>
      <c r="W230" s="1"/>
      <c r="X230" s="1"/>
      <c r="Y230" s="1"/>
      <c r="Z230" s="1"/>
    </row>
    <row r="231" spans="1:26" ht="15.75" customHeight="1">
      <c r="A231" s="1"/>
      <c r="B231" s="292"/>
      <c r="C231" s="242"/>
      <c r="D231" s="242"/>
      <c r="E231" s="242"/>
      <c r="F231" s="352"/>
      <c r="G231" s="242"/>
      <c r="H231" s="352"/>
      <c r="I231" s="242"/>
      <c r="J231" s="502"/>
      <c r="K231" s="633"/>
      <c r="L231" s="362"/>
      <c r="M231" s="634"/>
      <c r="N231" s="1"/>
      <c r="O231" s="75"/>
      <c r="P231" s="1"/>
      <c r="Q231" s="1"/>
      <c r="R231" s="1"/>
      <c r="S231" s="1"/>
      <c r="T231" s="1"/>
      <c r="U231" s="1"/>
      <c r="V231" s="1"/>
      <c r="W231" s="1"/>
      <c r="X231" s="1"/>
      <c r="Y231" s="1"/>
      <c r="Z231" s="1"/>
    </row>
    <row r="232" spans="1:26" ht="15.75" customHeight="1">
      <c r="A232" s="1"/>
      <c r="B232" s="505" t="s">
        <v>590</v>
      </c>
      <c r="C232" s="205" t="s">
        <v>591</v>
      </c>
      <c r="D232" s="204"/>
      <c r="E232" s="205"/>
      <c r="F232" s="607"/>
      <c r="G232" s="204"/>
      <c r="H232" s="204"/>
      <c r="I232" s="204"/>
      <c r="J232" s="635"/>
      <c r="K232" s="632"/>
      <c r="L232" s="609"/>
      <c r="M232" s="610"/>
      <c r="N232" s="1"/>
      <c r="O232" s="75"/>
      <c r="P232" s="1"/>
      <c r="Q232" s="1"/>
      <c r="R232" s="1"/>
      <c r="S232" s="1"/>
      <c r="T232" s="1"/>
      <c r="U232" s="1"/>
      <c r="V232" s="1"/>
      <c r="W232" s="1"/>
      <c r="X232" s="1"/>
      <c r="Y232" s="1"/>
      <c r="Z232" s="1"/>
    </row>
    <row r="233" spans="1:26" ht="15.75" customHeight="1">
      <c r="A233" s="1"/>
      <c r="B233" s="276"/>
      <c r="C233" s="210" t="s">
        <v>592</v>
      </c>
      <c r="D233" s="210" t="s">
        <v>593</v>
      </c>
      <c r="E233" s="210" t="s">
        <v>526</v>
      </c>
      <c r="F233" s="515">
        <v>15847</v>
      </c>
      <c r="G233" s="210" t="s">
        <v>425</v>
      </c>
      <c r="H233" s="209">
        <v>137030</v>
      </c>
      <c r="I233" s="210" t="s">
        <v>426</v>
      </c>
      <c r="J233" s="636">
        <v>2171.5144100000002</v>
      </c>
      <c r="K233" s="537">
        <v>177.03694271254795</v>
      </c>
      <c r="L233" s="573">
        <v>7.1810550045652236E-3</v>
      </c>
      <c r="M233" s="574">
        <v>1.4362110009130446E-3</v>
      </c>
      <c r="N233" s="1"/>
      <c r="O233" s="75" t="s">
        <v>427</v>
      </c>
      <c r="P233" s="1"/>
      <c r="Q233" s="1"/>
      <c r="R233" s="1"/>
      <c r="S233" s="1"/>
      <c r="T233" s="1"/>
      <c r="U233" s="1"/>
      <c r="V233" s="1"/>
      <c r="W233" s="1"/>
      <c r="X233" s="1"/>
      <c r="Y233" s="1"/>
      <c r="Z233" s="1"/>
    </row>
    <row r="234" spans="1:26" ht="15.75" customHeight="1">
      <c r="A234" s="1"/>
      <c r="B234" s="276"/>
      <c r="C234" s="210" t="s">
        <v>594</v>
      </c>
      <c r="D234" s="210" t="s">
        <v>595</v>
      </c>
      <c r="E234" s="210" t="s">
        <v>526</v>
      </c>
      <c r="F234" s="515">
        <v>6259</v>
      </c>
      <c r="G234" s="210" t="s">
        <v>425</v>
      </c>
      <c r="H234" s="209">
        <v>137030</v>
      </c>
      <c r="I234" s="210" t="s">
        <v>426</v>
      </c>
      <c r="J234" s="636">
        <v>857.67076999999995</v>
      </c>
      <c r="K234" s="537">
        <v>69.923280396153046</v>
      </c>
      <c r="L234" s="573">
        <v>2.836260697518377E-3</v>
      </c>
      <c r="M234" s="574">
        <v>5.672521395036754E-4</v>
      </c>
      <c r="N234" s="1"/>
      <c r="O234" s="75" t="s">
        <v>427</v>
      </c>
      <c r="P234" s="1"/>
      <c r="Q234" s="1"/>
      <c r="R234" s="1"/>
      <c r="S234" s="1"/>
      <c r="T234" s="1"/>
      <c r="U234" s="1"/>
      <c r="V234" s="1"/>
      <c r="W234" s="1"/>
      <c r="X234" s="1"/>
      <c r="Y234" s="1"/>
      <c r="Z234" s="1"/>
    </row>
    <row r="235" spans="1:26" ht="15.75" customHeight="1">
      <c r="A235" s="1"/>
      <c r="B235" s="276"/>
      <c r="C235" s="210" t="s">
        <v>596</v>
      </c>
      <c r="D235" s="210" t="s">
        <v>597</v>
      </c>
      <c r="E235" s="210" t="s">
        <v>526</v>
      </c>
      <c r="F235" s="515">
        <v>6276</v>
      </c>
      <c r="G235" s="210" t="s">
        <v>425</v>
      </c>
      <c r="H235" s="209">
        <v>137030</v>
      </c>
      <c r="I235" s="210" t="s">
        <v>426</v>
      </c>
      <c r="J235" s="636">
        <v>860.00027999999998</v>
      </c>
      <c r="K235" s="537">
        <v>70.113198237139571</v>
      </c>
      <c r="L235" s="573">
        <v>2.8439642335237793E-3</v>
      </c>
      <c r="M235" s="574">
        <v>5.6879284670475583E-4</v>
      </c>
      <c r="N235" s="1"/>
      <c r="O235" s="75" t="s">
        <v>427</v>
      </c>
      <c r="P235" s="1"/>
      <c r="Q235" s="1"/>
      <c r="R235" s="1"/>
      <c r="S235" s="1"/>
      <c r="T235" s="1"/>
      <c r="U235" s="1"/>
      <c r="V235" s="1"/>
      <c r="W235" s="1"/>
      <c r="X235" s="1"/>
      <c r="Y235" s="1"/>
      <c r="Z235" s="1"/>
    </row>
    <row r="236" spans="1:26" ht="15.75" customHeight="1">
      <c r="A236" s="1"/>
      <c r="B236" s="276"/>
      <c r="C236" s="210" t="s">
        <v>598</v>
      </c>
      <c r="D236" s="210" t="s">
        <v>599</v>
      </c>
      <c r="E236" s="210" t="s">
        <v>526</v>
      </c>
      <c r="F236" s="515">
        <v>15948</v>
      </c>
      <c r="G236" s="210" t="s">
        <v>425</v>
      </c>
      <c r="H236" s="209">
        <v>137030</v>
      </c>
      <c r="I236" s="210" t="s">
        <v>426</v>
      </c>
      <c r="J236" s="636">
        <v>2185.3544400000001</v>
      </c>
      <c r="K236" s="537">
        <v>178.16527812076194</v>
      </c>
      <c r="L236" s="573">
        <v>7.2268230714208478E-3</v>
      </c>
      <c r="M236" s="574">
        <v>1.4453646142841693E-3</v>
      </c>
      <c r="N236" s="1"/>
      <c r="O236" s="75" t="s">
        <v>427</v>
      </c>
      <c r="P236" s="1"/>
      <c r="Q236" s="1"/>
      <c r="R236" s="1"/>
      <c r="S236" s="1"/>
      <c r="T236" s="1"/>
      <c r="U236" s="1"/>
      <c r="V236" s="1"/>
      <c r="W236" s="1"/>
      <c r="X236" s="1"/>
      <c r="Y236" s="1"/>
      <c r="Z236" s="1"/>
    </row>
    <row r="237" spans="1:26" ht="15.75" customHeight="1">
      <c r="A237" s="1"/>
      <c r="B237" s="276"/>
      <c r="C237" s="210" t="s">
        <v>600</v>
      </c>
      <c r="D237" s="210" t="s">
        <v>601</v>
      </c>
      <c r="E237" s="210" t="s">
        <v>526</v>
      </c>
      <c r="F237" s="515">
        <v>14378</v>
      </c>
      <c r="G237" s="210" t="s">
        <v>425</v>
      </c>
      <c r="H237" s="209">
        <v>137030</v>
      </c>
      <c r="I237" s="210" t="s">
        <v>426</v>
      </c>
      <c r="J237" s="636">
        <v>1970.2173399999999</v>
      </c>
      <c r="K237" s="537">
        <v>160.62580692377193</v>
      </c>
      <c r="L237" s="573">
        <v>6.5153788638631135E-3</v>
      </c>
      <c r="M237" s="574">
        <v>1.3030757727726225E-3</v>
      </c>
      <c r="N237" s="1"/>
      <c r="O237" s="75" t="s">
        <v>427</v>
      </c>
      <c r="P237" s="1"/>
      <c r="Q237" s="1"/>
      <c r="R237" s="1"/>
      <c r="S237" s="1"/>
      <c r="T237" s="1"/>
      <c r="U237" s="1"/>
      <c r="V237" s="1"/>
      <c r="W237" s="1"/>
      <c r="X237" s="1"/>
      <c r="Y237" s="1"/>
      <c r="Z237" s="1"/>
    </row>
    <row r="238" spans="1:26" ht="15.75" customHeight="1">
      <c r="A238" s="1"/>
      <c r="B238" s="276"/>
      <c r="C238" s="210" t="s">
        <v>602</v>
      </c>
      <c r="D238" s="210" t="s">
        <v>603</v>
      </c>
      <c r="E238" s="210" t="s">
        <v>526</v>
      </c>
      <c r="F238" s="515">
        <v>12064</v>
      </c>
      <c r="G238" s="210" t="s">
        <v>425</v>
      </c>
      <c r="H238" s="209">
        <v>137030</v>
      </c>
      <c r="I238" s="210" t="s">
        <v>426</v>
      </c>
      <c r="J238" s="636">
        <v>1653.1299200000001</v>
      </c>
      <c r="K238" s="537">
        <v>134.77463727419564</v>
      </c>
      <c r="L238" s="573">
        <v>5.466791668774838E-3</v>
      </c>
      <c r="M238" s="574">
        <v>1.0933583337549672E-3</v>
      </c>
      <c r="N238" s="1"/>
      <c r="O238" s="75" t="s">
        <v>427</v>
      </c>
      <c r="P238" s="1"/>
      <c r="Q238" s="1"/>
      <c r="R238" s="1"/>
      <c r="S238" s="1"/>
      <c r="T238" s="1"/>
      <c r="U238" s="1"/>
      <c r="V238" s="1"/>
      <c r="W238" s="1"/>
      <c r="X238" s="1"/>
      <c r="Y238" s="1"/>
      <c r="Z238" s="1"/>
    </row>
    <row r="239" spans="1:26" ht="15.75" customHeight="1">
      <c r="A239" s="1"/>
      <c r="B239" s="539"/>
      <c r="C239" s="224" t="s">
        <v>604</v>
      </c>
      <c r="D239" s="224" t="s">
        <v>605</v>
      </c>
      <c r="E239" s="224" t="s">
        <v>526</v>
      </c>
      <c r="F239" s="549">
        <v>6840</v>
      </c>
      <c r="G239" s="224" t="s">
        <v>425</v>
      </c>
      <c r="H239" s="348">
        <v>137030</v>
      </c>
      <c r="I239" s="224" t="s">
        <v>426</v>
      </c>
      <c r="J239" s="637">
        <v>937.28520000000003</v>
      </c>
      <c r="K239" s="575">
        <v>76.414001902809872</v>
      </c>
      <c r="L239" s="562">
        <v>3.0995403692324181E-3</v>
      </c>
      <c r="M239" s="576">
        <v>6.1990807384648347E-4</v>
      </c>
      <c r="N239" s="1"/>
      <c r="O239" s="75" t="s">
        <v>427</v>
      </c>
      <c r="P239" s="1"/>
      <c r="Q239" s="1"/>
      <c r="R239" s="1"/>
      <c r="S239" s="1"/>
      <c r="T239" s="1"/>
      <c r="U239" s="1"/>
      <c r="V239" s="1"/>
      <c r="W239" s="1"/>
      <c r="X239" s="1"/>
      <c r="Y239" s="1"/>
      <c r="Z239" s="1"/>
    </row>
    <row r="240" spans="1:26" ht="15.75" customHeight="1">
      <c r="A240" s="1"/>
      <c r="B240" s="269" t="s">
        <v>409</v>
      </c>
      <c r="C240" s="243" t="s">
        <v>410</v>
      </c>
      <c r="D240" s="579"/>
      <c r="E240" s="242"/>
      <c r="F240" s="352"/>
      <c r="G240" s="242"/>
      <c r="H240" s="352"/>
      <c r="I240" s="242"/>
      <c r="J240" s="638"/>
      <c r="K240" s="639"/>
      <c r="L240" s="362"/>
      <c r="M240" s="640"/>
      <c r="N240" s="1"/>
      <c r="O240" s="75"/>
      <c r="P240" s="1"/>
      <c r="Q240" s="1"/>
      <c r="R240" s="1"/>
      <c r="S240" s="1"/>
      <c r="T240" s="1"/>
      <c r="U240" s="1"/>
      <c r="V240" s="1"/>
      <c r="W240" s="1"/>
      <c r="X240" s="1"/>
      <c r="Y240" s="1"/>
      <c r="Z240" s="1"/>
    </row>
    <row r="241" spans="1:26" ht="15.75" customHeight="1">
      <c r="A241" s="1"/>
      <c r="B241" s="292"/>
      <c r="C241" s="641" t="s">
        <v>411</v>
      </c>
      <c r="D241" s="642" t="s">
        <v>412</v>
      </c>
      <c r="E241" s="641" t="s">
        <v>526</v>
      </c>
      <c r="F241" s="643">
        <v>47886</v>
      </c>
      <c r="G241" s="641" t="s">
        <v>425</v>
      </c>
      <c r="H241" s="643">
        <v>141324</v>
      </c>
      <c r="I241" s="641" t="s">
        <v>606</v>
      </c>
      <c r="J241" s="644">
        <f>Luke!E16</f>
        <v>6767.4410639999996</v>
      </c>
      <c r="K241" s="645">
        <f>Luke!E18+Luke!E22+Luke!E26</f>
        <v>679.62621475918513</v>
      </c>
      <c r="L241" s="646">
        <f>Luke!E19+Luke!E23+Luke!E27</f>
        <v>8.0784207540361017E-2</v>
      </c>
      <c r="M241" s="647">
        <f>Luke!E20+Luke!E24+Luke!E28</f>
        <v>1.1893810847662889E-2</v>
      </c>
      <c r="N241" s="1"/>
      <c r="O241" s="75"/>
      <c r="P241" s="1"/>
      <c r="Q241" s="1"/>
      <c r="R241" s="1"/>
      <c r="S241" s="1"/>
      <c r="T241" s="1"/>
      <c r="U241" s="1"/>
      <c r="V241" s="1"/>
      <c r="W241" s="1"/>
      <c r="X241" s="1"/>
      <c r="Y241" s="1"/>
      <c r="Z241" s="1"/>
    </row>
    <row r="242" spans="1:26" ht="15.75" customHeight="1">
      <c r="A242" s="1"/>
      <c r="B242" s="292"/>
      <c r="C242" s="243"/>
      <c r="D242" s="242"/>
      <c r="E242" s="243"/>
      <c r="F242" s="648"/>
      <c r="G242" s="242"/>
      <c r="H242" s="352"/>
      <c r="I242" s="242"/>
      <c r="J242" s="649"/>
      <c r="K242" s="650"/>
      <c r="L242" s="651"/>
      <c r="M242" s="652"/>
      <c r="N242" s="1"/>
      <c r="O242" s="75"/>
      <c r="P242" s="1"/>
      <c r="Q242" s="1"/>
      <c r="R242" s="1"/>
      <c r="S242" s="1"/>
      <c r="T242" s="1"/>
      <c r="U242" s="1"/>
      <c r="V242" s="1"/>
      <c r="W242" s="1"/>
      <c r="X242" s="1"/>
      <c r="Y242" s="1"/>
      <c r="Z242" s="1"/>
    </row>
    <row r="243" spans="1:26" ht="15.75" customHeight="1">
      <c r="A243" s="1"/>
      <c r="B243" s="653"/>
      <c r="C243" s="654"/>
      <c r="D243" s="655"/>
      <c r="E243" s="654"/>
      <c r="F243" s="656">
        <f>SUM(F77:F242)</f>
        <v>15387765.265857143</v>
      </c>
      <c r="G243" s="655"/>
      <c r="H243" s="657"/>
      <c r="I243" s="658"/>
      <c r="J243" s="659">
        <f t="shared" ref="J243:M243" si="1">SUM(J77:J242)</f>
        <v>1804131.3567367618</v>
      </c>
      <c r="K243" s="659">
        <f t="shared" si="1"/>
        <v>149058.4577905625</v>
      </c>
      <c r="L243" s="659">
        <f t="shared" si="1"/>
        <v>3.6689612981783335</v>
      </c>
      <c r="M243" s="660">
        <f t="shared" si="1"/>
        <v>3.5683588965733426</v>
      </c>
      <c r="N243" s="1"/>
      <c r="O243" s="75"/>
      <c r="P243" s="1"/>
      <c r="Q243" s="1"/>
      <c r="R243" s="1"/>
      <c r="S243" s="1"/>
      <c r="T243" s="1"/>
      <c r="U243" s="1"/>
      <c r="V243" s="1"/>
      <c r="W243" s="1"/>
      <c r="X243" s="1"/>
      <c r="Y243" s="1"/>
      <c r="Z243" s="1"/>
    </row>
    <row r="244" spans="1:26" ht="15.75" customHeight="1">
      <c r="A244" s="1"/>
      <c r="B244" s="661"/>
      <c r="C244" s="662"/>
      <c r="D244" s="663"/>
      <c r="E244" s="662"/>
      <c r="F244" s="664"/>
      <c r="G244" s="663"/>
      <c r="H244" s="665"/>
      <c r="I244" s="663"/>
      <c r="J244" s="666"/>
      <c r="K244" s="666"/>
      <c r="L244" s="666"/>
      <c r="M244" s="667"/>
      <c r="N244" s="1"/>
      <c r="O244" s="75"/>
      <c r="P244" s="1"/>
      <c r="Q244" s="1"/>
      <c r="R244" s="1"/>
      <c r="S244" s="1"/>
      <c r="T244" s="1"/>
      <c r="U244" s="1"/>
      <c r="V244" s="1"/>
      <c r="W244" s="1"/>
      <c r="X244" s="1"/>
      <c r="Y244" s="1"/>
      <c r="Z244" s="1"/>
    </row>
    <row r="245" spans="1:26" ht="15.75" customHeight="1">
      <c r="A245" s="1"/>
      <c r="B245" s="668"/>
      <c r="C245" s="669"/>
      <c r="D245" s="670"/>
      <c r="E245" s="669" t="s">
        <v>607</v>
      </c>
      <c r="F245" s="671"/>
      <c r="G245" s="670"/>
      <c r="H245" s="672"/>
      <c r="I245" s="670"/>
      <c r="J245" s="673"/>
      <c r="K245" s="674">
        <f>(K243*0.90718474)/1000000</f>
        <v>0.13522355827553242</v>
      </c>
      <c r="L245" s="675">
        <f>(L243*$J$425*0.90718474)/1000000</f>
        <v>9.3195919638023263E-5</v>
      </c>
      <c r="M245" s="676">
        <f>(M243*$J$426*0.90718474)/1000000</f>
        <v>8.5784759552086235E-4</v>
      </c>
      <c r="N245" s="1"/>
      <c r="O245" s="75"/>
      <c r="P245" s="1"/>
      <c r="Q245" s="1"/>
      <c r="R245" s="1"/>
      <c r="S245" s="1"/>
      <c r="T245" s="1"/>
      <c r="U245" s="1"/>
      <c r="V245" s="1"/>
      <c r="W245" s="1"/>
      <c r="X245" s="1"/>
      <c r="Y245" s="1"/>
      <c r="Z245" s="1"/>
    </row>
    <row r="246" spans="1:26" ht="15.75" customHeight="1">
      <c r="A246" s="1"/>
      <c r="B246" s="301"/>
      <c r="C246" s="677"/>
      <c r="D246" s="388"/>
      <c r="E246" s="677"/>
      <c r="F246" s="678"/>
      <c r="G246" s="388"/>
      <c r="H246" s="679"/>
      <c r="I246" s="388"/>
      <c r="J246" s="680"/>
      <c r="K246" s="680"/>
      <c r="L246" s="680"/>
      <c r="M246" s="681"/>
      <c r="N246" s="1"/>
      <c r="O246" s="75"/>
      <c r="P246" s="1"/>
      <c r="Q246" s="1"/>
      <c r="R246" s="1"/>
      <c r="S246" s="1"/>
      <c r="T246" s="1"/>
      <c r="U246" s="1"/>
      <c r="V246" s="1"/>
      <c r="W246" s="1"/>
      <c r="X246" s="1"/>
      <c r="Y246" s="1"/>
      <c r="Z246" s="1"/>
    </row>
    <row r="247" spans="1:26" ht="15.75" customHeight="1">
      <c r="A247" s="1"/>
      <c r="B247" s="41"/>
      <c r="C247" s="41"/>
      <c r="D247" s="1"/>
      <c r="E247" s="1"/>
      <c r="F247" s="254"/>
      <c r="G247" s="254"/>
      <c r="H247" s="1"/>
      <c r="I247" s="1"/>
      <c r="J247" s="1"/>
      <c r="K247" s="1"/>
      <c r="L247" s="1"/>
      <c r="M247" s="1"/>
      <c r="N247" s="1"/>
      <c r="O247" s="75"/>
      <c r="P247" s="1"/>
      <c r="Q247" s="1"/>
      <c r="R247" s="1"/>
      <c r="S247" s="1"/>
      <c r="T247" s="1"/>
      <c r="U247" s="1"/>
      <c r="V247" s="1"/>
      <c r="W247" s="1"/>
      <c r="X247" s="1"/>
      <c r="Y247" s="1"/>
      <c r="Z247" s="1"/>
    </row>
    <row r="248" spans="1:26" ht="15.75" customHeight="1">
      <c r="A248" s="1"/>
      <c r="B248" s="41"/>
      <c r="C248" s="41"/>
      <c r="D248" s="1"/>
      <c r="E248" s="1"/>
      <c r="F248" s="254"/>
      <c r="G248" s="254"/>
      <c r="H248" s="1"/>
      <c r="I248" s="1"/>
      <c r="J248" s="1"/>
      <c r="K248" s="1"/>
      <c r="L248" s="1"/>
      <c r="M248" s="1"/>
      <c r="N248" s="1"/>
      <c r="O248" s="75"/>
      <c r="P248" s="1"/>
      <c r="Q248" s="1"/>
      <c r="R248" s="1"/>
      <c r="S248" s="1"/>
      <c r="T248" s="1"/>
      <c r="U248" s="1"/>
      <c r="V248" s="1"/>
      <c r="W248" s="1"/>
      <c r="X248" s="1"/>
      <c r="Y248" s="1"/>
      <c r="Z248" s="1"/>
    </row>
    <row r="249" spans="1:26" ht="15.75" customHeight="1">
      <c r="A249" s="1"/>
      <c r="B249" s="41"/>
      <c r="C249" s="41"/>
      <c r="D249" s="1"/>
      <c r="E249" s="1"/>
      <c r="F249" s="254"/>
      <c r="G249" s="254"/>
      <c r="H249" s="1"/>
      <c r="I249" s="1"/>
      <c r="J249" s="1"/>
      <c r="K249" s="1"/>
      <c r="L249" s="1"/>
      <c r="M249" s="1"/>
      <c r="N249" s="1"/>
      <c r="O249" s="75"/>
      <c r="P249" s="1"/>
      <c r="Q249" s="1"/>
      <c r="R249" s="1"/>
      <c r="S249" s="1"/>
      <c r="T249" s="1"/>
      <c r="U249" s="1"/>
      <c r="V249" s="1"/>
      <c r="W249" s="1"/>
      <c r="X249" s="1"/>
      <c r="Y249" s="1"/>
      <c r="Z249" s="1"/>
    </row>
    <row r="250" spans="1:26" ht="15.75" customHeight="1">
      <c r="A250" s="1"/>
      <c r="B250" s="41"/>
      <c r="C250" s="41"/>
      <c r="D250" s="1"/>
      <c r="E250" s="1"/>
      <c r="F250" s="254"/>
      <c r="G250" s="254"/>
      <c r="H250" s="1"/>
      <c r="I250" s="1"/>
      <c r="J250" s="1"/>
      <c r="K250" s="1"/>
      <c r="L250" s="1"/>
      <c r="M250" s="1"/>
      <c r="N250" s="1"/>
      <c r="O250" s="75"/>
      <c r="P250" s="1"/>
      <c r="Q250" s="1"/>
      <c r="R250" s="1"/>
      <c r="S250" s="1"/>
      <c r="T250" s="1"/>
      <c r="U250" s="1"/>
      <c r="V250" s="1"/>
      <c r="W250" s="1"/>
      <c r="X250" s="1"/>
      <c r="Y250" s="1"/>
      <c r="Z250" s="1"/>
    </row>
    <row r="251" spans="1:26" ht="15.75" customHeight="1">
      <c r="A251" s="1"/>
      <c r="B251" s="1"/>
      <c r="C251" s="1"/>
      <c r="D251" s="1"/>
      <c r="E251" s="682"/>
      <c r="F251" s="683"/>
      <c r="G251" s="254"/>
      <c r="H251" s="684"/>
      <c r="I251" s="683"/>
      <c r="J251" s="685"/>
      <c r="K251" s="686"/>
      <c r="L251" s="1"/>
      <c r="M251" s="1"/>
      <c r="N251" s="1"/>
      <c r="O251" s="75"/>
      <c r="P251" s="1"/>
      <c r="Q251" s="1"/>
      <c r="R251" s="1"/>
      <c r="S251" s="1"/>
      <c r="T251" s="1"/>
      <c r="U251" s="1"/>
      <c r="V251" s="1"/>
      <c r="W251" s="1"/>
      <c r="X251" s="1"/>
      <c r="Y251" s="1"/>
      <c r="Z251" s="1"/>
    </row>
    <row r="252" spans="1:26" ht="15.75" customHeight="1">
      <c r="A252" s="1"/>
      <c r="B252" s="491" t="s">
        <v>345</v>
      </c>
      <c r="C252" s="492" t="s">
        <v>346</v>
      </c>
      <c r="D252" s="492" t="s">
        <v>347</v>
      </c>
      <c r="E252" s="492" t="s">
        <v>348</v>
      </c>
      <c r="F252" s="492" t="s">
        <v>349</v>
      </c>
      <c r="G252" s="492" t="s">
        <v>350</v>
      </c>
      <c r="H252" s="492" t="s">
        <v>351</v>
      </c>
      <c r="I252" s="492" t="s">
        <v>352</v>
      </c>
      <c r="J252" s="493" t="s">
        <v>353</v>
      </c>
      <c r="K252" s="494" t="s">
        <v>608</v>
      </c>
      <c r="L252" s="492" t="s">
        <v>609</v>
      </c>
      <c r="M252" s="495" t="s">
        <v>610</v>
      </c>
      <c r="N252" s="1"/>
      <c r="O252" s="75"/>
      <c r="P252" s="1"/>
      <c r="Q252" s="1"/>
      <c r="R252" s="1"/>
      <c r="S252" s="1"/>
      <c r="T252" s="1"/>
      <c r="U252" s="1"/>
      <c r="V252" s="1"/>
      <c r="W252" s="1"/>
      <c r="X252" s="1"/>
      <c r="Y252" s="1"/>
      <c r="Z252" s="1"/>
    </row>
    <row r="253" spans="1:26" ht="15.75" customHeight="1">
      <c r="A253" s="1"/>
      <c r="B253" s="496"/>
      <c r="C253" s="243"/>
      <c r="D253" s="243"/>
      <c r="E253" s="245" t="s">
        <v>611</v>
      </c>
      <c r="F253" s="243"/>
      <c r="G253" s="243"/>
      <c r="H253" s="243"/>
      <c r="I253" s="243"/>
      <c r="J253" s="498" t="s">
        <v>359</v>
      </c>
      <c r="K253" s="248" t="s">
        <v>316</v>
      </c>
      <c r="L253" s="243" t="s">
        <v>316</v>
      </c>
      <c r="M253" s="499" t="s">
        <v>316</v>
      </c>
      <c r="N253" s="1"/>
      <c r="O253" s="75"/>
      <c r="P253" s="1"/>
      <c r="Q253" s="1"/>
      <c r="R253" s="1"/>
      <c r="S253" s="1"/>
      <c r="T253" s="1"/>
      <c r="U253" s="1"/>
      <c r="V253" s="1"/>
      <c r="W253" s="1"/>
      <c r="X253" s="1"/>
      <c r="Y253" s="1"/>
      <c r="Z253" s="1"/>
    </row>
    <row r="254" spans="1:26" ht="15.75" customHeight="1">
      <c r="A254" s="1"/>
      <c r="B254" s="500"/>
      <c r="C254" s="501"/>
      <c r="D254" s="501"/>
      <c r="E254" s="501"/>
      <c r="F254" s="501"/>
      <c r="G254" s="501"/>
      <c r="H254" s="501"/>
      <c r="I254" s="501"/>
      <c r="J254" s="687"/>
      <c r="K254" s="586"/>
      <c r="L254" s="501"/>
      <c r="M254" s="688"/>
      <c r="N254" s="1"/>
      <c r="O254" s="75"/>
      <c r="P254" s="1"/>
      <c r="Q254" s="1"/>
      <c r="R254" s="1"/>
      <c r="S254" s="1"/>
      <c r="T254" s="1"/>
      <c r="U254" s="1"/>
      <c r="V254" s="1"/>
      <c r="W254" s="1"/>
      <c r="X254" s="1"/>
      <c r="Y254" s="1"/>
      <c r="Z254" s="1"/>
    </row>
    <row r="255" spans="1:26" ht="15.75" customHeight="1">
      <c r="A255" s="1"/>
      <c r="B255" s="689" t="s">
        <v>380</v>
      </c>
      <c r="C255" s="27" t="s">
        <v>381</v>
      </c>
      <c r="D255" s="690"/>
      <c r="E255" s="690"/>
      <c r="F255" s="339"/>
      <c r="G255" s="690"/>
      <c r="H255" s="339"/>
      <c r="I255" s="690"/>
      <c r="J255" s="691"/>
      <c r="K255" s="692"/>
      <c r="L255" s="693"/>
      <c r="M255" s="694"/>
      <c r="N255" s="1"/>
      <c r="O255" s="75"/>
      <c r="P255" s="1"/>
      <c r="Q255" s="1"/>
      <c r="R255" s="1"/>
      <c r="S255" s="1"/>
      <c r="T255" s="1"/>
      <c r="U255" s="1"/>
      <c r="V255" s="1"/>
      <c r="W255" s="1"/>
      <c r="X255" s="1"/>
      <c r="Y255" s="1"/>
      <c r="Z255" s="1"/>
    </row>
    <row r="256" spans="1:26" ht="15.75" customHeight="1">
      <c r="A256" s="1"/>
      <c r="B256" s="611"/>
      <c r="C256" s="210"/>
      <c r="D256" s="210"/>
      <c r="E256" s="210"/>
      <c r="F256" s="209"/>
      <c r="G256" s="210"/>
      <c r="H256" s="209"/>
      <c r="I256" s="210"/>
      <c r="J256" s="547"/>
      <c r="K256" s="511"/>
      <c r="L256" s="535"/>
      <c r="M256" s="536"/>
      <c r="N256" s="1"/>
      <c r="O256" s="75"/>
      <c r="P256" s="1"/>
      <c r="Q256" s="1"/>
      <c r="R256" s="1"/>
      <c r="S256" s="1"/>
      <c r="T256" s="1"/>
      <c r="U256" s="1"/>
      <c r="V256" s="1"/>
      <c r="W256" s="1"/>
      <c r="X256" s="1"/>
      <c r="Y256" s="1"/>
      <c r="Z256" s="1"/>
    </row>
    <row r="257" spans="1:26" ht="15.75" customHeight="1">
      <c r="A257" s="1"/>
      <c r="B257" s="611"/>
      <c r="C257" s="510" t="s">
        <v>612</v>
      </c>
      <c r="D257" s="529" t="s">
        <v>390</v>
      </c>
      <c r="E257" s="510" t="s">
        <v>613</v>
      </c>
      <c r="F257" s="511">
        <v>620224</v>
      </c>
      <c r="G257" s="510" t="s">
        <v>425</v>
      </c>
      <c r="H257" s="219">
        <v>151598</v>
      </c>
      <c r="I257" s="510" t="s">
        <v>426</v>
      </c>
      <c r="J257" s="560">
        <v>94024.717952000006</v>
      </c>
      <c r="K257" s="517">
        <v>5852.9094182510353</v>
      </c>
      <c r="L257" s="537">
        <v>0.11209004761242979</v>
      </c>
      <c r="M257" s="538">
        <v>3.7591174504168524E-2</v>
      </c>
      <c r="N257" s="1"/>
      <c r="O257" s="75" t="s">
        <v>341</v>
      </c>
      <c r="P257" s="1"/>
      <c r="Q257" s="1"/>
      <c r="R257" s="1"/>
      <c r="S257" s="1"/>
      <c r="T257" s="1"/>
      <c r="U257" s="1"/>
      <c r="V257" s="1"/>
      <c r="W257" s="1"/>
      <c r="X257" s="1"/>
      <c r="Y257" s="1"/>
      <c r="Z257" s="1"/>
    </row>
    <row r="258" spans="1:26" ht="15.75" customHeight="1">
      <c r="A258" s="1"/>
      <c r="B258" s="611"/>
      <c r="C258" s="210"/>
      <c r="D258" s="233"/>
      <c r="E258" s="210"/>
      <c r="F258" s="209"/>
      <c r="G258" s="210"/>
      <c r="H258" s="209"/>
      <c r="I258" s="210"/>
      <c r="J258" s="547"/>
      <c r="K258" s="511"/>
      <c r="L258" s="535"/>
      <c r="M258" s="536"/>
      <c r="N258" s="1"/>
      <c r="O258" s="75"/>
      <c r="P258" s="1"/>
      <c r="Q258" s="1"/>
      <c r="R258" s="1"/>
      <c r="S258" s="1"/>
      <c r="T258" s="1"/>
      <c r="U258" s="1"/>
      <c r="V258" s="1"/>
      <c r="W258" s="1"/>
      <c r="X258" s="1"/>
      <c r="Y258" s="1"/>
      <c r="Z258" s="1"/>
    </row>
    <row r="259" spans="1:26" ht="15.75" customHeight="1">
      <c r="A259" s="1"/>
      <c r="B259" s="611"/>
      <c r="C259" s="210" t="s">
        <v>614</v>
      </c>
      <c r="D259" s="695" t="s">
        <v>615</v>
      </c>
      <c r="E259" s="210" t="s">
        <v>613</v>
      </c>
      <c r="F259" s="515">
        <v>563476</v>
      </c>
      <c r="G259" s="210" t="s">
        <v>425</v>
      </c>
      <c r="H259" s="209">
        <v>151673</v>
      </c>
      <c r="I259" s="210" t="s">
        <v>426</v>
      </c>
      <c r="J259" s="560">
        <v>85464.095348000003</v>
      </c>
      <c r="K259" s="517">
        <v>6041.7196432692781</v>
      </c>
      <c r="L259" s="537">
        <v>0.11592271821026373</v>
      </c>
      <c r="M259" s="538">
        <v>3.8017665649602621E-2</v>
      </c>
      <c r="N259" s="1"/>
      <c r="O259" s="75" t="s">
        <v>341</v>
      </c>
      <c r="P259" s="1"/>
      <c r="Q259" s="1"/>
      <c r="R259" s="1"/>
      <c r="S259" s="1"/>
      <c r="T259" s="1"/>
      <c r="U259" s="1"/>
      <c r="V259" s="1"/>
      <c r="W259" s="1"/>
      <c r="X259" s="1"/>
      <c r="Y259" s="1"/>
      <c r="Z259" s="1"/>
    </row>
    <row r="260" spans="1:26" ht="15.75" customHeight="1">
      <c r="A260" s="1"/>
      <c r="B260" s="696"/>
      <c r="C260" s="242"/>
      <c r="D260" s="242"/>
      <c r="E260" s="242"/>
      <c r="F260" s="352"/>
      <c r="G260" s="242"/>
      <c r="H260" s="352"/>
      <c r="I260" s="242"/>
      <c r="J260" s="524"/>
      <c r="K260" s="503"/>
      <c r="L260" s="525"/>
      <c r="M260" s="526"/>
      <c r="N260" s="1"/>
      <c r="O260" s="75"/>
      <c r="P260" s="1"/>
      <c r="Q260" s="1"/>
      <c r="R260" s="1"/>
      <c r="S260" s="1"/>
      <c r="T260" s="1"/>
      <c r="U260" s="1"/>
      <c r="V260" s="1"/>
      <c r="W260" s="1"/>
      <c r="X260" s="1"/>
      <c r="Y260" s="1"/>
      <c r="Z260" s="1"/>
    </row>
    <row r="261" spans="1:26" ht="15.75" customHeight="1">
      <c r="A261" s="1"/>
      <c r="B261" s="697" t="s">
        <v>385</v>
      </c>
      <c r="C261" s="205" t="s">
        <v>386</v>
      </c>
      <c r="D261" s="204"/>
      <c r="E261" s="204"/>
      <c r="F261" s="506"/>
      <c r="G261" s="204"/>
      <c r="H261" s="506"/>
      <c r="I261" s="204"/>
      <c r="J261" s="553"/>
      <c r="K261" s="508"/>
      <c r="L261" s="527"/>
      <c r="M261" s="528"/>
      <c r="N261" s="1"/>
      <c r="O261" s="75"/>
      <c r="P261" s="1"/>
      <c r="Q261" s="1"/>
      <c r="R261" s="1"/>
      <c r="S261" s="1"/>
      <c r="T261" s="1"/>
      <c r="U261" s="1"/>
      <c r="V261" s="1"/>
      <c r="W261" s="1"/>
      <c r="X261" s="1"/>
      <c r="Y261" s="1"/>
      <c r="Z261" s="1"/>
    </row>
    <row r="262" spans="1:26" ht="15.75" customHeight="1">
      <c r="A262" s="1"/>
      <c r="B262" s="611"/>
      <c r="C262" s="210"/>
      <c r="D262" s="210"/>
      <c r="E262" s="210"/>
      <c r="F262" s="209"/>
      <c r="G262" s="210"/>
      <c r="H262" s="209"/>
      <c r="I262" s="210"/>
      <c r="J262" s="560"/>
      <c r="K262" s="517"/>
      <c r="L262" s="518"/>
      <c r="M262" s="519"/>
      <c r="N262" s="1"/>
      <c r="O262" s="75"/>
      <c r="P262" s="1"/>
      <c r="Q262" s="1"/>
      <c r="R262" s="1"/>
      <c r="S262" s="1"/>
      <c r="T262" s="1"/>
      <c r="U262" s="1"/>
      <c r="V262" s="1"/>
      <c r="W262" s="1"/>
      <c r="X262" s="1"/>
      <c r="Y262" s="1"/>
      <c r="Z262" s="1"/>
    </row>
    <row r="263" spans="1:26" ht="15.75" customHeight="1">
      <c r="A263" s="1"/>
      <c r="B263" s="611"/>
      <c r="C263" s="510" t="s">
        <v>596</v>
      </c>
      <c r="D263" s="510" t="s">
        <v>616</v>
      </c>
      <c r="E263" s="510" t="s">
        <v>617</v>
      </c>
      <c r="F263" s="511">
        <v>2280000</v>
      </c>
      <c r="G263" s="510" t="s">
        <v>618</v>
      </c>
      <c r="H263" s="219">
        <v>151</v>
      </c>
      <c r="I263" s="510" t="s">
        <v>464</v>
      </c>
      <c r="J263" s="560">
        <v>344280</v>
      </c>
      <c r="K263" s="511">
        <v>27452.961193472558</v>
      </c>
      <c r="L263" s="521">
        <v>0.29215638020722834</v>
      </c>
      <c r="M263" s="698">
        <v>0.59405130642136439</v>
      </c>
      <c r="N263" s="1"/>
      <c r="O263" s="75" t="s">
        <v>341</v>
      </c>
      <c r="P263" s="1"/>
      <c r="Q263" s="1"/>
      <c r="R263" s="1"/>
      <c r="S263" s="1"/>
      <c r="T263" s="1"/>
      <c r="U263" s="1"/>
      <c r="V263" s="1"/>
      <c r="W263" s="1"/>
      <c r="X263" s="1"/>
      <c r="Y263" s="1"/>
      <c r="Z263" s="1"/>
    </row>
    <row r="264" spans="1:26" ht="15.75" customHeight="1">
      <c r="A264" s="1"/>
      <c r="B264" s="611"/>
      <c r="C264" s="210"/>
      <c r="D264" s="210"/>
      <c r="E264" s="210"/>
      <c r="F264" s="209"/>
      <c r="G264" s="210"/>
      <c r="H264" s="209"/>
      <c r="I264" s="210"/>
      <c r="J264" s="534"/>
      <c r="K264" s="517"/>
      <c r="L264" s="535"/>
      <c r="M264" s="536"/>
      <c r="N264" s="1"/>
      <c r="O264" s="75"/>
      <c r="P264" s="1"/>
      <c r="Q264" s="1"/>
      <c r="R264" s="1"/>
      <c r="S264" s="1"/>
      <c r="T264" s="1"/>
      <c r="U264" s="1"/>
      <c r="V264" s="1"/>
      <c r="W264" s="1"/>
      <c r="X264" s="1"/>
      <c r="Y264" s="1"/>
      <c r="Z264" s="1"/>
    </row>
    <row r="265" spans="1:26" ht="15.75" customHeight="1">
      <c r="A265" s="1"/>
      <c r="B265" s="697" t="s">
        <v>485</v>
      </c>
      <c r="C265" s="205" t="s">
        <v>486</v>
      </c>
      <c r="D265" s="204"/>
      <c r="E265" s="572"/>
      <c r="F265" s="506"/>
      <c r="G265" s="572"/>
      <c r="H265" s="506"/>
      <c r="I265" s="572"/>
      <c r="J265" s="553"/>
      <c r="K265" s="508"/>
      <c r="L265" s="527"/>
      <c r="M265" s="528"/>
      <c r="N265" s="1"/>
      <c r="O265" s="75"/>
      <c r="P265" s="1"/>
      <c r="Q265" s="1"/>
      <c r="R265" s="1"/>
      <c r="S265" s="1"/>
      <c r="T265" s="1"/>
      <c r="U265" s="1"/>
      <c r="V265" s="1"/>
      <c r="W265" s="1"/>
      <c r="X265" s="1"/>
      <c r="Y265" s="1"/>
      <c r="Z265" s="1"/>
    </row>
    <row r="266" spans="1:26" ht="15.75" customHeight="1">
      <c r="A266" s="1"/>
      <c r="B266" s="611"/>
      <c r="C266" s="510" t="s">
        <v>487</v>
      </c>
      <c r="D266" s="510" t="s">
        <v>488</v>
      </c>
      <c r="E266" s="510" t="s">
        <v>613</v>
      </c>
      <c r="F266" s="511">
        <v>1482332</v>
      </c>
      <c r="G266" s="510" t="s">
        <v>425</v>
      </c>
      <c r="H266" s="219">
        <v>152352</v>
      </c>
      <c r="I266" s="510" t="s">
        <v>489</v>
      </c>
      <c r="J266" s="534">
        <v>225836.24486400001</v>
      </c>
      <c r="K266" s="517">
        <v>17360.48799604096</v>
      </c>
      <c r="L266" s="537">
        <v>0.20095150969389605</v>
      </c>
      <c r="M266" s="538">
        <v>0.3731956608600927</v>
      </c>
      <c r="N266" s="1"/>
      <c r="O266" s="75" t="s">
        <v>341</v>
      </c>
      <c r="P266" s="1"/>
      <c r="Q266" s="1"/>
      <c r="R266" s="1"/>
      <c r="S266" s="1"/>
      <c r="T266" s="1"/>
      <c r="U266" s="1"/>
      <c r="V266" s="1"/>
      <c r="W266" s="1"/>
      <c r="X266" s="1"/>
      <c r="Y266" s="1"/>
      <c r="Z266" s="1"/>
    </row>
    <row r="267" spans="1:26" ht="15.75" customHeight="1">
      <c r="A267" s="1"/>
      <c r="B267" s="611"/>
      <c r="C267" s="210"/>
      <c r="D267" s="210"/>
      <c r="E267" s="566"/>
      <c r="F267" s="515"/>
      <c r="G267" s="566"/>
      <c r="H267" s="209"/>
      <c r="I267" s="566"/>
      <c r="J267" s="545"/>
      <c r="K267" s="521"/>
      <c r="L267" s="535"/>
      <c r="M267" s="536"/>
      <c r="N267" s="1"/>
      <c r="O267" s="75"/>
      <c r="P267" s="1"/>
      <c r="Q267" s="1"/>
      <c r="R267" s="1"/>
      <c r="S267" s="1"/>
      <c r="T267" s="1"/>
      <c r="U267" s="1"/>
      <c r="V267" s="1"/>
      <c r="W267" s="1"/>
      <c r="X267" s="1"/>
      <c r="Y267" s="1"/>
      <c r="Z267" s="1"/>
    </row>
    <row r="268" spans="1:26" ht="15.75" customHeight="1">
      <c r="A268" s="1"/>
      <c r="B268" s="697"/>
      <c r="C268" s="204"/>
      <c r="D268" s="204"/>
      <c r="E268" s="204"/>
      <c r="F268" s="506"/>
      <c r="G268" s="204"/>
      <c r="H268" s="506"/>
      <c r="I268" s="204"/>
      <c r="J268" s="507"/>
      <c r="K268" s="617"/>
      <c r="L268" s="527"/>
      <c r="M268" s="610"/>
      <c r="N268" s="1"/>
      <c r="O268" s="75"/>
      <c r="P268" s="1"/>
      <c r="Q268" s="1"/>
      <c r="R268" s="1"/>
      <c r="S268" s="1"/>
      <c r="T268" s="1"/>
      <c r="U268" s="1"/>
      <c r="V268" s="1"/>
      <c r="W268" s="1"/>
      <c r="X268" s="1"/>
      <c r="Y268" s="1"/>
      <c r="Z268" s="1"/>
    </row>
    <row r="269" spans="1:26" ht="15.75" customHeight="1">
      <c r="A269" s="1"/>
      <c r="B269" s="611" t="s">
        <v>554</v>
      </c>
      <c r="C269" s="30" t="s">
        <v>555</v>
      </c>
      <c r="D269" s="210"/>
      <c r="E269" s="210"/>
      <c r="F269" s="209"/>
      <c r="G269" s="210"/>
      <c r="H269" s="209"/>
      <c r="I269" s="210"/>
      <c r="J269" s="618"/>
      <c r="K269" s="220"/>
      <c r="L269" s="223"/>
      <c r="M269" s="619"/>
      <c r="N269" s="1"/>
      <c r="O269" s="75"/>
      <c r="P269" s="1"/>
      <c r="Q269" s="1"/>
      <c r="R269" s="1"/>
      <c r="S269" s="1"/>
      <c r="T269" s="1"/>
      <c r="U269" s="1"/>
      <c r="V269" s="1"/>
      <c r="W269" s="1"/>
      <c r="X269" s="1"/>
      <c r="Y269" s="1"/>
      <c r="Z269" s="1"/>
    </row>
    <row r="270" spans="1:26" ht="15.75" customHeight="1">
      <c r="A270" s="1"/>
      <c r="B270" s="611"/>
      <c r="C270" s="210" t="s">
        <v>565</v>
      </c>
      <c r="D270" s="210" t="s">
        <v>566</v>
      </c>
      <c r="E270" s="210" t="s">
        <v>619</v>
      </c>
      <c r="F270" s="515">
        <v>35607</v>
      </c>
      <c r="G270" s="210" t="s">
        <v>425</v>
      </c>
      <c r="H270" s="209">
        <v>150000</v>
      </c>
      <c r="I270" s="210" t="s">
        <v>558</v>
      </c>
      <c r="J270" s="621">
        <v>5341</v>
      </c>
      <c r="K270" s="513">
        <v>422.82</v>
      </c>
      <c r="L270" s="622">
        <v>2.0899999999999998E-2</v>
      </c>
      <c r="M270" s="623">
        <v>1.9E-3</v>
      </c>
      <c r="N270" s="1"/>
      <c r="O270" s="75" t="s">
        <v>341</v>
      </c>
      <c r="P270" s="1"/>
      <c r="Q270" s="1"/>
      <c r="R270" s="1"/>
      <c r="S270" s="1"/>
      <c r="T270" s="1"/>
      <c r="U270" s="1"/>
      <c r="V270" s="1"/>
      <c r="W270" s="1"/>
      <c r="X270" s="1"/>
      <c r="Y270" s="1"/>
      <c r="Z270" s="1"/>
    </row>
    <row r="271" spans="1:26" ht="15.75" customHeight="1">
      <c r="A271" s="1"/>
      <c r="B271" s="611"/>
      <c r="C271" s="210"/>
      <c r="D271" s="210"/>
      <c r="E271" s="210"/>
      <c r="F271" s="515"/>
      <c r="G271" s="210"/>
      <c r="H271" s="209"/>
      <c r="I271" s="210"/>
      <c r="J271" s="621"/>
      <c r="K271" s="521"/>
      <c r="L271" s="518"/>
      <c r="M271" s="519"/>
      <c r="N271" s="1"/>
      <c r="O271" s="75"/>
      <c r="P271" s="1"/>
      <c r="Q271" s="1"/>
      <c r="R271" s="1"/>
      <c r="S271" s="1"/>
      <c r="T271" s="1"/>
      <c r="U271" s="1"/>
      <c r="V271" s="1"/>
      <c r="W271" s="1"/>
      <c r="X271" s="1"/>
      <c r="Y271" s="1"/>
      <c r="Z271" s="1"/>
    </row>
    <row r="272" spans="1:26" ht="15.75" customHeight="1">
      <c r="A272" s="1"/>
      <c r="B272" s="611"/>
      <c r="C272" s="210" t="s">
        <v>567</v>
      </c>
      <c r="D272" s="210" t="s">
        <v>568</v>
      </c>
      <c r="E272" s="210" t="s">
        <v>619</v>
      </c>
      <c r="F272" s="515">
        <v>24832</v>
      </c>
      <c r="G272" s="210" t="s">
        <v>425</v>
      </c>
      <c r="H272" s="209">
        <v>150000</v>
      </c>
      <c r="I272" s="210" t="s">
        <v>558</v>
      </c>
      <c r="J272" s="620">
        <v>3725</v>
      </c>
      <c r="K272" s="537">
        <v>298.74</v>
      </c>
      <c r="L272" s="518">
        <v>1.47E-2</v>
      </c>
      <c r="M272" s="519">
        <v>1.6000000000000001E-3</v>
      </c>
      <c r="N272" s="1"/>
      <c r="O272" s="75"/>
      <c r="P272" s="1"/>
      <c r="Q272" s="1"/>
      <c r="R272" s="1"/>
      <c r="S272" s="1"/>
      <c r="T272" s="1"/>
      <c r="U272" s="1"/>
      <c r="V272" s="1"/>
      <c r="W272" s="1"/>
      <c r="X272" s="1"/>
      <c r="Y272" s="1"/>
      <c r="Z272" s="1"/>
    </row>
    <row r="273" spans="1:26" ht="15.75" customHeight="1">
      <c r="A273" s="1"/>
      <c r="B273" s="611"/>
      <c r="C273" s="210"/>
      <c r="D273" s="210"/>
      <c r="E273" s="210"/>
      <c r="F273" s="515"/>
      <c r="G273" s="210"/>
      <c r="H273" s="209"/>
      <c r="I273" s="210"/>
      <c r="J273" s="621"/>
      <c r="K273" s="521"/>
      <c r="L273" s="535"/>
      <c r="M273" s="536"/>
      <c r="N273" s="1"/>
      <c r="O273" s="75"/>
      <c r="P273" s="1"/>
      <c r="Q273" s="1"/>
      <c r="R273" s="1"/>
      <c r="S273" s="1"/>
      <c r="T273" s="1"/>
      <c r="U273" s="1"/>
      <c r="V273" s="1"/>
      <c r="W273" s="1"/>
      <c r="X273" s="1"/>
      <c r="Y273" s="1"/>
      <c r="Z273" s="1"/>
    </row>
    <row r="274" spans="1:26" ht="15.75" customHeight="1">
      <c r="A274" s="1"/>
      <c r="B274" s="611"/>
      <c r="C274" s="210" t="s">
        <v>569</v>
      </c>
      <c r="D274" s="210" t="s">
        <v>570</v>
      </c>
      <c r="E274" s="210" t="s">
        <v>619</v>
      </c>
      <c r="F274" s="515">
        <v>47741</v>
      </c>
      <c r="G274" s="210" t="s">
        <v>425</v>
      </c>
      <c r="H274" s="209">
        <v>150000</v>
      </c>
      <c r="I274" s="210" t="s">
        <v>558</v>
      </c>
      <c r="J274" s="620">
        <v>7161</v>
      </c>
      <c r="K274" s="537">
        <v>561.57000000000005</v>
      </c>
      <c r="L274" s="518">
        <v>2.7799999999999998E-2</v>
      </c>
      <c r="M274" s="519">
        <v>2.8E-3</v>
      </c>
      <c r="N274" s="1"/>
      <c r="O274" s="75"/>
      <c r="P274" s="1"/>
      <c r="Q274" s="1"/>
      <c r="R274" s="1"/>
      <c r="S274" s="1"/>
      <c r="T274" s="1"/>
      <c r="U274" s="1"/>
      <c r="V274" s="1"/>
      <c r="W274" s="1"/>
      <c r="X274" s="1"/>
      <c r="Y274" s="1"/>
      <c r="Z274" s="1"/>
    </row>
    <row r="275" spans="1:26" ht="15.75" customHeight="1">
      <c r="A275" s="1"/>
      <c r="B275" s="611"/>
      <c r="C275" s="210"/>
      <c r="D275" s="210"/>
      <c r="E275" s="210"/>
      <c r="F275" s="515"/>
      <c r="G275" s="210"/>
      <c r="H275" s="209"/>
      <c r="I275" s="210"/>
      <c r="J275" s="699"/>
      <c r="K275" s="521"/>
      <c r="L275" s="535"/>
      <c r="M275" s="536"/>
      <c r="N275" s="1"/>
      <c r="O275" s="75"/>
      <c r="P275" s="1"/>
      <c r="Q275" s="1"/>
      <c r="R275" s="1"/>
      <c r="S275" s="1"/>
      <c r="T275" s="1"/>
      <c r="U275" s="1"/>
      <c r="V275" s="1"/>
      <c r="W275" s="1"/>
      <c r="X275" s="1"/>
      <c r="Y275" s="1"/>
      <c r="Z275" s="1"/>
    </row>
    <row r="276" spans="1:26" ht="15.75" customHeight="1">
      <c r="A276" s="1"/>
      <c r="B276" s="611"/>
      <c r="C276" s="210" t="s">
        <v>571</v>
      </c>
      <c r="D276" s="210" t="s">
        <v>572</v>
      </c>
      <c r="E276" s="210" t="s">
        <v>619</v>
      </c>
      <c r="F276" s="515">
        <v>53491</v>
      </c>
      <c r="G276" s="210" t="s">
        <v>425</v>
      </c>
      <c r="H276" s="209">
        <v>150000</v>
      </c>
      <c r="I276" s="210" t="s">
        <v>558</v>
      </c>
      <c r="J276" s="620">
        <v>8024</v>
      </c>
      <c r="K276" s="537">
        <v>622.12</v>
      </c>
      <c r="L276" s="518">
        <v>3.04E-2</v>
      </c>
      <c r="M276" s="624">
        <v>2.8E-3</v>
      </c>
      <c r="N276" s="1"/>
      <c r="O276" s="75"/>
      <c r="P276" s="1"/>
      <c r="Q276" s="1"/>
      <c r="R276" s="1"/>
      <c r="S276" s="1"/>
      <c r="T276" s="1"/>
      <c r="U276" s="1"/>
      <c r="V276" s="1"/>
      <c r="W276" s="1"/>
      <c r="X276" s="1"/>
      <c r="Y276" s="1"/>
      <c r="Z276" s="1"/>
    </row>
    <row r="277" spans="1:26" ht="15.75" customHeight="1">
      <c r="A277" s="1"/>
      <c r="B277" s="611"/>
      <c r="C277" s="210"/>
      <c r="D277" s="210"/>
      <c r="E277" s="210"/>
      <c r="F277" s="515"/>
      <c r="G277" s="210"/>
      <c r="H277" s="209"/>
      <c r="I277" s="210"/>
      <c r="J277" s="699"/>
      <c r="K277" s="521"/>
      <c r="L277" s="535"/>
      <c r="M277" s="590"/>
      <c r="N277" s="1"/>
      <c r="O277" s="75"/>
      <c r="P277" s="1"/>
      <c r="Q277" s="1"/>
      <c r="R277" s="1"/>
      <c r="S277" s="1"/>
      <c r="T277" s="1"/>
      <c r="U277" s="1"/>
      <c r="V277" s="1"/>
      <c r="W277" s="1"/>
      <c r="X277" s="1"/>
      <c r="Y277" s="1"/>
      <c r="Z277" s="1"/>
    </row>
    <row r="278" spans="1:26" ht="15.75" customHeight="1">
      <c r="A278" s="1"/>
      <c r="B278" s="700"/>
      <c r="C278" s="274"/>
      <c r="D278" s="592"/>
      <c r="E278" s="274"/>
      <c r="F278" s="701"/>
      <c r="G278" s="592"/>
      <c r="H278" s="594"/>
      <c r="I278" s="592"/>
      <c r="J278" s="702"/>
      <c r="K278" s="703"/>
      <c r="L278" s="704"/>
      <c r="M278" s="705"/>
      <c r="N278" s="1"/>
      <c r="O278" s="706"/>
      <c r="P278" s="1"/>
      <c r="Q278" s="1"/>
      <c r="R278" s="1"/>
      <c r="S278" s="1"/>
      <c r="T278" s="1"/>
      <c r="U278" s="1"/>
      <c r="V278" s="1"/>
      <c r="W278" s="1"/>
      <c r="X278" s="1"/>
      <c r="Y278" s="1"/>
      <c r="Z278" s="1"/>
    </row>
    <row r="279" spans="1:26" ht="15.75" customHeight="1">
      <c r="A279" s="1"/>
      <c r="B279" s="496" t="s">
        <v>409</v>
      </c>
      <c r="C279" s="243" t="s">
        <v>410</v>
      </c>
      <c r="D279" s="579"/>
      <c r="E279" s="242"/>
      <c r="F279" s="352"/>
      <c r="G279" s="242"/>
      <c r="H279" s="352"/>
      <c r="I279" s="242"/>
      <c r="J279" s="638"/>
      <c r="K279" s="639"/>
      <c r="L279" s="362"/>
      <c r="M279" s="640"/>
      <c r="N279" s="1"/>
      <c r="O279" s="75"/>
      <c r="P279" s="1"/>
      <c r="Q279" s="1"/>
      <c r="R279" s="1"/>
      <c r="S279" s="1"/>
      <c r="T279" s="1"/>
      <c r="U279" s="1"/>
      <c r="V279" s="1"/>
      <c r="W279" s="1"/>
      <c r="X279" s="1"/>
      <c r="Y279" s="1"/>
      <c r="Z279" s="1"/>
    </row>
    <row r="280" spans="1:26" ht="15.75" customHeight="1">
      <c r="A280" s="1"/>
      <c r="B280" s="696"/>
      <c r="C280" s="242"/>
      <c r="D280" s="579" t="s">
        <v>412</v>
      </c>
      <c r="E280" s="242" t="s">
        <v>620</v>
      </c>
      <c r="F280" s="352">
        <f>Luke!F14</f>
        <v>487145</v>
      </c>
      <c r="G280" s="242" t="s">
        <v>425</v>
      </c>
      <c r="H280" s="352">
        <v>140001</v>
      </c>
      <c r="I280" s="242" t="s">
        <v>606</v>
      </c>
      <c r="J280" s="707">
        <f>Luke!F16</f>
        <v>68200.787144999995</v>
      </c>
      <c r="K280" s="639">
        <f>Luke!F18+Luke!F22+Luke!F26</f>
        <v>6849.1239705834614</v>
      </c>
      <c r="L280" s="362">
        <f>Luke!F19+Luke!F23+Luke!F27</f>
        <v>0.81412553002436694</v>
      </c>
      <c r="M280" s="627">
        <f>Luke!F20+Luke!F24+Luke!F28</f>
        <v>0.11986321776475077</v>
      </c>
      <c r="N280" s="1"/>
      <c r="O280" s="75" t="s">
        <v>341</v>
      </c>
      <c r="P280" s="1"/>
      <c r="Q280" s="1"/>
      <c r="R280" s="1"/>
      <c r="S280" s="1"/>
      <c r="T280" s="1"/>
      <c r="U280" s="1"/>
      <c r="V280" s="1"/>
      <c r="W280" s="1"/>
      <c r="X280" s="1"/>
      <c r="Y280" s="1"/>
      <c r="Z280" s="1"/>
    </row>
    <row r="281" spans="1:26" ht="15.75" customHeight="1">
      <c r="A281" s="1"/>
      <c r="B281" s="500"/>
      <c r="C281" s="501"/>
      <c r="D281" s="501"/>
      <c r="E281" s="501"/>
      <c r="F281" s="366"/>
      <c r="G281" s="501"/>
      <c r="H281" s="708"/>
      <c r="I281" s="501"/>
      <c r="J281" s="709"/>
      <c r="K281" s="710"/>
      <c r="L281" s="367"/>
      <c r="M281" s="711"/>
      <c r="N281" s="1"/>
      <c r="O281" s="75"/>
      <c r="P281" s="1"/>
      <c r="Q281" s="1"/>
      <c r="R281" s="1"/>
      <c r="S281" s="1"/>
      <c r="T281" s="1"/>
      <c r="U281" s="1"/>
      <c r="V281" s="1"/>
      <c r="W281" s="1"/>
      <c r="X281" s="1"/>
      <c r="Y281" s="1"/>
      <c r="Z281" s="1"/>
    </row>
    <row r="282" spans="1:26" ht="15.75" customHeight="1">
      <c r="A282" s="1"/>
      <c r="B282" s="712" t="s">
        <v>621</v>
      </c>
      <c r="C282" s="274" t="s">
        <v>622</v>
      </c>
      <c r="D282" s="592"/>
      <c r="E282" s="592"/>
      <c r="F282" s="594"/>
      <c r="G282" s="592"/>
      <c r="H282" s="713"/>
      <c r="I282" s="592"/>
      <c r="J282" s="714"/>
      <c r="K282" s="715"/>
      <c r="L282" s="716"/>
      <c r="M282" s="705"/>
      <c r="N282" s="1"/>
      <c r="O282" s="75"/>
      <c r="P282" s="1"/>
      <c r="Q282" s="1"/>
      <c r="R282" s="1"/>
      <c r="S282" s="1"/>
      <c r="T282" s="1"/>
      <c r="U282" s="1"/>
      <c r="V282" s="1"/>
      <c r="W282" s="1"/>
      <c r="X282" s="1"/>
      <c r="Y282" s="1"/>
      <c r="Z282" s="1"/>
    </row>
    <row r="283" spans="1:26" ht="15.75" customHeight="1">
      <c r="A283" s="1"/>
      <c r="B283" s="696"/>
      <c r="C283" s="242"/>
      <c r="D283" s="242"/>
      <c r="E283" s="242"/>
      <c r="F283" s="352"/>
      <c r="G283" s="242"/>
      <c r="H283" s="599"/>
      <c r="I283" s="242"/>
      <c r="J283" s="717"/>
      <c r="K283" s="639"/>
      <c r="L283" s="362"/>
      <c r="M283" s="640"/>
      <c r="N283" s="1"/>
      <c r="O283" s="75"/>
      <c r="P283" s="1"/>
      <c r="Q283" s="1"/>
      <c r="R283" s="1"/>
      <c r="S283" s="1"/>
      <c r="T283" s="1"/>
      <c r="U283" s="1"/>
      <c r="V283" s="1"/>
      <c r="W283" s="1"/>
      <c r="X283" s="1"/>
      <c r="Y283" s="1"/>
      <c r="Z283" s="1"/>
    </row>
    <row r="284" spans="1:26" ht="15.75" customHeight="1">
      <c r="A284" s="1"/>
      <c r="B284" s="696"/>
      <c r="C284" s="242" t="s">
        <v>623</v>
      </c>
      <c r="D284" s="243" t="s">
        <v>624</v>
      </c>
      <c r="E284" s="210" t="s">
        <v>619</v>
      </c>
      <c r="F284" s="515">
        <f>Severstal!E48</f>
        <v>3815</v>
      </c>
      <c r="G284" s="210" t="s">
        <v>425</v>
      </c>
      <c r="H284" s="209">
        <v>137001</v>
      </c>
      <c r="I284" s="210" t="s">
        <v>558</v>
      </c>
      <c r="J284" s="718">
        <f>Severstal!E9+Severstal!E19+Severstal!E29+Severstal!E39</f>
        <v>580</v>
      </c>
      <c r="K284" s="220">
        <f>(Severstal!E11+Severstal!E21+Severstal!E31+Severstal!E41)*1.1023</f>
        <v>19.51071</v>
      </c>
      <c r="L284" s="719">
        <f>(Severstal!E12+Severstal!E22+Severstal!E32+Severstal!E42)*1.1023</f>
        <v>0</v>
      </c>
      <c r="M284" s="720">
        <f>(Severstal!E13+Severstal!E23+Severstal!E33+Severstal!E43)*1.1023</f>
        <v>0</v>
      </c>
      <c r="N284" s="1"/>
      <c r="O284" s="75"/>
      <c r="P284" s="1"/>
      <c r="Q284" s="1"/>
      <c r="R284" s="1"/>
      <c r="S284" s="1"/>
      <c r="T284" s="1"/>
      <c r="U284" s="1"/>
      <c r="V284" s="1"/>
      <c r="W284" s="1"/>
      <c r="X284" s="1"/>
      <c r="Y284" s="1"/>
      <c r="Z284" s="1"/>
    </row>
    <row r="285" spans="1:26" ht="15.75" customHeight="1">
      <c r="A285" s="1"/>
      <c r="B285" s="500"/>
      <c r="C285" s="501"/>
      <c r="D285" s="501"/>
      <c r="E285" s="501"/>
      <c r="F285" s="366"/>
      <c r="G285" s="501"/>
      <c r="H285" s="708"/>
      <c r="I285" s="501"/>
      <c r="J285" s="709"/>
      <c r="K285" s="710"/>
      <c r="L285" s="367"/>
      <c r="M285" s="711"/>
      <c r="N285" s="1"/>
      <c r="O285" s="75"/>
      <c r="P285" s="1"/>
      <c r="Q285" s="1"/>
      <c r="R285" s="1"/>
      <c r="S285" s="1"/>
      <c r="T285" s="1"/>
      <c r="U285" s="1"/>
      <c r="V285" s="1"/>
      <c r="W285" s="1"/>
      <c r="X285" s="1"/>
      <c r="Y285" s="1"/>
      <c r="Z285" s="1"/>
    </row>
    <row r="286" spans="1:26" ht="15.75" customHeight="1">
      <c r="A286" s="1"/>
      <c r="B286" s="700"/>
      <c r="C286" s="274"/>
      <c r="D286" s="592"/>
      <c r="E286" s="274"/>
      <c r="F286" s="701"/>
      <c r="G286" s="592"/>
      <c r="H286" s="594"/>
      <c r="I286" s="592"/>
      <c r="J286" s="702"/>
      <c r="K286" s="703"/>
      <c r="L286" s="704"/>
      <c r="M286" s="705"/>
      <c r="N286" s="1"/>
      <c r="O286" s="75"/>
      <c r="P286" s="1"/>
      <c r="Q286" s="1"/>
      <c r="R286" s="1"/>
      <c r="S286" s="1"/>
      <c r="T286" s="1"/>
      <c r="U286" s="1"/>
      <c r="V286" s="1"/>
      <c r="W286" s="1"/>
      <c r="X286" s="1"/>
      <c r="Y286" s="1"/>
      <c r="Z286" s="1"/>
    </row>
    <row r="287" spans="1:26" ht="15.75" customHeight="1">
      <c r="A287" s="1"/>
      <c r="B287" s="721"/>
      <c r="C287" s="722"/>
      <c r="D287" s="723"/>
      <c r="E287" s="722"/>
      <c r="F287" s="724">
        <f>SUM(F255:F286)</f>
        <v>5598663</v>
      </c>
      <c r="G287" s="723"/>
      <c r="H287" s="725"/>
      <c r="I287" s="723"/>
      <c r="J287" s="726">
        <f t="shared" ref="J287:M287" si="2">SUM(J255:J286)</f>
        <v>842636.845309</v>
      </c>
      <c r="K287" s="726">
        <f t="shared" si="2"/>
        <v>65481.962931617294</v>
      </c>
      <c r="L287" s="726">
        <f t="shared" si="2"/>
        <v>1.629046185748185</v>
      </c>
      <c r="M287" s="727">
        <f t="shared" si="2"/>
        <v>1.1718190251999789</v>
      </c>
      <c r="N287" s="1"/>
      <c r="O287" s="75"/>
      <c r="P287" s="1"/>
      <c r="Q287" s="1"/>
      <c r="R287" s="1"/>
      <c r="S287" s="1"/>
      <c r="T287" s="1"/>
      <c r="U287" s="1"/>
      <c r="V287" s="1"/>
      <c r="W287" s="1"/>
      <c r="X287" s="1"/>
      <c r="Y287" s="1"/>
      <c r="Z287" s="1"/>
    </row>
    <row r="288" spans="1:26" ht="15.75" customHeight="1">
      <c r="A288" s="1"/>
      <c r="B288" s="292"/>
      <c r="C288" s="1"/>
      <c r="D288" s="1"/>
      <c r="E288" s="1"/>
      <c r="F288" s="254"/>
      <c r="G288" s="1"/>
      <c r="H288" s="254"/>
      <c r="I288" s="1"/>
      <c r="J288" s="1"/>
      <c r="K288" s="1"/>
      <c r="L288" s="1"/>
      <c r="M288" s="728"/>
      <c r="N288" s="1"/>
      <c r="O288" s="75"/>
      <c r="P288" s="1"/>
      <c r="Q288" s="1"/>
      <c r="R288" s="1"/>
      <c r="S288" s="1"/>
      <c r="T288" s="1"/>
      <c r="U288" s="1"/>
      <c r="V288" s="1"/>
      <c r="W288" s="1"/>
      <c r="X288" s="1"/>
      <c r="Y288" s="1"/>
      <c r="Z288" s="1"/>
    </row>
    <row r="289" spans="1:26" ht="15.75" customHeight="1">
      <c r="A289" s="1"/>
      <c r="B289" s="729"/>
      <c r="C289" s="730"/>
      <c r="D289" s="730"/>
      <c r="E289" s="730" t="s">
        <v>625</v>
      </c>
      <c r="F289" s="730"/>
      <c r="G289" s="730"/>
      <c r="H289" s="730"/>
      <c r="I289" s="730"/>
      <c r="J289" s="730"/>
      <c r="K289" s="731">
        <f>(K287*0.90718474)/1000000</f>
        <v>5.9404237516808879E-2</v>
      </c>
      <c r="L289" s="731">
        <f>(L287*$J$425*0.90718474)/1000000</f>
        <v>4.1379683533046853E-5</v>
      </c>
      <c r="M289" s="732">
        <f>(M287*$J$426*0.90718474)/1000000</f>
        <v>2.8170992949132055E-4</v>
      </c>
      <c r="N289" s="1"/>
      <c r="O289" s="75"/>
      <c r="P289" s="1"/>
      <c r="Q289" s="1"/>
      <c r="R289" s="1"/>
      <c r="S289" s="1"/>
      <c r="T289" s="1"/>
      <c r="U289" s="1"/>
      <c r="V289" s="1"/>
      <c r="W289" s="1"/>
      <c r="X289" s="1"/>
      <c r="Y289" s="1"/>
      <c r="Z289" s="1"/>
    </row>
    <row r="290" spans="1:26" ht="15.75" customHeight="1">
      <c r="A290" s="1"/>
      <c r="B290" s="301"/>
      <c r="C290" s="388"/>
      <c r="D290" s="388"/>
      <c r="E290" s="388"/>
      <c r="F290" s="679"/>
      <c r="G290" s="388"/>
      <c r="H290" s="679"/>
      <c r="I290" s="388"/>
      <c r="J290" s="388"/>
      <c r="K290" s="388"/>
      <c r="L290" s="388"/>
      <c r="M290" s="733"/>
      <c r="N290" s="1"/>
      <c r="O290" s="75"/>
      <c r="P290" s="1"/>
      <c r="Q290" s="1"/>
      <c r="R290" s="1"/>
      <c r="S290" s="1"/>
      <c r="T290" s="1"/>
      <c r="U290" s="1"/>
      <c r="V290" s="1"/>
      <c r="W290" s="1"/>
      <c r="X290" s="1"/>
      <c r="Y290" s="1"/>
      <c r="Z290" s="1"/>
    </row>
    <row r="291" spans="1:26" ht="15.75" customHeight="1">
      <c r="A291" s="1"/>
      <c r="B291" s="1"/>
      <c r="C291" s="1"/>
      <c r="D291" s="1"/>
      <c r="E291" s="1"/>
      <c r="F291" s="254"/>
      <c r="G291" s="1"/>
      <c r="H291" s="254"/>
      <c r="I291" s="1"/>
      <c r="J291" s="1"/>
      <c r="K291" s="1"/>
      <c r="L291" s="1"/>
      <c r="M291" s="1"/>
      <c r="N291" s="1"/>
      <c r="O291" s="75"/>
      <c r="P291" s="1"/>
      <c r="Q291" s="1"/>
      <c r="R291" s="1"/>
      <c r="S291" s="1"/>
      <c r="T291" s="1"/>
      <c r="U291" s="1"/>
      <c r="V291" s="1"/>
      <c r="W291" s="1"/>
      <c r="X291" s="1"/>
      <c r="Y291" s="1"/>
      <c r="Z291" s="1"/>
    </row>
    <row r="292" spans="1:26" ht="15.75" customHeight="1">
      <c r="A292" s="1"/>
      <c r="B292" s="1"/>
      <c r="C292" s="1"/>
      <c r="D292" s="1"/>
      <c r="E292" s="1"/>
      <c r="F292" s="1"/>
      <c r="G292" s="1"/>
      <c r="H292" s="1"/>
      <c r="I292" s="41"/>
      <c r="J292" s="1"/>
      <c r="K292" s="1"/>
      <c r="L292" s="686"/>
      <c r="M292" s="1"/>
      <c r="N292" s="1"/>
      <c r="O292" s="75"/>
      <c r="P292" s="1"/>
      <c r="Q292" s="1"/>
      <c r="R292" s="1"/>
      <c r="S292" s="1"/>
      <c r="T292" s="1"/>
      <c r="U292" s="1"/>
      <c r="V292" s="1"/>
      <c r="W292" s="1"/>
      <c r="X292" s="1"/>
      <c r="Y292" s="1"/>
      <c r="Z292" s="1"/>
    </row>
    <row r="293" spans="1:26" ht="15.75" customHeight="1">
      <c r="A293" s="1"/>
      <c r="B293" s="734"/>
      <c r="C293" s="735"/>
      <c r="D293" s="735"/>
      <c r="E293" s="735"/>
      <c r="F293" s="735"/>
      <c r="G293" s="735"/>
      <c r="H293" s="2235" t="s">
        <v>626</v>
      </c>
      <c r="I293" s="2236"/>
      <c r="J293" s="736"/>
      <c r="K293" s="737">
        <f t="shared" ref="K293:M293" si="3">K245+K289</f>
        <v>0.1946277957923413</v>
      </c>
      <c r="L293" s="738">
        <f t="shared" si="3"/>
        <v>1.3457560317107012E-4</v>
      </c>
      <c r="M293" s="739">
        <f t="shared" si="3"/>
        <v>1.1395575250121828E-3</v>
      </c>
      <c r="N293" s="1"/>
      <c r="O293" s="75"/>
      <c r="P293" s="1"/>
      <c r="Q293" s="1"/>
      <c r="R293" s="1"/>
      <c r="S293" s="1"/>
      <c r="T293" s="1"/>
      <c r="U293" s="1"/>
      <c r="V293" s="1"/>
      <c r="W293" s="1"/>
      <c r="X293" s="1"/>
      <c r="Y293" s="1"/>
      <c r="Z293" s="1"/>
    </row>
    <row r="294" spans="1:26" ht="15.75" customHeight="1">
      <c r="A294" s="1"/>
      <c r="B294" s="1"/>
      <c r="C294" s="1"/>
      <c r="D294" s="1"/>
      <c r="E294" s="1"/>
      <c r="F294" s="1"/>
      <c r="G294" s="1"/>
      <c r="H294" s="740"/>
      <c r="I294" s="740"/>
      <c r="J294" s="741"/>
      <c r="K294" s="742"/>
      <c r="L294" s="742"/>
      <c r="M294" s="742"/>
      <c r="N294" s="1"/>
      <c r="O294" s="75"/>
      <c r="P294" s="1"/>
      <c r="Q294" s="1"/>
      <c r="R294" s="1"/>
      <c r="S294" s="1"/>
      <c r="T294" s="1"/>
      <c r="U294" s="1"/>
      <c r="V294" s="1"/>
      <c r="W294" s="1"/>
      <c r="X294" s="1"/>
      <c r="Y294" s="1"/>
      <c r="Z294" s="1"/>
    </row>
    <row r="295" spans="1:26" ht="15.75" customHeight="1">
      <c r="A295" s="1"/>
      <c r="B295" s="1"/>
      <c r="C295" s="1"/>
      <c r="D295" s="1"/>
      <c r="E295" s="1"/>
      <c r="F295" s="1"/>
      <c r="G295" s="1"/>
      <c r="H295" s="740"/>
      <c r="I295" s="740"/>
      <c r="J295" s="741"/>
      <c r="K295" s="742"/>
      <c r="L295" s="742"/>
      <c r="M295" s="742"/>
      <c r="N295" s="1"/>
      <c r="O295" s="75"/>
      <c r="P295" s="1"/>
      <c r="Q295" s="1"/>
      <c r="R295" s="1"/>
      <c r="S295" s="1"/>
      <c r="T295" s="1"/>
      <c r="U295" s="1"/>
      <c r="V295" s="1"/>
      <c r="W295" s="1"/>
      <c r="X295" s="1"/>
      <c r="Y295" s="1"/>
      <c r="Z295" s="1"/>
    </row>
    <row r="296" spans="1:26" ht="15.75" customHeight="1">
      <c r="A296" s="1"/>
      <c r="B296" s="1"/>
      <c r="C296" s="1"/>
      <c r="D296" s="1"/>
      <c r="E296" s="1"/>
      <c r="F296" s="1"/>
      <c r="G296" s="1"/>
      <c r="H296" s="740"/>
      <c r="I296" s="740"/>
      <c r="J296" s="741"/>
      <c r="K296" s="742"/>
      <c r="L296" s="742"/>
      <c r="M296" s="742"/>
      <c r="N296" s="1"/>
      <c r="O296" s="75"/>
      <c r="P296" s="1"/>
      <c r="Q296" s="1"/>
      <c r="R296" s="1"/>
      <c r="S296" s="1"/>
      <c r="T296" s="1"/>
      <c r="U296" s="1"/>
      <c r="V296" s="1"/>
      <c r="W296" s="1"/>
      <c r="X296" s="1"/>
      <c r="Y296" s="1"/>
      <c r="Z296" s="1"/>
    </row>
    <row r="297" spans="1:26" ht="15.75" customHeight="1">
      <c r="A297" s="1"/>
      <c r="B297" s="1"/>
      <c r="C297" s="1"/>
      <c r="D297" s="1"/>
      <c r="E297" s="1"/>
      <c r="F297" s="1"/>
      <c r="G297" s="1"/>
      <c r="H297" s="740"/>
      <c r="I297" s="740"/>
      <c r="J297" s="741"/>
      <c r="K297" s="742"/>
      <c r="L297" s="742"/>
      <c r="M297" s="742"/>
      <c r="N297" s="1"/>
      <c r="O297" s="75"/>
      <c r="P297" s="1"/>
      <c r="Q297" s="1"/>
      <c r="R297" s="1"/>
      <c r="S297" s="1"/>
      <c r="T297" s="1"/>
      <c r="U297" s="1"/>
      <c r="V297" s="1"/>
      <c r="W297" s="1"/>
      <c r="X297" s="1"/>
      <c r="Y297" s="1"/>
      <c r="Z297" s="1"/>
    </row>
    <row r="298" spans="1:26" ht="15.75" customHeight="1">
      <c r="A298" s="1"/>
      <c r="B298" s="1"/>
      <c r="C298" s="1"/>
      <c r="D298" s="1"/>
      <c r="E298" s="1"/>
      <c r="F298" s="1"/>
      <c r="G298" s="1"/>
      <c r="H298" s="1"/>
      <c r="I298" s="41"/>
      <c r="J298" s="1"/>
      <c r="K298" s="683"/>
      <c r="L298" s="1"/>
      <c r="M298" s="1"/>
      <c r="N298" s="1"/>
      <c r="O298" s="75"/>
      <c r="P298" s="1"/>
      <c r="Q298" s="1"/>
      <c r="R298" s="1"/>
      <c r="S298" s="1"/>
      <c r="T298" s="1"/>
      <c r="U298" s="1"/>
      <c r="V298" s="1"/>
      <c r="W298" s="1"/>
      <c r="X298" s="1"/>
      <c r="Y298" s="1"/>
      <c r="Z298" s="1"/>
    </row>
    <row r="299" spans="1:26" ht="15.75" customHeight="1">
      <c r="A299" s="1"/>
      <c r="B299" s="405" t="s">
        <v>627</v>
      </c>
      <c r="C299" s="406"/>
      <c r="D299" s="406"/>
      <c r="E299" s="1"/>
      <c r="F299" s="1"/>
      <c r="G299" s="1"/>
      <c r="H299" s="1"/>
      <c r="I299" s="41"/>
      <c r="J299" s="1"/>
      <c r="K299" s="683"/>
      <c r="L299" s="1"/>
      <c r="M299" s="1"/>
      <c r="N299" s="1"/>
      <c r="O299" s="75"/>
      <c r="P299" s="1"/>
      <c r="Q299" s="1"/>
      <c r="R299" s="1"/>
      <c r="S299" s="1"/>
      <c r="T299" s="1"/>
      <c r="U299" s="1"/>
      <c r="V299" s="1"/>
      <c r="W299" s="1"/>
      <c r="X299" s="1"/>
      <c r="Y299" s="1"/>
      <c r="Z299" s="1"/>
    </row>
    <row r="300" spans="1:26" ht="15.75" customHeight="1">
      <c r="A300" s="292"/>
      <c r="B300" s="1"/>
      <c r="C300" s="1"/>
      <c r="D300" s="1"/>
      <c r="E300" s="1"/>
      <c r="F300" s="1"/>
      <c r="G300" s="1"/>
      <c r="H300" s="1"/>
      <c r="I300" s="1"/>
      <c r="J300" s="1"/>
      <c r="K300" s="1"/>
      <c r="L300" s="1"/>
      <c r="M300" s="1"/>
      <c r="N300" s="1"/>
      <c r="O300" s="75"/>
      <c r="P300" s="1"/>
      <c r="Q300" s="1"/>
      <c r="R300" s="1"/>
      <c r="S300" s="1"/>
      <c r="T300" s="1"/>
      <c r="U300" s="1"/>
      <c r="V300" s="1"/>
      <c r="W300" s="1"/>
      <c r="X300" s="1"/>
      <c r="Y300" s="1"/>
      <c r="Z300" s="1"/>
    </row>
    <row r="301" spans="1:26" ht="15.75" customHeight="1">
      <c r="A301" s="292"/>
      <c r="B301" s="491" t="s">
        <v>345</v>
      </c>
      <c r="C301" s="492" t="s">
        <v>346</v>
      </c>
      <c r="D301" s="492" t="s">
        <v>347</v>
      </c>
      <c r="E301" s="492" t="s">
        <v>348</v>
      </c>
      <c r="F301" s="492" t="s">
        <v>349</v>
      </c>
      <c r="G301" s="492" t="s">
        <v>350</v>
      </c>
      <c r="H301" s="492" t="s">
        <v>351</v>
      </c>
      <c r="I301" s="492" t="s">
        <v>352</v>
      </c>
      <c r="J301" s="743" t="s">
        <v>353</v>
      </c>
      <c r="K301" s="494" t="s">
        <v>628</v>
      </c>
      <c r="L301" s="492" t="s">
        <v>629</v>
      </c>
      <c r="M301" s="495" t="s">
        <v>630</v>
      </c>
      <c r="N301" s="1"/>
      <c r="O301" s="75"/>
      <c r="P301" s="1"/>
      <c r="Q301" s="1"/>
      <c r="R301" s="1"/>
      <c r="S301" s="1"/>
      <c r="T301" s="1"/>
      <c r="U301" s="1"/>
      <c r="V301" s="1"/>
      <c r="W301" s="1"/>
      <c r="X301" s="1"/>
      <c r="Y301" s="1"/>
      <c r="Z301" s="1"/>
    </row>
    <row r="302" spans="1:26" ht="15.75" customHeight="1">
      <c r="A302" s="292"/>
      <c r="B302" s="496"/>
      <c r="C302" s="243"/>
      <c r="D302" s="243"/>
      <c r="E302" s="243" t="s">
        <v>631</v>
      </c>
      <c r="F302" s="243"/>
      <c r="G302" s="243"/>
      <c r="H302" s="243"/>
      <c r="I302" s="243"/>
      <c r="J302" s="744" t="s">
        <v>359</v>
      </c>
      <c r="K302" s="248" t="s">
        <v>316</v>
      </c>
      <c r="L302" s="243" t="s">
        <v>316</v>
      </c>
      <c r="M302" s="499" t="s">
        <v>316</v>
      </c>
      <c r="N302" s="1"/>
      <c r="O302" s="75"/>
      <c r="P302" s="1"/>
      <c r="Q302" s="1"/>
      <c r="R302" s="1"/>
      <c r="S302" s="1"/>
      <c r="T302" s="1"/>
      <c r="U302" s="1"/>
      <c r="V302" s="1"/>
      <c r="W302" s="1"/>
      <c r="X302" s="1"/>
      <c r="Y302" s="1"/>
      <c r="Z302" s="1"/>
    </row>
    <row r="303" spans="1:26" ht="15.75" customHeight="1">
      <c r="A303" s="292"/>
      <c r="B303" s="500"/>
      <c r="C303" s="501"/>
      <c r="D303" s="501"/>
      <c r="E303" s="501"/>
      <c r="F303" s="501"/>
      <c r="G303" s="501"/>
      <c r="H303" s="501"/>
      <c r="I303" s="501"/>
      <c r="J303" s="745"/>
      <c r="K303" s="746"/>
      <c r="L303" s="501"/>
      <c r="M303" s="688"/>
      <c r="N303" s="1"/>
      <c r="O303" s="75"/>
      <c r="P303" s="1"/>
      <c r="Q303" s="1"/>
      <c r="R303" s="1"/>
      <c r="S303" s="1"/>
      <c r="T303" s="1"/>
      <c r="U303" s="1"/>
      <c r="V303" s="1"/>
      <c r="W303" s="1"/>
      <c r="X303" s="1"/>
      <c r="Y303" s="1"/>
      <c r="Z303" s="1"/>
    </row>
    <row r="304" spans="1:26" ht="15.75" customHeight="1">
      <c r="A304" s="292"/>
      <c r="B304" s="712" t="s">
        <v>360</v>
      </c>
      <c r="C304" s="274" t="s">
        <v>361</v>
      </c>
      <c r="D304" s="592"/>
      <c r="E304" s="592"/>
      <c r="F304" s="592"/>
      <c r="G304" s="592"/>
      <c r="H304" s="592"/>
      <c r="I304" s="592"/>
      <c r="J304" s="747"/>
      <c r="K304" s="748"/>
      <c r="L304" s="592"/>
      <c r="M304" s="749"/>
      <c r="N304" s="1"/>
      <c r="O304" s="75"/>
      <c r="P304" s="1"/>
      <c r="Q304" s="1"/>
      <c r="R304" s="1"/>
      <c r="S304" s="1"/>
      <c r="T304" s="1"/>
      <c r="U304" s="1"/>
      <c r="V304" s="1"/>
      <c r="W304" s="1"/>
      <c r="X304" s="1"/>
      <c r="Y304" s="1"/>
      <c r="Z304" s="1"/>
    </row>
    <row r="305" spans="1:26" ht="15.75" customHeight="1">
      <c r="A305" s="292"/>
      <c r="B305" s="696"/>
      <c r="C305" s="242" t="s">
        <v>632</v>
      </c>
      <c r="D305" s="242" t="s">
        <v>633</v>
      </c>
      <c r="E305" s="242" t="s">
        <v>295</v>
      </c>
      <c r="F305" s="352">
        <v>2767100</v>
      </c>
      <c r="G305" s="242" t="s">
        <v>634</v>
      </c>
      <c r="H305" s="599">
        <v>1020</v>
      </c>
      <c r="I305" s="242" t="s">
        <v>635</v>
      </c>
      <c r="J305" s="750">
        <v>2822.442</v>
      </c>
      <c r="K305" s="639">
        <v>166.25</v>
      </c>
      <c r="L305" s="751">
        <v>0</v>
      </c>
      <c r="M305" s="634">
        <v>0</v>
      </c>
      <c r="N305" s="1"/>
      <c r="O305" s="75" t="s">
        <v>427</v>
      </c>
      <c r="P305" s="1"/>
      <c r="Q305" s="1"/>
      <c r="R305" s="1"/>
      <c r="S305" s="1"/>
      <c r="T305" s="1"/>
      <c r="U305" s="1"/>
      <c r="V305" s="1"/>
      <c r="W305" s="1"/>
      <c r="X305" s="1"/>
      <c r="Y305" s="1"/>
      <c r="Z305" s="1"/>
    </row>
    <row r="306" spans="1:26" ht="15.75" customHeight="1">
      <c r="A306" s="292"/>
      <c r="B306" s="500"/>
      <c r="C306" s="501"/>
      <c r="D306" s="501"/>
      <c r="E306" s="501"/>
      <c r="F306" s="366"/>
      <c r="G306" s="501"/>
      <c r="H306" s="708"/>
      <c r="I306" s="501"/>
      <c r="J306" s="752"/>
      <c r="K306" s="710"/>
      <c r="L306" s="367"/>
      <c r="M306" s="753"/>
      <c r="N306" s="1"/>
      <c r="O306" s="75"/>
      <c r="P306" s="1"/>
      <c r="Q306" s="1"/>
      <c r="R306" s="1"/>
      <c r="S306" s="1"/>
      <c r="T306" s="1"/>
      <c r="U306" s="1"/>
      <c r="V306" s="1"/>
      <c r="W306" s="1"/>
      <c r="X306" s="1"/>
      <c r="Y306" s="1"/>
      <c r="Z306" s="1"/>
    </row>
    <row r="307" spans="1:26" ht="15.75" customHeight="1">
      <c r="A307" s="292"/>
      <c r="B307" s="712" t="s">
        <v>374</v>
      </c>
      <c r="C307" s="274" t="s">
        <v>375</v>
      </c>
      <c r="D307" s="592"/>
      <c r="E307" s="592"/>
      <c r="F307" s="594"/>
      <c r="G307" s="592"/>
      <c r="H307" s="713"/>
      <c r="I307" s="592"/>
      <c r="J307" s="754"/>
      <c r="K307" s="715"/>
      <c r="L307" s="716"/>
      <c r="M307" s="755"/>
      <c r="N307" s="1"/>
      <c r="O307" s="75"/>
      <c r="P307" s="1"/>
      <c r="Q307" s="1"/>
      <c r="R307" s="1"/>
      <c r="S307" s="1"/>
      <c r="T307" s="1"/>
      <c r="U307" s="1"/>
      <c r="V307" s="1"/>
      <c r="W307" s="1"/>
      <c r="X307" s="1"/>
      <c r="Y307" s="1"/>
      <c r="Z307" s="1"/>
    </row>
    <row r="308" spans="1:26" ht="15.75" customHeight="1">
      <c r="A308" s="292"/>
      <c r="B308" s="696"/>
      <c r="C308" s="242" t="s">
        <v>376</v>
      </c>
      <c r="D308" s="242" t="s">
        <v>377</v>
      </c>
      <c r="E308" s="242" t="s">
        <v>636</v>
      </c>
      <c r="F308" s="352">
        <v>75000000</v>
      </c>
      <c r="G308" s="242" t="s">
        <v>634</v>
      </c>
      <c r="H308" s="599">
        <v>1020</v>
      </c>
      <c r="I308" s="242" t="s">
        <v>637</v>
      </c>
      <c r="J308" s="750">
        <v>76500</v>
      </c>
      <c r="K308" s="639">
        <v>8023.2708769110341</v>
      </c>
      <c r="L308" s="362">
        <v>2.1450042791546466E-2</v>
      </c>
      <c r="M308" s="627">
        <v>0.18322488165166143</v>
      </c>
      <c r="N308" s="1"/>
      <c r="O308" s="75" t="s">
        <v>427</v>
      </c>
      <c r="P308" s="1"/>
      <c r="Q308" s="1"/>
      <c r="R308" s="1"/>
      <c r="S308" s="1"/>
      <c r="T308" s="1"/>
      <c r="U308" s="1"/>
      <c r="V308" s="1"/>
      <c r="W308" s="1"/>
      <c r="X308" s="1"/>
      <c r="Y308" s="1"/>
      <c r="Z308" s="1"/>
    </row>
    <row r="309" spans="1:26" ht="15.75" customHeight="1">
      <c r="A309" s="292"/>
      <c r="B309" s="696"/>
      <c r="C309" s="242"/>
      <c r="D309" s="242"/>
      <c r="E309" s="242"/>
      <c r="F309" s="352"/>
      <c r="G309" s="242"/>
      <c r="H309" s="599"/>
      <c r="I309" s="242"/>
      <c r="J309" s="750"/>
      <c r="K309" s="639"/>
      <c r="L309" s="362"/>
      <c r="M309" s="627"/>
      <c r="N309" s="1"/>
      <c r="O309" s="75"/>
      <c r="P309" s="1"/>
      <c r="Q309" s="1"/>
      <c r="R309" s="1"/>
      <c r="S309" s="1"/>
      <c r="T309" s="1"/>
      <c r="U309" s="1"/>
      <c r="V309" s="1"/>
      <c r="W309" s="1"/>
      <c r="X309" s="1"/>
      <c r="Y309" s="1"/>
      <c r="Z309" s="1"/>
    </row>
    <row r="310" spans="1:26" ht="15.75" customHeight="1">
      <c r="A310" s="292"/>
      <c r="B310" s="696"/>
      <c r="C310" s="242" t="s">
        <v>378</v>
      </c>
      <c r="D310" s="242" t="s">
        <v>379</v>
      </c>
      <c r="E310" s="242" t="s">
        <v>636</v>
      </c>
      <c r="F310" s="352">
        <v>60000000</v>
      </c>
      <c r="G310" s="242" t="s">
        <v>634</v>
      </c>
      <c r="H310" s="599">
        <v>1020</v>
      </c>
      <c r="I310" s="242" t="s">
        <v>637</v>
      </c>
      <c r="J310" s="750">
        <v>61200</v>
      </c>
      <c r="K310" s="639">
        <v>6418.6666143325938</v>
      </c>
      <c r="L310" s="362">
        <v>1.501333727527079E-2</v>
      </c>
      <c r="M310" s="627">
        <v>0.12979272225072813</v>
      </c>
      <c r="N310" s="1"/>
      <c r="O310" s="75" t="s">
        <v>427</v>
      </c>
      <c r="P310" s="1"/>
      <c r="Q310" s="1"/>
      <c r="R310" s="1"/>
      <c r="S310" s="1"/>
      <c r="T310" s="1"/>
      <c r="U310" s="1"/>
      <c r="V310" s="1"/>
      <c r="W310" s="1"/>
      <c r="X310" s="1"/>
      <c r="Y310" s="1"/>
      <c r="Z310" s="1"/>
    </row>
    <row r="311" spans="1:26" ht="15.75" customHeight="1">
      <c r="A311" s="292"/>
      <c r="B311" s="500"/>
      <c r="C311" s="501"/>
      <c r="D311" s="501"/>
      <c r="E311" s="501"/>
      <c r="F311" s="366"/>
      <c r="G311" s="501"/>
      <c r="H311" s="708"/>
      <c r="I311" s="501"/>
      <c r="J311" s="752"/>
      <c r="K311" s="710"/>
      <c r="L311" s="367"/>
      <c r="M311" s="753"/>
      <c r="N311" s="1"/>
      <c r="O311" s="75"/>
      <c r="P311" s="1"/>
      <c r="Q311" s="1"/>
      <c r="R311" s="1"/>
      <c r="S311" s="1"/>
      <c r="T311" s="1"/>
      <c r="U311" s="1"/>
      <c r="V311" s="1"/>
      <c r="W311" s="1"/>
      <c r="X311" s="1"/>
      <c r="Y311" s="1"/>
      <c r="Z311" s="1"/>
    </row>
    <row r="312" spans="1:26" ht="15.75" customHeight="1">
      <c r="A312" s="292"/>
      <c r="B312" s="712" t="s">
        <v>380</v>
      </c>
      <c r="C312" s="274" t="s">
        <v>381</v>
      </c>
      <c r="D312" s="592"/>
      <c r="E312" s="592"/>
      <c r="F312" s="594"/>
      <c r="G312" s="592"/>
      <c r="H312" s="713"/>
      <c r="I312" s="592"/>
      <c r="J312" s="754"/>
      <c r="K312" s="715"/>
      <c r="L312" s="716"/>
      <c r="M312" s="755"/>
      <c r="N312" s="1"/>
      <c r="O312" s="75"/>
      <c r="P312" s="1"/>
      <c r="Q312" s="1"/>
      <c r="R312" s="1"/>
      <c r="S312" s="1"/>
      <c r="T312" s="1"/>
      <c r="U312" s="1"/>
      <c r="V312" s="1"/>
      <c r="W312" s="1"/>
      <c r="X312" s="1"/>
      <c r="Y312" s="1"/>
      <c r="Z312" s="1"/>
    </row>
    <row r="313" spans="1:26" ht="15.75" customHeight="1">
      <c r="A313" s="292"/>
      <c r="B313" s="696"/>
      <c r="C313" s="242"/>
      <c r="D313" s="242"/>
      <c r="E313" s="242"/>
      <c r="F313" s="352"/>
      <c r="G313" s="242"/>
      <c r="H313" s="599"/>
      <c r="I313" s="242"/>
      <c r="J313" s="750"/>
      <c r="K313" s="639"/>
      <c r="L313" s="362"/>
      <c r="M313" s="627"/>
      <c r="N313" s="1"/>
      <c r="O313" s="75"/>
      <c r="P313" s="1"/>
      <c r="Q313" s="1"/>
      <c r="R313" s="1"/>
      <c r="S313" s="1"/>
      <c r="T313" s="1"/>
      <c r="U313" s="1"/>
      <c r="V313" s="1"/>
      <c r="W313" s="1"/>
      <c r="X313" s="1"/>
      <c r="Y313" s="1"/>
      <c r="Z313" s="1"/>
    </row>
    <row r="314" spans="1:26" ht="15.75" customHeight="1">
      <c r="A314" s="292"/>
      <c r="B314" s="696"/>
      <c r="C314" s="242" t="s">
        <v>382</v>
      </c>
      <c r="D314" s="242" t="s">
        <v>369</v>
      </c>
      <c r="E314" s="242" t="s">
        <v>310</v>
      </c>
      <c r="F314" s="352">
        <v>30893</v>
      </c>
      <c r="G314" s="242" t="s">
        <v>634</v>
      </c>
      <c r="H314" s="599">
        <v>1034</v>
      </c>
      <c r="I314" s="242" t="s">
        <v>637</v>
      </c>
      <c r="J314" s="750">
        <v>31943.362000000001</v>
      </c>
      <c r="K314" s="639">
        <v>3445.9797944687357</v>
      </c>
      <c r="L314" s="362">
        <v>2.5185085674848895E-2</v>
      </c>
      <c r="M314" s="627">
        <v>2.0156555510620431E-2</v>
      </c>
      <c r="N314" s="1"/>
      <c r="O314" s="75" t="s">
        <v>427</v>
      </c>
      <c r="P314" s="1"/>
      <c r="Q314" s="1"/>
      <c r="R314" s="1"/>
      <c r="S314" s="1"/>
      <c r="T314" s="1"/>
      <c r="U314" s="1"/>
      <c r="V314" s="1"/>
      <c r="W314" s="1"/>
      <c r="X314" s="1"/>
      <c r="Y314" s="1"/>
      <c r="Z314" s="1"/>
    </row>
    <row r="315" spans="1:26" ht="15.75" customHeight="1">
      <c r="A315" s="292"/>
      <c r="B315" s="696"/>
      <c r="C315" s="242"/>
      <c r="D315" s="242"/>
      <c r="E315" s="242"/>
      <c r="F315" s="352"/>
      <c r="G315" s="242"/>
      <c r="H315" s="599"/>
      <c r="I315" s="242"/>
      <c r="J315" s="750"/>
      <c r="K315" s="639"/>
      <c r="L315" s="362"/>
      <c r="M315" s="627"/>
      <c r="N315" s="1"/>
      <c r="O315" s="75"/>
      <c r="P315" s="1"/>
      <c r="Q315" s="1"/>
      <c r="R315" s="1"/>
      <c r="S315" s="1"/>
      <c r="T315" s="1"/>
      <c r="U315" s="1"/>
      <c r="V315" s="1"/>
      <c r="W315" s="1"/>
      <c r="X315" s="1"/>
      <c r="Y315" s="1"/>
      <c r="Z315" s="1"/>
    </row>
    <row r="316" spans="1:26" ht="15.75" customHeight="1">
      <c r="A316" s="292"/>
      <c r="B316" s="696"/>
      <c r="C316" s="242" t="s">
        <v>384</v>
      </c>
      <c r="D316" s="242" t="s">
        <v>373</v>
      </c>
      <c r="E316" s="242" t="s">
        <v>310</v>
      </c>
      <c r="F316" s="352">
        <v>163134</v>
      </c>
      <c r="G316" s="242" t="s">
        <v>634</v>
      </c>
      <c r="H316" s="599">
        <v>1037</v>
      </c>
      <c r="I316" s="242" t="s">
        <v>637</v>
      </c>
      <c r="J316" s="750">
        <v>169169.95800000001</v>
      </c>
      <c r="K316" s="639">
        <v>18156.895576666189</v>
      </c>
      <c r="L316" s="362">
        <v>0.13271072810314702</v>
      </c>
      <c r="M316" s="627">
        <v>0.10616858248251762</v>
      </c>
      <c r="N316" s="1"/>
      <c r="O316" s="75" t="s">
        <v>427</v>
      </c>
      <c r="P316" s="1"/>
      <c r="Q316" s="1"/>
      <c r="R316" s="1"/>
      <c r="S316" s="1"/>
      <c r="T316" s="1"/>
      <c r="U316" s="1"/>
      <c r="V316" s="1"/>
      <c r="W316" s="1"/>
      <c r="X316" s="1"/>
      <c r="Y316" s="1"/>
      <c r="Z316" s="1"/>
    </row>
    <row r="317" spans="1:26" ht="15.75" customHeight="1">
      <c r="A317" s="292"/>
      <c r="B317" s="696"/>
      <c r="C317" s="242"/>
      <c r="D317" s="242"/>
      <c r="E317" s="242"/>
      <c r="F317" s="352"/>
      <c r="G317" s="242"/>
      <c r="H317" s="599"/>
      <c r="I317" s="242"/>
      <c r="J317" s="750"/>
      <c r="K317" s="639"/>
      <c r="L317" s="362"/>
      <c r="M317" s="627"/>
      <c r="N317" s="1"/>
      <c r="O317" s="75"/>
      <c r="P317" s="1"/>
      <c r="Q317" s="1"/>
      <c r="R317" s="1"/>
      <c r="S317" s="1"/>
      <c r="T317" s="1"/>
      <c r="U317" s="1"/>
      <c r="V317" s="1"/>
      <c r="W317" s="1"/>
      <c r="X317" s="1"/>
      <c r="Y317" s="1"/>
      <c r="Z317" s="1"/>
    </row>
    <row r="318" spans="1:26" ht="15.75" customHeight="1">
      <c r="A318" s="292"/>
      <c r="B318" s="696"/>
      <c r="C318" s="242" t="s">
        <v>612</v>
      </c>
      <c r="D318" s="242" t="s">
        <v>390</v>
      </c>
      <c r="E318" s="242" t="s">
        <v>310</v>
      </c>
      <c r="F318" s="352">
        <v>3911764</v>
      </c>
      <c r="G318" s="242" t="s">
        <v>634</v>
      </c>
      <c r="H318" s="599">
        <v>1031</v>
      </c>
      <c r="I318" s="242" t="s">
        <v>637</v>
      </c>
      <c r="J318" s="750">
        <v>4033028.6839999999</v>
      </c>
      <c r="K318" s="639">
        <v>251050.49058174895</v>
      </c>
      <c r="L318" s="362">
        <v>4.8079099523875701</v>
      </c>
      <c r="M318" s="627">
        <v>1.6124088254958313</v>
      </c>
      <c r="N318" s="1"/>
      <c r="O318" s="75" t="s">
        <v>427</v>
      </c>
      <c r="P318" s="1"/>
      <c r="Q318" s="1"/>
      <c r="R318" s="1"/>
      <c r="S318" s="1"/>
      <c r="T318" s="1"/>
      <c r="U318" s="1"/>
      <c r="V318" s="1"/>
      <c r="W318" s="1"/>
      <c r="X318" s="1"/>
      <c r="Y318" s="1"/>
      <c r="Z318" s="1"/>
    </row>
    <row r="319" spans="1:26" ht="15.75" customHeight="1">
      <c r="A319" s="292"/>
      <c r="B319" s="696"/>
      <c r="C319" s="242"/>
      <c r="D319" s="242"/>
      <c r="E319" s="242"/>
      <c r="F319" s="352"/>
      <c r="G319" s="242"/>
      <c r="H319" s="599"/>
      <c r="I319" s="242"/>
      <c r="J319" s="750"/>
      <c r="K319" s="639"/>
      <c r="L319" s="362"/>
      <c r="M319" s="627"/>
      <c r="N319" s="1"/>
      <c r="O319" s="75"/>
      <c r="P319" s="1"/>
      <c r="Q319" s="1"/>
      <c r="R319" s="1"/>
      <c r="S319" s="1"/>
      <c r="T319" s="1"/>
      <c r="U319" s="1"/>
      <c r="V319" s="1"/>
      <c r="W319" s="1"/>
      <c r="X319" s="1"/>
      <c r="Y319" s="1"/>
      <c r="Z319" s="1"/>
    </row>
    <row r="320" spans="1:26" ht="15.75" customHeight="1">
      <c r="A320" s="292"/>
      <c r="B320" s="696"/>
      <c r="C320" s="242" t="s">
        <v>614</v>
      </c>
      <c r="D320" s="242" t="s">
        <v>615</v>
      </c>
      <c r="E320" s="242" t="s">
        <v>310</v>
      </c>
      <c r="F320" s="352">
        <v>3907269</v>
      </c>
      <c r="G320" s="242" t="s">
        <v>634</v>
      </c>
      <c r="H320" s="599">
        <v>1031</v>
      </c>
      <c r="I320" s="242" t="s">
        <v>637</v>
      </c>
      <c r="J320" s="750">
        <v>4028394.3390000002</v>
      </c>
      <c r="K320" s="639">
        <v>284779.58035673073</v>
      </c>
      <c r="L320" s="362">
        <v>5.4640772817897361</v>
      </c>
      <c r="M320" s="627">
        <v>1.7919823343503973</v>
      </c>
      <c r="N320" s="1"/>
      <c r="O320" s="75" t="s">
        <v>427</v>
      </c>
      <c r="P320" s="1"/>
      <c r="Q320" s="1"/>
      <c r="R320" s="1"/>
      <c r="S320" s="1"/>
      <c r="T320" s="1"/>
      <c r="U320" s="1"/>
      <c r="V320" s="1"/>
      <c r="W320" s="1"/>
      <c r="X320" s="1"/>
      <c r="Y320" s="1"/>
      <c r="Z320" s="1"/>
    </row>
    <row r="321" spans="1:26" ht="15.75" customHeight="1">
      <c r="A321" s="292"/>
      <c r="B321" s="696"/>
      <c r="C321" s="242"/>
      <c r="D321" s="242"/>
      <c r="E321" s="242"/>
      <c r="F321" s="352"/>
      <c r="G321" s="242"/>
      <c r="H321" s="599"/>
      <c r="I321" s="242"/>
      <c r="J321" s="750"/>
      <c r="K321" s="639"/>
      <c r="L321" s="362"/>
      <c r="M321" s="627"/>
      <c r="N321" s="1"/>
      <c r="O321" s="75"/>
      <c r="P321" s="1"/>
      <c r="Q321" s="1"/>
      <c r="R321" s="1"/>
      <c r="S321" s="1"/>
      <c r="T321" s="1"/>
      <c r="U321" s="1"/>
      <c r="V321" s="1"/>
      <c r="W321" s="1"/>
      <c r="X321" s="1"/>
      <c r="Y321" s="1"/>
      <c r="Z321" s="1"/>
    </row>
    <row r="322" spans="1:26" ht="15.75" customHeight="1">
      <c r="A322" s="292"/>
      <c r="B322" s="696"/>
      <c r="C322" s="242" t="s">
        <v>443</v>
      </c>
      <c r="D322" s="242" t="s">
        <v>444</v>
      </c>
      <c r="E322" s="242" t="s">
        <v>310</v>
      </c>
      <c r="F322" s="352">
        <v>148038</v>
      </c>
      <c r="G322" s="242" t="s">
        <v>634</v>
      </c>
      <c r="H322" s="599">
        <v>1032</v>
      </c>
      <c r="I322" s="242" t="s">
        <v>637</v>
      </c>
      <c r="J322" s="750">
        <v>152775.21599999999</v>
      </c>
      <c r="K322" s="639">
        <v>9959.6823666729506</v>
      </c>
      <c r="L322" s="362">
        <v>5.9419084235655353E-2</v>
      </c>
      <c r="M322" s="627">
        <v>0.24088817933373788</v>
      </c>
      <c r="N322" s="1"/>
      <c r="O322" s="75" t="s">
        <v>427</v>
      </c>
      <c r="P322" s="1"/>
      <c r="Q322" s="1"/>
      <c r="R322" s="1"/>
      <c r="S322" s="1"/>
      <c r="T322" s="1"/>
      <c r="U322" s="1"/>
      <c r="V322" s="1"/>
      <c r="W322" s="1"/>
      <c r="X322" s="1"/>
      <c r="Y322" s="1"/>
      <c r="Z322" s="1"/>
    </row>
    <row r="323" spans="1:26" ht="15.75" customHeight="1">
      <c r="A323" s="292"/>
      <c r="B323" s="696"/>
      <c r="C323" s="242"/>
      <c r="D323" s="242"/>
      <c r="E323" s="242"/>
      <c r="F323" s="352"/>
      <c r="G323" s="242"/>
      <c r="H323" s="599"/>
      <c r="I323" s="242"/>
      <c r="J323" s="750"/>
      <c r="K323" s="639"/>
      <c r="L323" s="362">
        <v>7.3999999999999996E-2</v>
      </c>
      <c r="M323" s="627">
        <v>0.3</v>
      </c>
      <c r="N323" s="1"/>
      <c r="O323" s="75" t="s">
        <v>427</v>
      </c>
      <c r="P323" s="1"/>
      <c r="Q323" s="1"/>
      <c r="R323" s="1"/>
      <c r="S323" s="1"/>
      <c r="T323" s="1"/>
      <c r="U323" s="1"/>
      <c r="V323" s="1"/>
      <c r="W323" s="1"/>
      <c r="X323" s="1"/>
      <c r="Y323" s="1"/>
      <c r="Z323" s="1"/>
    </row>
    <row r="324" spans="1:26" ht="15.75" customHeight="1">
      <c r="A324" s="292"/>
      <c r="B324" s="696"/>
      <c r="C324" s="242" t="s">
        <v>445</v>
      </c>
      <c r="D324" s="242" t="s">
        <v>446</v>
      </c>
      <c r="E324" s="242" t="s">
        <v>310</v>
      </c>
      <c r="F324" s="352">
        <v>95208</v>
      </c>
      <c r="G324" s="242" t="s">
        <v>634</v>
      </c>
      <c r="H324" s="599">
        <v>1032</v>
      </c>
      <c r="I324" s="242" t="s">
        <v>637</v>
      </c>
      <c r="J324" s="750">
        <v>98254.656000000003</v>
      </c>
      <c r="K324" s="639">
        <v>6010.3847131191642</v>
      </c>
      <c r="L324" s="362">
        <v>4.0217304222705294E-2</v>
      </c>
      <c r="M324" s="627">
        <v>0.10968355697101446</v>
      </c>
      <c r="N324" s="1"/>
      <c r="O324" s="75" t="s">
        <v>427</v>
      </c>
      <c r="P324" s="1"/>
      <c r="Q324" s="1"/>
      <c r="R324" s="1"/>
      <c r="S324" s="1"/>
      <c r="T324" s="1"/>
      <c r="U324" s="1"/>
      <c r="V324" s="1"/>
      <c r="W324" s="1"/>
      <c r="X324" s="1"/>
      <c r="Y324" s="1"/>
      <c r="Z324" s="1"/>
    </row>
    <row r="325" spans="1:26" ht="15.75" customHeight="1">
      <c r="A325" s="292"/>
      <c r="B325" s="696"/>
      <c r="C325" s="242"/>
      <c r="D325" s="242"/>
      <c r="E325" s="242"/>
      <c r="F325" s="352"/>
      <c r="G325" s="242"/>
      <c r="H325" s="599"/>
      <c r="I325" s="242"/>
      <c r="J325" s="750"/>
      <c r="K325" s="639"/>
      <c r="L325" s="362">
        <v>4.3999999999999997E-2</v>
      </c>
      <c r="M325" s="627">
        <v>0.12</v>
      </c>
      <c r="N325" s="1"/>
      <c r="O325" s="75" t="s">
        <v>427</v>
      </c>
      <c r="P325" s="1"/>
      <c r="Q325" s="1"/>
      <c r="R325" s="1"/>
      <c r="S325" s="1"/>
      <c r="T325" s="1"/>
      <c r="U325" s="1"/>
      <c r="V325" s="1"/>
      <c r="W325" s="1"/>
      <c r="X325" s="1"/>
      <c r="Y325" s="1"/>
      <c r="Z325" s="1"/>
    </row>
    <row r="326" spans="1:26" ht="15.75" customHeight="1">
      <c r="A326" s="292"/>
      <c r="B326" s="696"/>
      <c r="C326" s="242" t="s">
        <v>447</v>
      </c>
      <c r="D326" s="242" t="s">
        <v>448</v>
      </c>
      <c r="E326" s="242" t="s">
        <v>310</v>
      </c>
      <c r="F326" s="352">
        <v>179012</v>
      </c>
      <c r="G326" s="242" t="s">
        <v>634</v>
      </c>
      <c r="H326" s="599">
        <v>1032</v>
      </c>
      <c r="I326" s="242" t="s">
        <v>637</v>
      </c>
      <c r="J326" s="750">
        <v>184740.38399999999</v>
      </c>
      <c r="K326" s="639">
        <v>10696.148404055595</v>
      </c>
      <c r="L326" s="362">
        <v>6.7618966284057197E-2</v>
      </c>
      <c r="M326" s="627">
        <v>0.18933310559536018</v>
      </c>
      <c r="N326" s="1"/>
      <c r="O326" s="75" t="s">
        <v>427</v>
      </c>
      <c r="P326" s="1"/>
      <c r="Q326" s="1"/>
      <c r="R326" s="1"/>
      <c r="S326" s="1"/>
      <c r="T326" s="1"/>
      <c r="U326" s="1"/>
      <c r="V326" s="1"/>
      <c r="W326" s="1"/>
      <c r="X326" s="1"/>
      <c r="Y326" s="1"/>
      <c r="Z326" s="1"/>
    </row>
    <row r="327" spans="1:26" ht="15.75" customHeight="1">
      <c r="A327" s="292"/>
      <c r="B327" s="696"/>
      <c r="C327" s="242"/>
      <c r="D327" s="242"/>
      <c r="E327" s="242"/>
      <c r="F327" s="352"/>
      <c r="G327" s="242"/>
      <c r="H327" s="599"/>
      <c r="I327" s="242"/>
      <c r="J327" s="750"/>
      <c r="K327" s="639"/>
      <c r="L327" s="362">
        <v>7.4999999999999997E-2</v>
      </c>
      <c r="M327" s="627">
        <v>0.21</v>
      </c>
      <c r="N327" s="1"/>
      <c r="O327" s="75" t="s">
        <v>427</v>
      </c>
      <c r="P327" s="1"/>
      <c r="Q327" s="1"/>
      <c r="R327" s="1"/>
      <c r="S327" s="1"/>
      <c r="T327" s="1"/>
      <c r="U327" s="1"/>
      <c r="V327" s="1"/>
      <c r="W327" s="1"/>
      <c r="X327" s="1"/>
      <c r="Y327" s="1"/>
      <c r="Z327" s="1"/>
    </row>
    <row r="328" spans="1:26" ht="15.75" customHeight="1">
      <c r="A328" s="292"/>
      <c r="B328" s="696"/>
      <c r="C328" s="242" t="s">
        <v>449</v>
      </c>
      <c r="D328" s="242" t="s">
        <v>450</v>
      </c>
      <c r="E328" s="242" t="s">
        <v>310</v>
      </c>
      <c r="F328" s="352">
        <v>193249</v>
      </c>
      <c r="G328" s="242" t="s">
        <v>634</v>
      </c>
      <c r="H328" s="599">
        <v>1031</v>
      </c>
      <c r="I328" s="242" t="s">
        <v>637</v>
      </c>
      <c r="J328" s="750">
        <v>199239.71900000001</v>
      </c>
      <c r="K328" s="639">
        <v>13397.858494014101</v>
      </c>
      <c r="L328" s="362">
        <v>8.4618788264208558E-2</v>
      </c>
      <c r="M328" s="627">
        <v>0.27043117898870772</v>
      </c>
      <c r="N328" s="1"/>
      <c r="O328" s="75" t="s">
        <v>427</v>
      </c>
      <c r="P328" s="1"/>
      <c r="Q328" s="1"/>
      <c r="R328" s="1"/>
      <c r="S328" s="1"/>
      <c r="T328" s="1"/>
      <c r="U328" s="1"/>
      <c r="V328" s="1"/>
      <c r="W328" s="1"/>
      <c r="X328" s="1"/>
      <c r="Y328" s="1"/>
      <c r="Z328" s="1"/>
    </row>
    <row r="329" spans="1:26" ht="15.75" customHeight="1">
      <c r="A329" s="292"/>
      <c r="B329" s="500"/>
      <c r="C329" s="501"/>
      <c r="D329" s="501"/>
      <c r="E329" s="501"/>
      <c r="F329" s="366"/>
      <c r="G329" s="501"/>
      <c r="H329" s="708"/>
      <c r="I329" s="501"/>
      <c r="J329" s="752"/>
      <c r="K329" s="710"/>
      <c r="L329" s="367"/>
      <c r="M329" s="753"/>
      <c r="N329" s="1"/>
      <c r="O329" s="75"/>
      <c r="P329" s="1"/>
      <c r="Q329" s="1"/>
      <c r="R329" s="1"/>
      <c r="S329" s="1"/>
      <c r="T329" s="1"/>
      <c r="U329" s="1"/>
      <c r="V329" s="1"/>
      <c r="W329" s="1"/>
      <c r="X329" s="1"/>
      <c r="Y329" s="1"/>
      <c r="Z329" s="1"/>
    </row>
    <row r="330" spans="1:26" ht="15.75" customHeight="1">
      <c r="A330" s="292"/>
      <c r="B330" s="712" t="s">
        <v>457</v>
      </c>
      <c r="C330" s="274" t="s">
        <v>458</v>
      </c>
      <c r="D330" s="592"/>
      <c r="E330" s="592"/>
      <c r="F330" s="594"/>
      <c r="G330" s="592"/>
      <c r="H330" s="713"/>
      <c r="I330" s="592"/>
      <c r="J330" s="754"/>
      <c r="K330" s="715"/>
      <c r="L330" s="716"/>
      <c r="M330" s="755"/>
      <c r="N330" s="1"/>
      <c r="O330" s="75"/>
      <c r="P330" s="1"/>
      <c r="Q330" s="1"/>
      <c r="R330" s="1"/>
      <c r="S330" s="1"/>
      <c r="T330" s="1"/>
      <c r="U330" s="1"/>
      <c r="V330" s="1"/>
      <c r="W330" s="1"/>
      <c r="X330" s="1"/>
      <c r="Y330" s="1"/>
      <c r="Z330" s="1"/>
    </row>
    <row r="331" spans="1:26" ht="15.75" customHeight="1">
      <c r="A331" s="292"/>
      <c r="B331" s="496"/>
      <c r="C331" s="242" t="s">
        <v>459</v>
      </c>
      <c r="D331" s="242" t="s">
        <v>460</v>
      </c>
      <c r="E331" s="242" t="s">
        <v>310</v>
      </c>
      <c r="F331" s="352">
        <v>90508</v>
      </c>
      <c r="G331" s="242" t="s">
        <v>634</v>
      </c>
      <c r="H331" s="599">
        <v>1032</v>
      </c>
      <c r="I331" s="242" t="s">
        <v>635</v>
      </c>
      <c r="J331" s="750">
        <v>93404.255999999994</v>
      </c>
      <c r="K331" s="639">
        <v>5476.2034079014793</v>
      </c>
      <c r="L331" s="362">
        <v>9.0109554954250229E-2</v>
      </c>
      <c r="M331" s="627">
        <v>0.18021910990850046</v>
      </c>
      <c r="N331" s="1"/>
      <c r="O331" s="75" t="s">
        <v>427</v>
      </c>
      <c r="P331" s="1"/>
      <c r="Q331" s="1"/>
      <c r="R331" s="1"/>
      <c r="S331" s="1"/>
      <c r="T331" s="1"/>
      <c r="U331" s="1"/>
      <c r="V331" s="1"/>
      <c r="W331" s="1"/>
      <c r="X331" s="1"/>
      <c r="Y331" s="1"/>
      <c r="Z331" s="1"/>
    </row>
    <row r="332" spans="1:26" ht="15.75" customHeight="1">
      <c r="A332" s="292"/>
      <c r="B332" s="500"/>
      <c r="C332" s="501"/>
      <c r="D332" s="501"/>
      <c r="E332" s="501"/>
      <c r="F332" s="366"/>
      <c r="G332" s="501"/>
      <c r="H332" s="708"/>
      <c r="I332" s="501"/>
      <c r="J332" s="752"/>
      <c r="K332" s="710"/>
      <c r="L332" s="367"/>
      <c r="M332" s="753"/>
      <c r="N332" s="1"/>
      <c r="O332" s="75"/>
      <c r="P332" s="1"/>
      <c r="Q332" s="1"/>
      <c r="R332" s="1"/>
      <c r="S332" s="1"/>
      <c r="T332" s="1"/>
      <c r="U332" s="1"/>
      <c r="V332" s="1"/>
      <c r="W332" s="1"/>
      <c r="X332" s="1"/>
      <c r="Y332" s="1"/>
      <c r="Z332" s="1"/>
    </row>
    <row r="333" spans="1:26" ht="15.75" customHeight="1">
      <c r="A333" s="292"/>
      <c r="B333" s="712" t="s">
        <v>385</v>
      </c>
      <c r="C333" s="274" t="s">
        <v>386</v>
      </c>
      <c r="D333" s="592"/>
      <c r="E333" s="592"/>
      <c r="F333" s="594"/>
      <c r="G333" s="592"/>
      <c r="H333" s="713"/>
      <c r="I333" s="592"/>
      <c r="J333" s="754"/>
      <c r="K333" s="715"/>
      <c r="L333" s="716"/>
      <c r="M333" s="755"/>
      <c r="N333" s="1"/>
      <c r="O333" s="75"/>
      <c r="P333" s="1"/>
      <c r="Q333" s="1"/>
      <c r="R333" s="1"/>
      <c r="S333" s="1"/>
      <c r="T333" s="1"/>
      <c r="U333" s="1"/>
      <c r="V333" s="1"/>
      <c r="W333" s="1"/>
      <c r="X333" s="1"/>
      <c r="Y333" s="1"/>
      <c r="Z333" s="1"/>
    </row>
    <row r="334" spans="1:26" ht="15.75" customHeight="1">
      <c r="A334" s="292"/>
      <c r="B334" s="696"/>
      <c r="C334" s="242" t="s">
        <v>638</v>
      </c>
      <c r="D334" s="242" t="s">
        <v>369</v>
      </c>
      <c r="E334" s="242" t="s">
        <v>310</v>
      </c>
      <c r="F334" s="352">
        <v>443000000</v>
      </c>
      <c r="G334" s="242" t="s">
        <v>634</v>
      </c>
      <c r="H334" s="599">
        <v>1027</v>
      </c>
      <c r="I334" s="242" t="s">
        <v>639</v>
      </c>
      <c r="J334" s="750">
        <v>503736</v>
      </c>
      <c r="K334" s="639">
        <v>29944</v>
      </c>
      <c r="L334" s="362">
        <v>0.5</v>
      </c>
      <c r="M334" s="627">
        <v>0.49</v>
      </c>
      <c r="N334" s="1"/>
      <c r="O334" s="75" t="s">
        <v>341</v>
      </c>
      <c r="P334" s="1"/>
      <c r="Q334" s="1"/>
      <c r="R334" s="1"/>
      <c r="S334" s="1"/>
      <c r="T334" s="1"/>
      <c r="U334" s="1"/>
      <c r="V334" s="1"/>
      <c r="W334" s="1"/>
      <c r="X334" s="1"/>
      <c r="Y334" s="1"/>
      <c r="Z334" s="1"/>
    </row>
    <row r="335" spans="1:26" ht="15.75" customHeight="1">
      <c r="A335" s="292"/>
      <c r="B335" s="696"/>
      <c r="C335" s="242"/>
      <c r="D335" s="242"/>
      <c r="E335" s="242"/>
      <c r="F335" s="352"/>
      <c r="G335" s="242"/>
      <c r="H335" s="599"/>
      <c r="I335" s="242"/>
      <c r="J335" s="750"/>
      <c r="K335" s="626"/>
      <c r="L335" s="242"/>
      <c r="M335" s="504"/>
      <c r="N335" s="1"/>
      <c r="O335" s="75"/>
      <c r="P335" s="1"/>
      <c r="Q335" s="1"/>
      <c r="R335" s="1"/>
      <c r="S335" s="1"/>
      <c r="T335" s="1"/>
      <c r="U335" s="1"/>
      <c r="V335" s="1"/>
      <c r="W335" s="1"/>
      <c r="X335" s="1"/>
      <c r="Y335" s="1"/>
      <c r="Z335" s="1"/>
    </row>
    <row r="336" spans="1:26" ht="15.75" customHeight="1">
      <c r="A336" s="292"/>
      <c r="B336" s="696"/>
      <c r="C336" s="242" t="s">
        <v>387</v>
      </c>
      <c r="D336" s="242" t="s">
        <v>373</v>
      </c>
      <c r="E336" s="242" t="s">
        <v>636</v>
      </c>
      <c r="F336" s="352">
        <v>43000000</v>
      </c>
      <c r="G336" s="242" t="s">
        <v>634</v>
      </c>
      <c r="H336" s="599">
        <v>1027</v>
      </c>
      <c r="I336" s="242" t="s">
        <v>639</v>
      </c>
      <c r="J336" s="750">
        <v>44161</v>
      </c>
      <c r="K336" s="639">
        <v>4841.7340263570513</v>
      </c>
      <c r="L336" s="362">
        <v>3.6544284840361319E-2</v>
      </c>
      <c r="M336" s="627">
        <v>2.7773656478674608E-2</v>
      </c>
      <c r="N336" s="1"/>
      <c r="O336" s="75" t="s">
        <v>427</v>
      </c>
      <c r="P336" s="1"/>
      <c r="Q336" s="1"/>
      <c r="R336" s="1"/>
      <c r="S336" s="1"/>
      <c r="T336" s="1"/>
      <c r="U336" s="1"/>
      <c r="V336" s="1"/>
      <c r="W336" s="1"/>
      <c r="X336" s="1"/>
      <c r="Y336" s="1"/>
      <c r="Z336" s="1"/>
    </row>
    <row r="337" spans="1:26" ht="15.75" customHeight="1">
      <c r="A337" s="292"/>
      <c r="B337" s="696"/>
      <c r="C337" s="242"/>
      <c r="D337" s="242"/>
      <c r="E337" s="242"/>
      <c r="F337" s="352"/>
      <c r="G337" s="242"/>
      <c r="H337" s="599"/>
      <c r="I337" s="242"/>
      <c r="J337" s="756"/>
      <c r="K337" s="639"/>
      <c r="L337" s="362"/>
      <c r="M337" s="627"/>
      <c r="N337" s="1"/>
      <c r="O337" s="75"/>
      <c r="P337" s="1"/>
      <c r="Q337" s="1"/>
      <c r="R337" s="1"/>
      <c r="S337" s="1"/>
      <c r="T337" s="1"/>
      <c r="U337" s="1"/>
      <c r="V337" s="1"/>
      <c r="W337" s="1"/>
      <c r="X337" s="1"/>
      <c r="Y337" s="1"/>
      <c r="Z337" s="1"/>
    </row>
    <row r="338" spans="1:26" ht="15.75" customHeight="1">
      <c r="A338" s="292"/>
      <c r="B338" s="696"/>
      <c r="C338" s="242" t="s">
        <v>389</v>
      </c>
      <c r="D338" s="242" t="s">
        <v>390</v>
      </c>
      <c r="E338" s="242" t="s">
        <v>636</v>
      </c>
      <c r="F338" s="352">
        <v>72000000</v>
      </c>
      <c r="G338" s="242" t="s">
        <v>634</v>
      </c>
      <c r="H338" s="599">
        <v>1027</v>
      </c>
      <c r="I338" s="242" t="s">
        <v>639</v>
      </c>
      <c r="J338" s="750">
        <v>73944</v>
      </c>
      <c r="K338" s="757">
        <v>7697.276586086301</v>
      </c>
      <c r="L338" s="758">
        <v>6.172230143152161E-2</v>
      </c>
      <c r="M338" s="759">
        <v>4.6423050119240195E-2</v>
      </c>
      <c r="N338" s="1"/>
      <c r="O338" s="75" t="s">
        <v>427</v>
      </c>
      <c r="P338" s="1"/>
      <c r="Q338" s="1"/>
      <c r="R338" s="1"/>
      <c r="S338" s="1"/>
      <c r="T338" s="1"/>
      <c r="U338" s="1"/>
      <c r="V338" s="1"/>
      <c r="W338" s="1"/>
      <c r="X338" s="1"/>
      <c r="Y338" s="1"/>
      <c r="Z338" s="1"/>
    </row>
    <row r="339" spans="1:26" ht="15.75" customHeight="1">
      <c r="A339" s="292"/>
      <c r="B339" s="696"/>
      <c r="C339" s="242"/>
      <c r="D339" s="242"/>
      <c r="E339" s="242"/>
      <c r="F339" s="352"/>
      <c r="G339" s="242"/>
      <c r="H339" s="599"/>
      <c r="I339" s="242"/>
      <c r="J339" s="756"/>
      <c r="K339" s="639"/>
      <c r="L339" s="362"/>
      <c r="M339" s="627"/>
      <c r="N339" s="1"/>
      <c r="O339" s="75"/>
      <c r="P339" s="1"/>
      <c r="Q339" s="1"/>
      <c r="R339" s="1"/>
      <c r="S339" s="1"/>
      <c r="T339" s="1"/>
      <c r="U339" s="1"/>
      <c r="V339" s="1"/>
      <c r="W339" s="1"/>
      <c r="X339" s="1"/>
      <c r="Y339" s="1"/>
      <c r="Z339" s="1"/>
    </row>
    <row r="340" spans="1:26" ht="15.75" customHeight="1">
      <c r="A340" s="292"/>
      <c r="B340" s="696"/>
      <c r="C340" s="242" t="s">
        <v>596</v>
      </c>
      <c r="D340" s="242" t="s">
        <v>616</v>
      </c>
      <c r="E340" s="242" t="s">
        <v>636</v>
      </c>
      <c r="F340" s="352">
        <v>9000000</v>
      </c>
      <c r="G340" s="242" t="s">
        <v>634</v>
      </c>
      <c r="H340" s="599">
        <v>1027</v>
      </c>
      <c r="I340" s="242" t="s">
        <v>639</v>
      </c>
      <c r="J340" s="750">
        <v>9243</v>
      </c>
      <c r="K340" s="639">
        <v>737.03880652743953</v>
      </c>
      <c r="L340" s="362">
        <v>7.8436197927716153E-3</v>
      </c>
      <c r="M340" s="627">
        <v>1.5948693578635618E-2</v>
      </c>
      <c r="N340" s="1"/>
      <c r="O340" s="75" t="s">
        <v>427</v>
      </c>
      <c r="P340" s="1"/>
      <c r="Q340" s="1"/>
      <c r="R340" s="1"/>
      <c r="S340" s="1"/>
      <c r="T340" s="1"/>
      <c r="U340" s="1"/>
      <c r="V340" s="1"/>
      <c r="W340" s="1"/>
      <c r="X340" s="1"/>
      <c r="Y340" s="1"/>
      <c r="Z340" s="1"/>
    </row>
    <row r="341" spans="1:26" ht="15.75" customHeight="1">
      <c r="A341" s="292"/>
      <c r="B341" s="500"/>
      <c r="C341" s="501"/>
      <c r="D341" s="501"/>
      <c r="E341" s="501"/>
      <c r="F341" s="366"/>
      <c r="G341" s="501"/>
      <c r="H341" s="708"/>
      <c r="I341" s="501"/>
      <c r="J341" s="752"/>
      <c r="K341" s="710"/>
      <c r="L341" s="367"/>
      <c r="M341" s="753"/>
      <c r="N341" s="1"/>
      <c r="O341" s="75"/>
      <c r="P341" s="1"/>
      <c r="Q341" s="1"/>
      <c r="R341" s="1"/>
      <c r="S341" s="1"/>
      <c r="T341" s="1"/>
      <c r="U341" s="1"/>
      <c r="V341" s="1"/>
      <c r="W341" s="1"/>
      <c r="X341" s="1"/>
      <c r="Y341" s="1"/>
      <c r="Z341" s="1"/>
    </row>
    <row r="342" spans="1:26" ht="15.75" customHeight="1">
      <c r="A342" s="292"/>
      <c r="B342" s="712" t="s">
        <v>465</v>
      </c>
      <c r="C342" s="274" t="s">
        <v>466</v>
      </c>
      <c r="D342" s="592"/>
      <c r="E342" s="592"/>
      <c r="F342" s="594"/>
      <c r="G342" s="592"/>
      <c r="H342" s="713"/>
      <c r="I342" s="592"/>
      <c r="J342" s="754"/>
      <c r="K342" s="715"/>
      <c r="L342" s="716"/>
      <c r="M342" s="755"/>
      <c r="N342" s="1"/>
      <c r="O342" s="75"/>
      <c r="P342" s="1"/>
      <c r="Q342" s="1"/>
      <c r="R342" s="1"/>
      <c r="S342" s="1"/>
      <c r="T342" s="1"/>
      <c r="U342" s="1"/>
      <c r="V342" s="1"/>
      <c r="W342" s="1"/>
      <c r="X342" s="1"/>
      <c r="Y342" s="1"/>
      <c r="Z342" s="1"/>
    </row>
    <row r="343" spans="1:26" ht="15.75" customHeight="1">
      <c r="A343" s="292"/>
      <c r="B343" s="696"/>
      <c r="C343" s="242" t="s">
        <v>467</v>
      </c>
      <c r="D343" s="242" t="s">
        <v>468</v>
      </c>
      <c r="E343" s="242" t="s">
        <v>310</v>
      </c>
      <c r="F343" s="352">
        <v>393000000</v>
      </c>
      <c r="G343" s="242" t="s">
        <v>634</v>
      </c>
      <c r="H343" s="599">
        <v>1027</v>
      </c>
      <c r="I343" s="242" t="s">
        <v>639</v>
      </c>
      <c r="J343" s="750">
        <v>403611</v>
      </c>
      <c r="K343" s="639">
        <v>26536.398017531566</v>
      </c>
      <c r="L343" s="362">
        <v>1.2524942549573961</v>
      </c>
      <c r="M343" s="627">
        <v>0.52736600208732465</v>
      </c>
      <c r="N343" s="1"/>
      <c r="O343" s="75" t="s">
        <v>427</v>
      </c>
      <c r="P343" s="1"/>
      <c r="Q343" s="1"/>
      <c r="R343" s="1"/>
      <c r="S343" s="1"/>
      <c r="T343" s="1"/>
      <c r="U343" s="1"/>
      <c r="V343" s="1"/>
      <c r="W343" s="1"/>
      <c r="X343" s="1"/>
      <c r="Y343" s="1"/>
      <c r="Z343" s="1"/>
    </row>
    <row r="344" spans="1:26" ht="15.75" customHeight="1">
      <c r="A344" s="292"/>
      <c r="B344" s="500"/>
      <c r="C344" s="501"/>
      <c r="D344" s="501"/>
      <c r="E344" s="501"/>
      <c r="F344" s="366"/>
      <c r="G344" s="501"/>
      <c r="H344" s="708"/>
      <c r="I344" s="501"/>
      <c r="J344" s="752"/>
      <c r="K344" s="710"/>
      <c r="L344" s="367"/>
      <c r="M344" s="753"/>
      <c r="N344" s="1"/>
      <c r="O344" s="75"/>
      <c r="P344" s="1"/>
      <c r="Q344" s="1"/>
      <c r="R344" s="1"/>
      <c r="S344" s="1"/>
      <c r="T344" s="1"/>
      <c r="U344" s="1"/>
      <c r="V344" s="1"/>
      <c r="W344" s="1"/>
      <c r="X344" s="1"/>
      <c r="Y344" s="1"/>
      <c r="Z344" s="1"/>
    </row>
    <row r="345" spans="1:26" ht="15.75" customHeight="1">
      <c r="A345" s="292"/>
      <c r="B345" s="712" t="s">
        <v>479</v>
      </c>
      <c r="C345" s="274" t="s">
        <v>480</v>
      </c>
      <c r="D345" s="592"/>
      <c r="E345" s="592"/>
      <c r="F345" s="594"/>
      <c r="G345" s="592"/>
      <c r="H345" s="713"/>
      <c r="I345" s="592"/>
      <c r="J345" s="754"/>
      <c r="K345" s="715"/>
      <c r="L345" s="716"/>
      <c r="M345" s="755"/>
      <c r="N345" s="1"/>
      <c r="O345" s="75"/>
      <c r="P345" s="1"/>
      <c r="Q345" s="1"/>
      <c r="R345" s="1"/>
      <c r="S345" s="1"/>
      <c r="T345" s="1"/>
      <c r="U345" s="1"/>
      <c r="V345" s="1"/>
      <c r="W345" s="1"/>
      <c r="X345" s="1"/>
      <c r="Y345" s="1"/>
      <c r="Z345" s="1"/>
    </row>
    <row r="346" spans="1:26" ht="15.75" customHeight="1">
      <c r="A346" s="292"/>
      <c r="B346" s="696"/>
      <c r="C346" s="242" t="s">
        <v>640</v>
      </c>
      <c r="D346" s="242" t="s">
        <v>641</v>
      </c>
      <c r="E346" s="242" t="s">
        <v>310</v>
      </c>
      <c r="F346" s="352">
        <v>20000000</v>
      </c>
      <c r="G346" s="242" t="s">
        <v>634</v>
      </c>
      <c r="H346" s="599">
        <v>1020</v>
      </c>
      <c r="I346" s="242" t="s">
        <v>642</v>
      </c>
      <c r="J346" s="750">
        <v>20400</v>
      </c>
      <c r="K346" s="639">
        <v>751</v>
      </c>
      <c r="L346" s="362">
        <v>8.6999999999999994E-2</v>
      </c>
      <c r="M346" s="627">
        <v>0.03</v>
      </c>
      <c r="N346" s="1"/>
      <c r="O346" s="75" t="s">
        <v>427</v>
      </c>
      <c r="P346" s="1"/>
      <c r="Q346" s="1"/>
      <c r="R346" s="1"/>
      <c r="S346" s="1"/>
      <c r="T346" s="1"/>
      <c r="U346" s="1"/>
      <c r="V346" s="1"/>
      <c r="W346" s="1"/>
      <c r="X346" s="1"/>
      <c r="Y346" s="1"/>
      <c r="Z346" s="1"/>
    </row>
    <row r="347" spans="1:26" ht="15.75" customHeight="1">
      <c r="A347" s="292"/>
      <c r="B347" s="696"/>
      <c r="C347" s="242"/>
      <c r="D347" s="242"/>
      <c r="E347" s="242"/>
      <c r="F347" s="352"/>
      <c r="G347" s="242"/>
      <c r="H347" s="599"/>
      <c r="I347" s="242"/>
      <c r="J347" s="750"/>
      <c r="K347" s="639"/>
      <c r="L347" s="362"/>
      <c r="M347" s="627"/>
      <c r="N347" s="1"/>
      <c r="O347" s="75"/>
      <c r="P347" s="1"/>
      <c r="Q347" s="1"/>
      <c r="R347" s="1"/>
      <c r="S347" s="1"/>
      <c r="T347" s="1"/>
      <c r="U347" s="1"/>
      <c r="V347" s="1"/>
      <c r="W347" s="1"/>
      <c r="X347" s="1"/>
      <c r="Y347" s="1"/>
      <c r="Z347" s="1"/>
    </row>
    <row r="348" spans="1:26" ht="15.75" customHeight="1">
      <c r="A348" s="292"/>
      <c r="B348" s="696"/>
      <c r="C348" s="242" t="s">
        <v>643</v>
      </c>
      <c r="D348" s="242" t="s">
        <v>644</v>
      </c>
      <c r="E348" s="242" t="s">
        <v>310</v>
      </c>
      <c r="F348" s="352">
        <v>220000000</v>
      </c>
      <c r="G348" s="242" t="s">
        <v>634</v>
      </c>
      <c r="H348" s="599">
        <v>1020</v>
      </c>
      <c r="I348" s="242" t="s">
        <v>642</v>
      </c>
      <c r="J348" s="750">
        <v>224400</v>
      </c>
      <c r="K348" s="639">
        <v>13289</v>
      </c>
      <c r="L348" s="362">
        <v>0.252</v>
      </c>
      <c r="M348" s="627">
        <v>0.24</v>
      </c>
      <c r="N348" s="1"/>
      <c r="O348" s="75" t="s">
        <v>427</v>
      </c>
      <c r="P348" s="1"/>
      <c r="Q348" s="1"/>
      <c r="R348" s="1"/>
      <c r="S348" s="1"/>
      <c r="T348" s="1"/>
      <c r="U348" s="1"/>
      <c r="V348" s="1"/>
      <c r="W348" s="1"/>
      <c r="X348" s="1"/>
      <c r="Y348" s="1"/>
      <c r="Z348" s="1"/>
    </row>
    <row r="349" spans="1:26" ht="15.75" customHeight="1">
      <c r="A349" s="292"/>
      <c r="B349" s="500"/>
      <c r="C349" s="501"/>
      <c r="D349" s="501"/>
      <c r="E349" s="501"/>
      <c r="F349" s="366"/>
      <c r="G349" s="501"/>
      <c r="H349" s="708"/>
      <c r="I349" s="501"/>
      <c r="J349" s="752"/>
      <c r="K349" s="710"/>
      <c r="L349" s="367"/>
      <c r="M349" s="753"/>
      <c r="N349" s="1"/>
      <c r="O349" s="75"/>
      <c r="P349" s="1"/>
      <c r="Q349" s="1"/>
      <c r="R349" s="1"/>
      <c r="S349" s="1"/>
      <c r="T349" s="1"/>
      <c r="U349" s="1"/>
      <c r="V349" s="1"/>
      <c r="W349" s="1"/>
      <c r="X349" s="1"/>
      <c r="Y349" s="1"/>
      <c r="Z349" s="1"/>
    </row>
    <row r="350" spans="1:26" ht="15.75" customHeight="1">
      <c r="A350" s="292"/>
      <c r="B350" s="712" t="s">
        <v>645</v>
      </c>
      <c r="C350" s="274" t="s">
        <v>646</v>
      </c>
      <c r="D350" s="592"/>
      <c r="E350" s="592"/>
      <c r="F350" s="594"/>
      <c r="G350" s="592"/>
      <c r="H350" s="713"/>
      <c r="I350" s="592"/>
      <c r="J350" s="754"/>
      <c r="K350" s="715"/>
      <c r="L350" s="716"/>
      <c r="M350" s="755"/>
      <c r="N350" s="1"/>
      <c r="O350" s="75"/>
      <c r="P350" s="1"/>
      <c r="Q350" s="1"/>
      <c r="R350" s="1"/>
      <c r="S350" s="1"/>
      <c r="T350" s="1"/>
      <c r="U350" s="1"/>
      <c r="V350" s="1"/>
      <c r="W350" s="1"/>
      <c r="X350" s="1"/>
      <c r="Y350" s="1"/>
      <c r="Z350" s="1"/>
    </row>
    <row r="351" spans="1:26" ht="15.75" customHeight="1">
      <c r="A351" s="292"/>
      <c r="B351" s="696"/>
      <c r="C351" s="242" t="s">
        <v>647</v>
      </c>
      <c r="D351" s="242" t="s">
        <v>648</v>
      </c>
      <c r="E351" s="242" t="s">
        <v>310</v>
      </c>
      <c r="F351" s="352">
        <v>8000000</v>
      </c>
      <c r="G351" s="242" t="s">
        <v>634</v>
      </c>
      <c r="H351" s="599">
        <v>1027</v>
      </c>
      <c r="I351" s="242" t="s">
        <v>642</v>
      </c>
      <c r="J351" s="750">
        <v>8216</v>
      </c>
      <c r="K351" s="639">
        <v>410</v>
      </c>
      <c r="L351" s="362">
        <v>0.03</v>
      </c>
      <c r="M351" s="627">
        <v>0.01</v>
      </c>
      <c r="N351" s="1"/>
      <c r="O351" s="75" t="s">
        <v>427</v>
      </c>
      <c r="P351" s="1"/>
      <c r="Q351" s="1"/>
      <c r="R351" s="1"/>
      <c r="S351" s="1"/>
      <c r="T351" s="1"/>
      <c r="U351" s="1"/>
      <c r="V351" s="1"/>
      <c r="W351" s="1"/>
      <c r="X351" s="1"/>
      <c r="Y351" s="1"/>
      <c r="Z351" s="1"/>
    </row>
    <row r="352" spans="1:26" ht="15.75" customHeight="1">
      <c r="A352" s="292"/>
      <c r="B352" s="500"/>
      <c r="C352" s="501"/>
      <c r="D352" s="501"/>
      <c r="E352" s="501"/>
      <c r="F352" s="366"/>
      <c r="G352" s="501"/>
      <c r="H352" s="708"/>
      <c r="I352" s="501"/>
      <c r="J352" s="752"/>
      <c r="K352" s="710"/>
      <c r="L352" s="367"/>
      <c r="M352" s="753"/>
      <c r="N352" s="1"/>
      <c r="O352" s="75"/>
      <c r="P352" s="1"/>
      <c r="Q352" s="1"/>
      <c r="R352" s="1"/>
      <c r="S352" s="1"/>
      <c r="T352" s="1"/>
      <c r="U352" s="1"/>
      <c r="V352" s="1"/>
      <c r="W352" s="1"/>
      <c r="X352" s="1"/>
      <c r="Y352" s="1"/>
      <c r="Z352" s="1"/>
    </row>
    <row r="353" spans="1:26" ht="15.75" customHeight="1">
      <c r="A353" s="292"/>
      <c r="B353" s="712" t="s">
        <v>496</v>
      </c>
      <c r="C353" s="274" t="s">
        <v>497</v>
      </c>
      <c r="D353" s="592"/>
      <c r="E353" s="592"/>
      <c r="F353" s="594"/>
      <c r="G353" s="592"/>
      <c r="H353" s="713"/>
      <c r="I353" s="592"/>
      <c r="J353" s="754"/>
      <c r="K353" s="715"/>
      <c r="L353" s="716"/>
      <c r="M353" s="755"/>
      <c r="N353" s="1"/>
      <c r="O353" s="75"/>
      <c r="P353" s="1"/>
      <c r="Q353" s="1"/>
      <c r="R353" s="1"/>
      <c r="S353" s="1"/>
      <c r="T353" s="1"/>
      <c r="U353" s="1"/>
      <c r="V353" s="1"/>
      <c r="W353" s="1"/>
      <c r="X353" s="1"/>
      <c r="Y353" s="1"/>
      <c r="Z353" s="1"/>
    </row>
    <row r="354" spans="1:26" ht="15.75" customHeight="1">
      <c r="A354" s="292"/>
      <c r="B354" s="696"/>
      <c r="C354" s="242" t="s">
        <v>498</v>
      </c>
      <c r="D354" s="242" t="s">
        <v>499</v>
      </c>
      <c r="E354" s="242" t="s">
        <v>310</v>
      </c>
      <c r="F354" s="352">
        <v>150625</v>
      </c>
      <c r="G354" s="242" t="s">
        <v>634</v>
      </c>
      <c r="H354" s="599">
        <v>1032</v>
      </c>
      <c r="I354" s="242" t="s">
        <v>642</v>
      </c>
      <c r="J354" s="750">
        <v>155445</v>
      </c>
      <c r="K354" s="639">
        <v>7682.9804922914709</v>
      </c>
      <c r="L354" s="362">
        <v>0.62769448466433575</v>
      </c>
      <c r="M354" s="627">
        <v>0.26901192199900104</v>
      </c>
      <c r="N354" s="1"/>
      <c r="O354" s="75" t="s">
        <v>427</v>
      </c>
      <c r="P354" s="1"/>
      <c r="Q354" s="1"/>
      <c r="R354" s="1"/>
      <c r="S354" s="1"/>
      <c r="T354" s="1"/>
      <c r="U354" s="1"/>
      <c r="V354" s="1"/>
      <c r="W354" s="1"/>
      <c r="X354" s="1"/>
      <c r="Y354" s="1"/>
      <c r="Z354" s="1"/>
    </row>
    <row r="355" spans="1:26" ht="15.75" customHeight="1">
      <c r="A355" s="292"/>
      <c r="B355" s="696"/>
      <c r="C355" s="242"/>
      <c r="D355" s="242"/>
      <c r="E355" s="242"/>
      <c r="F355" s="352"/>
      <c r="G355" s="242"/>
      <c r="H355" s="599"/>
      <c r="I355" s="242"/>
      <c r="J355" s="750"/>
      <c r="K355" s="639"/>
      <c r="L355" s="362"/>
      <c r="M355" s="627"/>
      <c r="N355" s="1"/>
      <c r="O355" s="75"/>
      <c r="P355" s="1"/>
      <c r="Q355" s="1"/>
      <c r="R355" s="1"/>
      <c r="S355" s="1"/>
      <c r="T355" s="1"/>
      <c r="U355" s="1"/>
      <c r="V355" s="1"/>
      <c r="W355" s="1"/>
      <c r="X355" s="1"/>
      <c r="Y355" s="1"/>
      <c r="Z355" s="1"/>
    </row>
    <row r="356" spans="1:26" ht="15.75" customHeight="1">
      <c r="A356" s="292"/>
      <c r="B356" s="696"/>
      <c r="C356" s="242" t="s">
        <v>500</v>
      </c>
      <c r="D356" s="242" t="s">
        <v>501</v>
      </c>
      <c r="E356" s="242" t="s">
        <v>310</v>
      </c>
      <c r="F356" s="352">
        <v>206653</v>
      </c>
      <c r="G356" s="242" t="s">
        <v>634</v>
      </c>
      <c r="H356" s="599">
        <v>1032</v>
      </c>
      <c r="I356" s="242" t="s">
        <v>642</v>
      </c>
      <c r="J356" s="750">
        <v>213265.89600000001</v>
      </c>
      <c r="K356" s="639">
        <v>10136.750086008988</v>
      </c>
      <c r="L356" s="362">
        <v>0.83575257213339038</v>
      </c>
      <c r="M356" s="627">
        <v>0.37144558761484014</v>
      </c>
      <c r="N356" s="1"/>
      <c r="O356" s="75" t="s">
        <v>427</v>
      </c>
      <c r="P356" s="1"/>
      <c r="Q356" s="1"/>
      <c r="R356" s="1"/>
      <c r="S356" s="1"/>
      <c r="T356" s="1"/>
      <c r="U356" s="1"/>
      <c r="V356" s="1"/>
      <c r="W356" s="1"/>
      <c r="X356" s="1"/>
      <c r="Y356" s="1"/>
      <c r="Z356" s="1"/>
    </row>
    <row r="357" spans="1:26" ht="15.75" customHeight="1">
      <c r="A357" s="292"/>
      <c r="B357" s="500"/>
      <c r="C357" s="501"/>
      <c r="D357" s="501"/>
      <c r="E357" s="501"/>
      <c r="F357" s="366"/>
      <c r="G357" s="501"/>
      <c r="H357" s="708"/>
      <c r="I357" s="501"/>
      <c r="J357" s="752"/>
      <c r="K357" s="710"/>
      <c r="L357" s="367"/>
      <c r="M357" s="753"/>
      <c r="N357" s="1"/>
      <c r="O357" s="75"/>
      <c r="P357" s="1"/>
      <c r="Q357" s="1"/>
      <c r="R357" s="1"/>
      <c r="S357" s="1"/>
      <c r="T357" s="1"/>
      <c r="U357" s="1"/>
      <c r="V357" s="1"/>
      <c r="W357" s="1"/>
      <c r="X357" s="1"/>
      <c r="Y357" s="1"/>
      <c r="Z357" s="1"/>
    </row>
    <row r="358" spans="1:26" ht="15.75" customHeight="1">
      <c r="A358" s="292"/>
      <c r="B358" s="712" t="s">
        <v>518</v>
      </c>
      <c r="C358" s="274" t="s">
        <v>519</v>
      </c>
      <c r="D358" s="592"/>
      <c r="E358" s="592"/>
      <c r="F358" s="594"/>
      <c r="G358" s="592"/>
      <c r="H358" s="713"/>
      <c r="I358" s="592"/>
      <c r="J358" s="754"/>
      <c r="K358" s="715"/>
      <c r="L358" s="716"/>
      <c r="M358" s="755"/>
      <c r="N358" s="1"/>
      <c r="O358" s="75"/>
      <c r="P358" s="1"/>
      <c r="Q358" s="1"/>
      <c r="R358" s="1"/>
      <c r="S358" s="1"/>
      <c r="T358" s="1"/>
      <c r="U358" s="1"/>
      <c r="V358" s="1"/>
      <c r="W358" s="1"/>
      <c r="X358" s="1"/>
      <c r="Y358" s="1"/>
      <c r="Z358" s="1"/>
    </row>
    <row r="359" spans="1:26" ht="15.75" customHeight="1">
      <c r="A359" s="292"/>
      <c r="B359" s="696"/>
      <c r="C359" s="242" t="s">
        <v>520</v>
      </c>
      <c r="D359" s="242">
        <v>1</v>
      </c>
      <c r="E359" s="242" t="s">
        <v>295</v>
      </c>
      <c r="F359" s="352">
        <v>2250113.0269999998</v>
      </c>
      <c r="G359" s="242" t="s">
        <v>634</v>
      </c>
      <c r="H359" s="599">
        <v>1044</v>
      </c>
      <c r="I359" s="242" t="s">
        <v>649</v>
      </c>
      <c r="J359" s="750">
        <v>2349118.000188</v>
      </c>
      <c r="K359" s="639">
        <v>139938.30264075581</v>
      </c>
      <c r="L359" s="362">
        <v>10.034125791914024</v>
      </c>
      <c r="M359" s="627">
        <v>3.4771723041286222</v>
      </c>
      <c r="N359" s="1"/>
      <c r="O359" s="75" t="s">
        <v>427</v>
      </c>
      <c r="P359" s="1"/>
      <c r="Q359" s="1"/>
      <c r="R359" s="1"/>
      <c r="S359" s="1"/>
      <c r="T359" s="1"/>
      <c r="U359" s="1"/>
      <c r="V359" s="1"/>
      <c r="W359" s="1"/>
      <c r="X359" s="1"/>
      <c r="Y359" s="1"/>
      <c r="Z359" s="1"/>
    </row>
    <row r="360" spans="1:26" ht="15.75" customHeight="1">
      <c r="A360" s="292"/>
      <c r="B360" s="696"/>
      <c r="C360" s="242"/>
      <c r="D360" s="242"/>
      <c r="E360" s="242"/>
      <c r="F360" s="352"/>
      <c r="G360" s="242"/>
      <c r="H360" s="599"/>
      <c r="I360" s="242"/>
      <c r="J360" s="750"/>
      <c r="K360" s="639"/>
      <c r="L360" s="362"/>
      <c r="M360" s="627"/>
      <c r="N360" s="1"/>
      <c r="O360" s="75"/>
      <c r="P360" s="1"/>
      <c r="Q360" s="1"/>
      <c r="R360" s="1"/>
      <c r="S360" s="1"/>
      <c r="T360" s="1"/>
      <c r="U360" s="1"/>
      <c r="V360" s="1"/>
      <c r="W360" s="1"/>
      <c r="X360" s="1"/>
      <c r="Y360" s="1"/>
      <c r="Z360" s="1"/>
    </row>
    <row r="361" spans="1:26" ht="15.75" customHeight="1">
      <c r="A361" s="292"/>
      <c r="B361" s="696"/>
      <c r="C361" s="242" t="s">
        <v>522</v>
      </c>
      <c r="D361" s="242">
        <v>2</v>
      </c>
      <c r="E361" s="242" t="s">
        <v>295</v>
      </c>
      <c r="F361" s="352">
        <v>2074000</v>
      </c>
      <c r="G361" s="242" t="s">
        <v>634</v>
      </c>
      <c r="H361" s="599">
        <v>1044</v>
      </c>
      <c r="I361" s="242" t="s">
        <v>650</v>
      </c>
      <c r="J361" s="750">
        <v>2165256</v>
      </c>
      <c r="K361" s="639">
        <v>129014.23319592261</v>
      </c>
      <c r="L361" s="362">
        <v>9.2336704252089827</v>
      </c>
      <c r="M361" s="627">
        <v>3.1771769205020153</v>
      </c>
      <c r="N361" s="1"/>
      <c r="O361" s="75" t="s">
        <v>427</v>
      </c>
      <c r="P361" s="1"/>
      <c r="Q361" s="1"/>
      <c r="R361" s="1"/>
      <c r="S361" s="1"/>
      <c r="T361" s="1"/>
      <c r="U361" s="1"/>
      <c r="V361" s="1"/>
      <c r="W361" s="1"/>
      <c r="X361" s="1"/>
      <c r="Y361" s="1"/>
      <c r="Z361" s="1"/>
    </row>
    <row r="362" spans="1:26" ht="15.75" customHeight="1">
      <c r="A362" s="292"/>
      <c r="B362" s="500"/>
      <c r="C362" s="501"/>
      <c r="D362" s="501"/>
      <c r="E362" s="501"/>
      <c r="F362" s="366"/>
      <c r="G362" s="501"/>
      <c r="H362" s="708"/>
      <c r="I362" s="501"/>
      <c r="J362" s="752"/>
      <c r="K362" s="710"/>
      <c r="L362" s="367"/>
      <c r="M362" s="753"/>
      <c r="N362" s="1"/>
      <c r="O362" s="75"/>
      <c r="P362" s="1"/>
      <c r="Q362" s="1"/>
      <c r="R362" s="1"/>
      <c r="S362" s="1"/>
      <c r="T362" s="1"/>
      <c r="U362" s="1"/>
      <c r="V362" s="1"/>
      <c r="W362" s="1"/>
      <c r="X362" s="1"/>
      <c r="Y362" s="1"/>
      <c r="Z362" s="1"/>
    </row>
    <row r="363" spans="1:26" ht="15.75" customHeight="1">
      <c r="A363" s="292"/>
      <c r="B363" s="712" t="s">
        <v>651</v>
      </c>
      <c r="C363" s="274" t="s">
        <v>652</v>
      </c>
      <c r="D363" s="592"/>
      <c r="E363" s="592"/>
      <c r="F363" s="594"/>
      <c r="G363" s="592"/>
      <c r="H363" s="713"/>
      <c r="I363" s="592"/>
      <c r="J363" s="754"/>
      <c r="K363" s="715"/>
      <c r="L363" s="716"/>
      <c r="M363" s="755"/>
      <c r="N363" s="1"/>
      <c r="O363" s="75"/>
      <c r="P363" s="1"/>
      <c r="Q363" s="1"/>
      <c r="R363" s="1"/>
      <c r="S363" s="1"/>
      <c r="T363" s="1"/>
      <c r="U363" s="1"/>
      <c r="V363" s="1"/>
      <c r="W363" s="1"/>
      <c r="X363" s="1"/>
      <c r="Y363" s="1"/>
      <c r="Z363" s="1"/>
    </row>
    <row r="364" spans="1:26" ht="15.75" customHeight="1">
      <c r="A364" s="292"/>
      <c r="B364" s="696"/>
      <c r="C364" s="242" t="s">
        <v>647</v>
      </c>
      <c r="D364" s="242" t="s">
        <v>470</v>
      </c>
      <c r="E364" s="242" t="s">
        <v>310</v>
      </c>
      <c r="F364" s="352">
        <v>36000000</v>
      </c>
      <c r="G364" s="242" t="s">
        <v>634</v>
      </c>
      <c r="H364" s="599">
        <v>1027</v>
      </c>
      <c r="I364" s="242" t="s">
        <v>653</v>
      </c>
      <c r="J364" s="750">
        <v>36972</v>
      </c>
      <c r="K364" s="639">
        <v>2018</v>
      </c>
      <c r="L364" s="362">
        <v>0.16</v>
      </c>
      <c r="M364" s="627">
        <v>0.06</v>
      </c>
      <c r="N364" s="1"/>
      <c r="O364" s="75" t="s">
        <v>427</v>
      </c>
      <c r="P364" s="1"/>
      <c r="Q364" s="1"/>
      <c r="R364" s="1"/>
      <c r="S364" s="1"/>
      <c r="T364" s="1"/>
      <c r="U364" s="1"/>
      <c r="V364" s="1"/>
      <c r="W364" s="1"/>
      <c r="X364" s="1"/>
      <c r="Y364" s="1"/>
      <c r="Z364" s="1"/>
    </row>
    <row r="365" spans="1:26" ht="15.75" customHeight="1">
      <c r="A365" s="292"/>
      <c r="B365" s="696"/>
      <c r="C365" s="242" t="s">
        <v>654</v>
      </c>
      <c r="D365" s="242" t="s">
        <v>472</v>
      </c>
      <c r="E365" s="242" t="s">
        <v>310</v>
      </c>
      <c r="F365" s="352">
        <v>45000000</v>
      </c>
      <c r="G365" s="242" t="s">
        <v>634</v>
      </c>
      <c r="H365" s="599">
        <v>1027</v>
      </c>
      <c r="I365" s="242" t="s">
        <v>653</v>
      </c>
      <c r="J365" s="750">
        <v>46215</v>
      </c>
      <c r="K365" s="639">
        <v>2565</v>
      </c>
      <c r="L365" s="362">
        <v>0.2</v>
      </c>
      <c r="M365" s="627">
        <v>7.0000000000000007E-2</v>
      </c>
      <c r="N365" s="1"/>
      <c r="O365" s="75" t="s">
        <v>427</v>
      </c>
      <c r="P365" s="1"/>
      <c r="Q365" s="1"/>
      <c r="R365" s="1"/>
      <c r="S365" s="1"/>
      <c r="T365" s="1"/>
      <c r="U365" s="1"/>
      <c r="V365" s="1"/>
      <c r="W365" s="1"/>
      <c r="X365" s="1"/>
      <c r="Y365" s="1"/>
      <c r="Z365" s="1"/>
    </row>
    <row r="366" spans="1:26" ht="15.75" customHeight="1">
      <c r="A366" s="292"/>
      <c r="B366" s="696"/>
      <c r="C366" s="242" t="s">
        <v>655</v>
      </c>
      <c r="D366" s="242" t="s">
        <v>474</v>
      </c>
      <c r="E366" s="242" t="s">
        <v>310</v>
      </c>
      <c r="F366" s="352">
        <v>42000000</v>
      </c>
      <c r="G366" s="242" t="s">
        <v>656</v>
      </c>
      <c r="H366" s="599">
        <v>1027</v>
      </c>
      <c r="I366" s="242" t="s">
        <v>653</v>
      </c>
      <c r="J366" s="750">
        <v>43134</v>
      </c>
      <c r="K366" s="639">
        <v>2382</v>
      </c>
      <c r="L366" s="362">
        <v>0.19</v>
      </c>
      <c r="M366" s="627">
        <v>0.06</v>
      </c>
      <c r="N366" s="1"/>
      <c r="O366" s="75" t="s">
        <v>427</v>
      </c>
      <c r="P366" s="1"/>
      <c r="Q366" s="1"/>
      <c r="R366" s="1"/>
      <c r="S366" s="1"/>
      <c r="T366" s="1"/>
      <c r="U366" s="1"/>
      <c r="V366" s="1"/>
      <c r="W366" s="1"/>
      <c r="X366" s="1"/>
      <c r="Y366" s="1"/>
      <c r="Z366" s="1"/>
    </row>
    <row r="367" spans="1:26" ht="15.75" customHeight="1">
      <c r="A367" s="292"/>
      <c r="B367" s="696"/>
      <c r="C367" s="242" t="s">
        <v>657</v>
      </c>
      <c r="D367" s="242" t="s">
        <v>476</v>
      </c>
      <c r="E367" s="242" t="s">
        <v>310</v>
      </c>
      <c r="F367" s="352">
        <v>50000000</v>
      </c>
      <c r="G367" s="242" t="s">
        <v>634</v>
      </c>
      <c r="H367" s="599">
        <v>1027</v>
      </c>
      <c r="I367" s="242" t="s">
        <v>653</v>
      </c>
      <c r="J367" s="760" t="s">
        <v>658</v>
      </c>
      <c r="K367" s="639">
        <v>2811</v>
      </c>
      <c r="L367" s="362">
        <v>0.22</v>
      </c>
      <c r="M367" s="627">
        <v>0.08</v>
      </c>
      <c r="N367" s="1"/>
      <c r="O367" s="75" t="s">
        <v>427</v>
      </c>
      <c r="P367" s="1"/>
      <c r="Q367" s="1"/>
      <c r="R367" s="1"/>
      <c r="S367" s="1"/>
      <c r="T367" s="1"/>
      <c r="U367" s="1"/>
      <c r="V367" s="1"/>
      <c r="W367" s="1"/>
      <c r="X367" s="1"/>
      <c r="Y367" s="1"/>
      <c r="Z367" s="1"/>
    </row>
    <row r="368" spans="1:26" ht="15.75" customHeight="1">
      <c r="A368" s="292"/>
      <c r="B368" s="696"/>
      <c r="C368" s="242" t="s">
        <v>659</v>
      </c>
      <c r="D368" s="242" t="s">
        <v>660</v>
      </c>
      <c r="E368" s="242" t="s">
        <v>310</v>
      </c>
      <c r="F368" s="352">
        <v>41000000</v>
      </c>
      <c r="G368" s="242" t="s">
        <v>656</v>
      </c>
      <c r="H368" s="599">
        <v>1027</v>
      </c>
      <c r="I368" s="242" t="s">
        <v>653</v>
      </c>
      <c r="J368" s="750">
        <v>42107</v>
      </c>
      <c r="K368" s="639">
        <v>2300</v>
      </c>
      <c r="L368" s="362">
        <v>0.18</v>
      </c>
      <c r="M368" s="627">
        <v>0.06</v>
      </c>
      <c r="N368" s="1"/>
      <c r="O368" s="75" t="s">
        <v>427</v>
      </c>
      <c r="P368" s="1"/>
      <c r="Q368" s="1"/>
      <c r="R368" s="1"/>
      <c r="S368" s="1"/>
      <c r="T368" s="1"/>
      <c r="U368" s="1"/>
      <c r="V368" s="1"/>
      <c r="W368" s="1"/>
      <c r="X368" s="1"/>
      <c r="Y368" s="1"/>
      <c r="Z368" s="1"/>
    </row>
    <row r="369" spans="1:26" ht="15.75" customHeight="1">
      <c r="A369" s="292"/>
      <c r="B369" s="696"/>
      <c r="C369" s="242" t="s">
        <v>661</v>
      </c>
      <c r="D369" s="242" t="s">
        <v>662</v>
      </c>
      <c r="E369" s="242" t="s">
        <v>310</v>
      </c>
      <c r="F369" s="352">
        <v>55000000</v>
      </c>
      <c r="G369" s="242" t="s">
        <v>634</v>
      </c>
      <c r="H369" s="599">
        <v>1027</v>
      </c>
      <c r="I369" s="242" t="s">
        <v>653</v>
      </c>
      <c r="J369" s="750">
        <v>56485</v>
      </c>
      <c r="K369" s="639">
        <v>3087</v>
      </c>
      <c r="L369" s="362">
        <v>0.24</v>
      </c>
      <c r="M369" s="627">
        <v>0.08</v>
      </c>
      <c r="N369" s="1"/>
      <c r="O369" s="75" t="s">
        <v>427</v>
      </c>
      <c r="P369" s="1"/>
      <c r="Q369" s="1"/>
      <c r="R369" s="1"/>
      <c r="S369" s="1"/>
      <c r="T369" s="1"/>
      <c r="U369" s="1"/>
      <c r="V369" s="1"/>
      <c r="W369" s="1"/>
      <c r="X369" s="1"/>
      <c r="Y369" s="1"/>
      <c r="Z369" s="1"/>
    </row>
    <row r="370" spans="1:26" ht="15.75" customHeight="1">
      <c r="A370" s="292"/>
      <c r="B370" s="696"/>
      <c r="C370" s="242" t="s">
        <v>663</v>
      </c>
      <c r="D370" s="242" t="s">
        <v>664</v>
      </c>
      <c r="E370" s="242" t="s">
        <v>310</v>
      </c>
      <c r="F370" s="352">
        <v>46000000</v>
      </c>
      <c r="G370" s="242" t="s">
        <v>634</v>
      </c>
      <c r="H370" s="599">
        <v>1027</v>
      </c>
      <c r="I370" s="242" t="s">
        <v>653</v>
      </c>
      <c r="J370" s="750">
        <v>47242</v>
      </c>
      <c r="K370" s="639">
        <v>2584</v>
      </c>
      <c r="L370" s="362">
        <v>0.2</v>
      </c>
      <c r="M370" s="627">
        <v>7.0000000000000007E-2</v>
      </c>
      <c r="N370" s="1"/>
      <c r="O370" s="75" t="s">
        <v>427</v>
      </c>
      <c r="P370" s="1"/>
      <c r="Q370" s="1"/>
      <c r="R370" s="1"/>
      <c r="S370" s="1"/>
      <c r="T370" s="1"/>
      <c r="U370" s="1"/>
      <c r="V370" s="1"/>
      <c r="W370" s="1"/>
      <c r="X370" s="1"/>
      <c r="Y370" s="1"/>
      <c r="Z370" s="1"/>
    </row>
    <row r="371" spans="1:26" ht="15.75" customHeight="1">
      <c r="A371" s="292"/>
      <c r="B371" s="696"/>
      <c r="C371" s="242" t="s">
        <v>665</v>
      </c>
      <c r="D371" s="242" t="s">
        <v>666</v>
      </c>
      <c r="E371" s="242" t="s">
        <v>310</v>
      </c>
      <c r="F371" s="567">
        <v>29350000</v>
      </c>
      <c r="G371" s="242" t="s">
        <v>634</v>
      </c>
      <c r="H371" s="599">
        <v>1027</v>
      </c>
      <c r="I371" s="242" t="s">
        <v>653</v>
      </c>
      <c r="J371" s="761">
        <v>30142</v>
      </c>
      <c r="K371" s="639">
        <v>2229</v>
      </c>
      <c r="L371" s="362">
        <v>0.17</v>
      </c>
      <c r="M371" s="627">
        <v>0.06</v>
      </c>
      <c r="N371" s="1"/>
      <c r="O371" s="75" t="s">
        <v>427</v>
      </c>
      <c r="P371" s="1"/>
      <c r="Q371" s="1"/>
      <c r="R371" s="1"/>
      <c r="S371" s="1"/>
      <c r="T371" s="1"/>
      <c r="U371" s="1"/>
      <c r="V371" s="1"/>
      <c r="W371" s="1"/>
      <c r="X371" s="1"/>
      <c r="Y371" s="1"/>
      <c r="Z371" s="1"/>
    </row>
    <row r="372" spans="1:26" ht="15.75" customHeight="1">
      <c r="A372" s="292"/>
      <c r="B372" s="500"/>
      <c r="C372" s="501"/>
      <c r="D372" s="501"/>
      <c r="E372" s="501"/>
      <c r="F372" s="366"/>
      <c r="G372" s="501"/>
      <c r="H372" s="708"/>
      <c r="I372" s="501"/>
      <c r="J372" s="752"/>
      <c r="K372" s="710"/>
      <c r="L372" s="367"/>
      <c r="M372" s="753"/>
      <c r="N372" s="1"/>
      <c r="O372" s="75"/>
      <c r="P372" s="1"/>
      <c r="Q372" s="1"/>
      <c r="R372" s="1"/>
      <c r="S372" s="1"/>
      <c r="T372" s="1"/>
      <c r="U372" s="1"/>
      <c r="V372" s="1"/>
      <c r="W372" s="1"/>
      <c r="X372" s="1"/>
      <c r="Y372" s="1"/>
      <c r="Z372" s="1"/>
    </row>
    <row r="373" spans="1:26" ht="15.75" customHeight="1">
      <c r="A373" s="292"/>
      <c r="B373" s="712" t="s">
        <v>667</v>
      </c>
      <c r="C373" s="274" t="s">
        <v>668</v>
      </c>
      <c r="D373" s="592"/>
      <c r="E373" s="592"/>
      <c r="F373" s="594"/>
      <c r="G373" s="592"/>
      <c r="H373" s="713"/>
      <c r="I373" s="592"/>
      <c r="J373" s="754"/>
      <c r="K373" s="715"/>
      <c r="L373" s="716"/>
      <c r="M373" s="755"/>
      <c r="N373" s="1"/>
      <c r="O373" s="75"/>
      <c r="P373" s="1"/>
      <c r="Q373" s="1"/>
      <c r="R373" s="1"/>
      <c r="S373" s="1"/>
      <c r="T373" s="1"/>
      <c r="U373" s="1"/>
      <c r="V373" s="1"/>
      <c r="W373" s="1"/>
      <c r="X373" s="1"/>
      <c r="Y373" s="1"/>
      <c r="Z373" s="1"/>
    </row>
    <row r="374" spans="1:26" ht="15.75" customHeight="1">
      <c r="A374" s="292"/>
      <c r="B374" s="696"/>
      <c r="C374" s="242" t="s">
        <v>669</v>
      </c>
      <c r="D374" s="242" t="s">
        <v>670</v>
      </c>
      <c r="E374" s="242" t="s">
        <v>295</v>
      </c>
      <c r="F374" s="352">
        <v>596422</v>
      </c>
      <c r="G374" s="242" t="s">
        <v>634</v>
      </c>
      <c r="H374" s="599">
        <v>1036</v>
      </c>
      <c r="I374" s="242" t="s">
        <v>650</v>
      </c>
      <c r="J374" s="750">
        <v>617893</v>
      </c>
      <c r="K374" s="639">
        <v>36721.1</v>
      </c>
      <c r="L374" s="362">
        <v>1.08</v>
      </c>
      <c r="M374" s="627">
        <v>0.11</v>
      </c>
      <c r="N374" s="1"/>
      <c r="O374" s="75" t="s">
        <v>427</v>
      </c>
      <c r="P374" s="1"/>
      <c r="Q374" s="1"/>
      <c r="R374" s="1"/>
      <c r="S374" s="1"/>
      <c r="T374" s="1"/>
      <c r="U374" s="1"/>
      <c r="V374" s="1"/>
      <c r="W374" s="1"/>
      <c r="X374" s="1"/>
      <c r="Y374" s="1"/>
      <c r="Z374" s="1"/>
    </row>
    <row r="375" spans="1:26" ht="15.75" customHeight="1">
      <c r="A375" s="292"/>
      <c r="B375" s="696"/>
      <c r="C375" s="242" t="s">
        <v>671</v>
      </c>
      <c r="D375" s="242" t="s">
        <v>672</v>
      </c>
      <c r="E375" s="242" t="s">
        <v>295</v>
      </c>
      <c r="F375" s="352">
        <v>617412</v>
      </c>
      <c r="G375" s="242" t="s">
        <v>634</v>
      </c>
      <c r="H375" s="599">
        <v>1036</v>
      </c>
      <c r="I375" s="242" t="s">
        <v>650</v>
      </c>
      <c r="J375" s="750">
        <v>639639</v>
      </c>
      <c r="K375" s="639">
        <v>38013.599999999999</v>
      </c>
      <c r="L375" s="362">
        <v>1.0900000000000001</v>
      </c>
      <c r="M375" s="627">
        <v>0.11</v>
      </c>
      <c r="N375" s="1"/>
      <c r="O375" s="75" t="s">
        <v>427</v>
      </c>
      <c r="P375" s="1"/>
      <c r="Q375" s="1"/>
      <c r="R375" s="1"/>
      <c r="S375" s="1"/>
      <c r="T375" s="1"/>
      <c r="U375" s="1"/>
      <c r="V375" s="1"/>
      <c r="W375" s="1"/>
      <c r="X375" s="1"/>
      <c r="Y375" s="1"/>
      <c r="Z375" s="1"/>
    </row>
    <row r="376" spans="1:26" ht="15.75" customHeight="1">
      <c r="A376" s="292"/>
      <c r="B376" s="696"/>
      <c r="C376" s="242" t="s">
        <v>673</v>
      </c>
      <c r="D376" s="242" t="s">
        <v>674</v>
      </c>
      <c r="E376" s="242" t="s">
        <v>295</v>
      </c>
      <c r="F376" s="352">
        <v>909604</v>
      </c>
      <c r="G376" s="242" t="s">
        <v>634</v>
      </c>
      <c r="H376" s="599">
        <v>1036</v>
      </c>
      <c r="I376" s="242" t="s">
        <v>650</v>
      </c>
      <c r="J376" s="750">
        <v>942350</v>
      </c>
      <c r="K376" s="639">
        <v>56002.3</v>
      </c>
      <c r="L376" s="362">
        <v>1.54</v>
      </c>
      <c r="M376" s="627">
        <v>0.154</v>
      </c>
      <c r="N376" s="1"/>
      <c r="O376" s="75" t="s">
        <v>427</v>
      </c>
      <c r="P376" s="1"/>
      <c r="Q376" s="1"/>
      <c r="R376" s="1"/>
      <c r="S376" s="1"/>
      <c r="T376" s="1"/>
      <c r="U376" s="1"/>
      <c r="V376" s="1"/>
      <c r="W376" s="1"/>
      <c r="X376" s="1"/>
      <c r="Y376" s="1"/>
      <c r="Z376" s="1"/>
    </row>
    <row r="377" spans="1:26" ht="15.75" customHeight="1">
      <c r="A377" s="292"/>
      <c r="B377" s="696"/>
      <c r="C377" s="242" t="s">
        <v>675</v>
      </c>
      <c r="D377" s="242" t="s">
        <v>676</v>
      </c>
      <c r="E377" s="242" t="s">
        <v>295</v>
      </c>
      <c r="F377" s="352">
        <v>863731</v>
      </c>
      <c r="G377" s="242" t="s">
        <v>634</v>
      </c>
      <c r="H377" s="599">
        <v>1036</v>
      </c>
      <c r="I377" s="242" t="s">
        <v>649</v>
      </c>
      <c r="J377" s="750">
        <v>894825</v>
      </c>
      <c r="K377" s="639">
        <v>53178.7</v>
      </c>
      <c r="L377" s="362">
        <v>1.73</v>
      </c>
      <c r="M377" s="627">
        <v>0.20899999999999999</v>
      </c>
      <c r="N377" s="1"/>
      <c r="O377" s="75" t="s">
        <v>427</v>
      </c>
      <c r="P377" s="1"/>
      <c r="Q377" s="1"/>
      <c r="R377" s="1"/>
      <c r="S377" s="1"/>
      <c r="T377" s="1"/>
      <c r="U377" s="1"/>
      <c r="V377" s="1"/>
      <c r="W377" s="1"/>
      <c r="X377" s="1"/>
      <c r="Y377" s="1"/>
      <c r="Z377" s="1"/>
    </row>
    <row r="378" spans="1:26" ht="15.75" customHeight="1">
      <c r="A378" s="292"/>
      <c r="B378" s="696"/>
      <c r="C378" s="242" t="s">
        <v>677</v>
      </c>
      <c r="D378" s="242" t="s">
        <v>678</v>
      </c>
      <c r="E378" s="242" t="s">
        <v>295</v>
      </c>
      <c r="F378" s="352">
        <v>5469</v>
      </c>
      <c r="G378" s="242" t="s">
        <v>634</v>
      </c>
      <c r="H378" s="599">
        <v>1036</v>
      </c>
      <c r="I378" s="242" t="s">
        <v>649</v>
      </c>
      <c r="J378" s="750">
        <v>5665.6587829239998</v>
      </c>
      <c r="K378" s="639">
        <v>331.03</v>
      </c>
      <c r="L378" s="751">
        <v>0</v>
      </c>
      <c r="M378" s="627">
        <v>1.9E-2</v>
      </c>
      <c r="N378" s="1"/>
      <c r="O378" s="75" t="s">
        <v>427</v>
      </c>
      <c r="P378" s="1"/>
      <c r="Q378" s="1"/>
      <c r="R378" s="1"/>
      <c r="S378" s="1"/>
      <c r="T378" s="1"/>
      <c r="U378" s="1"/>
      <c r="V378" s="1"/>
      <c r="W378" s="1"/>
      <c r="X378" s="1"/>
      <c r="Y378" s="1"/>
      <c r="Z378" s="1"/>
    </row>
    <row r="379" spans="1:26" ht="15.75" customHeight="1">
      <c r="A379" s="292"/>
      <c r="B379" s="500"/>
      <c r="C379" s="501"/>
      <c r="D379" s="501"/>
      <c r="E379" s="501"/>
      <c r="F379" s="366"/>
      <c r="G379" s="501"/>
      <c r="H379" s="708"/>
      <c r="I379" s="501"/>
      <c r="J379" s="752"/>
      <c r="K379" s="710"/>
      <c r="L379" s="367"/>
      <c r="M379" s="753"/>
      <c r="N379" s="1"/>
      <c r="O379" s="75"/>
      <c r="P379" s="1"/>
      <c r="Q379" s="1"/>
      <c r="R379" s="1"/>
      <c r="S379" s="1"/>
      <c r="T379" s="1"/>
      <c r="U379" s="1"/>
      <c r="V379" s="1"/>
      <c r="W379" s="1"/>
      <c r="X379" s="1"/>
      <c r="Y379" s="1"/>
      <c r="Z379" s="1"/>
    </row>
    <row r="380" spans="1:26" ht="15.75" customHeight="1">
      <c r="A380" s="292"/>
      <c r="B380" s="712" t="s">
        <v>679</v>
      </c>
      <c r="C380" s="274" t="s">
        <v>680</v>
      </c>
      <c r="D380" s="592"/>
      <c r="E380" s="592"/>
      <c r="F380" s="594"/>
      <c r="G380" s="592"/>
      <c r="H380" s="713"/>
      <c r="I380" s="592"/>
      <c r="J380" s="754"/>
      <c r="K380" s="715"/>
      <c r="L380" s="716"/>
      <c r="M380" s="755"/>
      <c r="N380" s="1"/>
      <c r="O380" s="75"/>
      <c r="P380" s="1"/>
      <c r="Q380" s="1"/>
      <c r="R380" s="1"/>
      <c r="S380" s="1"/>
      <c r="T380" s="1"/>
      <c r="U380" s="1"/>
      <c r="V380" s="1"/>
      <c r="W380" s="1"/>
      <c r="X380" s="1"/>
      <c r="Y380" s="1"/>
      <c r="Z380" s="1"/>
    </row>
    <row r="381" spans="1:26" ht="15.75" customHeight="1">
      <c r="A381" s="292"/>
      <c r="B381" s="696"/>
      <c r="C381" s="242" t="s">
        <v>681</v>
      </c>
      <c r="D381" s="242" t="s">
        <v>682</v>
      </c>
      <c r="E381" s="242" t="s">
        <v>310</v>
      </c>
      <c r="F381" s="352">
        <v>313000000</v>
      </c>
      <c r="G381" s="242" t="s">
        <v>634</v>
      </c>
      <c r="H381" s="599">
        <v>1027</v>
      </c>
      <c r="I381" s="242" t="s">
        <v>637</v>
      </c>
      <c r="J381" s="750">
        <v>321451</v>
      </c>
      <c r="K381" s="762">
        <v>18499</v>
      </c>
      <c r="L381" s="763">
        <v>0</v>
      </c>
      <c r="M381" s="634">
        <v>0</v>
      </c>
      <c r="N381" s="1"/>
      <c r="O381" s="75" t="s">
        <v>427</v>
      </c>
      <c r="P381" s="1"/>
      <c r="Q381" s="1"/>
      <c r="R381" s="1"/>
      <c r="S381" s="1"/>
      <c r="T381" s="1"/>
      <c r="U381" s="1"/>
      <c r="V381" s="1"/>
      <c r="W381" s="1"/>
      <c r="X381" s="1"/>
      <c r="Y381" s="1"/>
      <c r="Z381" s="1"/>
    </row>
    <row r="382" spans="1:26" ht="15.75" customHeight="1">
      <c r="A382" s="292"/>
      <c r="B382" s="500"/>
      <c r="C382" s="501"/>
      <c r="D382" s="501"/>
      <c r="E382" s="501"/>
      <c r="F382" s="366"/>
      <c r="G382" s="501"/>
      <c r="H382" s="708"/>
      <c r="I382" s="501"/>
      <c r="J382" s="752"/>
      <c r="K382" s="710"/>
      <c r="L382" s="367"/>
      <c r="M382" s="753"/>
      <c r="N382" s="1"/>
      <c r="O382" s="75"/>
      <c r="P382" s="1"/>
      <c r="Q382" s="1"/>
      <c r="R382" s="1"/>
      <c r="S382" s="1"/>
      <c r="T382" s="1"/>
      <c r="U382" s="1"/>
      <c r="V382" s="1"/>
      <c r="W382" s="1"/>
      <c r="X382" s="1"/>
      <c r="Y382" s="1"/>
      <c r="Z382" s="1"/>
    </row>
    <row r="383" spans="1:26" ht="15.75" customHeight="1">
      <c r="A383" s="292"/>
      <c r="B383" s="712" t="s">
        <v>409</v>
      </c>
      <c r="C383" s="274" t="s">
        <v>410</v>
      </c>
      <c r="D383" s="764"/>
      <c r="E383" s="592"/>
      <c r="F383" s="594"/>
      <c r="G383" s="592"/>
      <c r="H383" s="594"/>
      <c r="I383" s="592"/>
      <c r="J383" s="747"/>
      <c r="K383" s="715"/>
      <c r="L383" s="716"/>
      <c r="M383" s="755"/>
      <c r="N383" s="1"/>
      <c r="O383" s="75"/>
      <c r="P383" s="1"/>
      <c r="Q383" s="1"/>
      <c r="R383" s="1"/>
      <c r="S383" s="1"/>
      <c r="T383" s="1"/>
      <c r="U383" s="1"/>
      <c r="V383" s="1"/>
      <c r="W383" s="1"/>
      <c r="X383" s="1"/>
      <c r="Y383" s="1"/>
      <c r="Z383" s="1"/>
    </row>
    <row r="384" spans="1:26" ht="15.75" customHeight="1">
      <c r="A384" s="292"/>
      <c r="B384" s="696"/>
      <c r="C384" s="242" t="s">
        <v>411</v>
      </c>
      <c r="D384" s="579" t="s">
        <v>412</v>
      </c>
      <c r="E384" s="242" t="s">
        <v>295</v>
      </c>
      <c r="F384" s="352">
        <v>196372000</v>
      </c>
      <c r="G384" s="242" t="s">
        <v>634</v>
      </c>
      <c r="H384" s="352">
        <v>1053</v>
      </c>
      <c r="I384" s="242" t="s">
        <v>649</v>
      </c>
      <c r="J384" s="765">
        <f>Luke!H16</f>
        <v>206779.71599999999</v>
      </c>
      <c r="K384" s="639">
        <f>Luke!H18+Luke!H22+Luke!H26</f>
        <v>20766.034656974934</v>
      </c>
      <c r="L384" s="362">
        <f>Luke!H19+Luke!H23+Luke!H27</f>
        <v>2.4683680780527459</v>
      </c>
      <c r="M384" s="627">
        <f>Luke!H20+Luke!H24+Luke!H28</f>
        <v>0.36341636461681814</v>
      </c>
      <c r="N384" s="1"/>
      <c r="O384" s="75" t="s">
        <v>427</v>
      </c>
      <c r="P384" s="1"/>
      <c r="Q384" s="1"/>
      <c r="R384" s="1"/>
      <c r="S384" s="1"/>
      <c r="T384" s="1"/>
      <c r="U384" s="1"/>
      <c r="V384" s="1"/>
      <c r="W384" s="1"/>
      <c r="X384" s="1"/>
      <c r="Y384" s="1"/>
      <c r="Z384" s="1"/>
    </row>
    <row r="385" spans="1:26" ht="15.75" customHeight="1">
      <c r="A385" s="292"/>
      <c r="B385" s="500"/>
      <c r="C385" s="501"/>
      <c r="D385" s="501"/>
      <c r="E385" s="501"/>
      <c r="F385" s="366"/>
      <c r="G385" s="501"/>
      <c r="H385" s="708"/>
      <c r="I385" s="501"/>
      <c r="J385" s="752"/>
      <c r="K385" s="710"/>
      <c r="L385" s="367"/>
      <c r="M385" s="753"/>
      <c r="N385" s="1"/>
      <c r="O385" s="75"/>
      <c r="P385" s="1"/>
      <c r="Q385" s="1"/>
      <c r="R385" s="1"/>
      <c r="S385" s="1"/>
      <c r="T385" s="1"/>
      <c r="U385" s="1"/>
      <c r="V385" s="1"/>
      <c r="W385" s="1"/>
      <c r="X385" s="1"/>
      <c r="Y385" s="1"/>
      <c r="Z385" s="1"/>
    </row>
    <row r="386" spans="1:26" ht="15.75" customHeight="1">
      <c r="A386" s="292"/>
      <c r="B386" s="712" t="s">
        <v>621</v>
      </c>
      <c r="C386" s="274" t="s">
        <v>622</v>
      </c>
      <c r="D386" s="592"/>
      <c r="E386" s="592"/>
      <c r="F386" s="594"/>
      <c r="G386" s="592"/>
      <c r="H386" s="713"/>
      <c r="I386" s="592"/>
      <c r="J386" s="754"/>
      <c r="K386" s="715"/>
      <c r="L386" s="716"/>
      <c r="M386" s="755"/>
      <c r="N386" s="1"/>
      <c r="O386" s="75"/>
      <c r="P386" s="1"/>
      <c r="Q386" s="1"/>
      <c r="R386" s="1"/>
      <c r="S386" s="1"/>
      <c r="T386" s="1"/>
      <c r="U386" s="1"/>
      <c r="V386" s="1"/>
      <c r="W386" s="1"/>
      <c r="X386" s="1"/>
      <c r="Y386" s="1"/>
      <c r="Z386" s="1"/>
    </row>
    <row r="387" spans="1:26" ht="15.75" customHeight="1">
      <c r="A387" s="292"/>
      <c r="B387" s="696"/>
      <c r="C387" s="242"/>
      <c r="D387" s="242"/>
      <c r="E387" s="242"/>
      <c r="F387" s="352"/>
      <c r="G387" s="242"/>
      <c r="H387" s="599"/>
      <c r="I387" s="242"/>
      <c r="J387" s="750"/>
      <c r="K387" s="639"/>
      <c r="L387" s="362"/>
      <c r="M387" s="627"/>
      <c r="N387" s="1"/>
      <c r="O387" s="75"/>
      <c r="P387" s="1"/>
      <c r="Q387" s="1"/>
      <c r="R387" s="1"/>
      <c r="S387" s="1"/>
      <c r="T387" s="1"/>
      <c r="U387" s="1"/>
      <c r="V387" s="1"/>
      <c r="W387" s="1"/>
      <c r="X387" s="1"/>
      <c r="Y387" s="1"/>
      <c r="Z387" s="1"/>
    </row>
    <row r="388" spans="1:26" ht="15.75" customHeight="1">
      <c r="A388" s="292"/>
      <c r="B388" s="696"/>
      <c r="C388" s="242" t="s">
        <v>623</v>
      </c>
      <c r="D388" s="243" t="s">
        <v>683</v>
      </c>
      <c r="E388" s="763" t="s">
        <v>295</v>
      </c>
      <c r="F388" s="352">
        <f>Severstal!G48*1000</f>
        <v>2258000</v>
      </c>
      <c r="G388" s="579" t="s">
        <v>634</v>
      </c>
      <c r="H388" s="242">
        <v>1.04</v>
      </c>
      <c r="I388" s="242" t="s">
        <v>684</v>
      </c>
      <c r="J388" s="750">
        <v>2348900</v>
      </c>
      <c r="K388" s="639">
        <f>(Severstal!G11+Severstal!G21+Severstal!G31+Severstal!G41)*1.1023</f>
        <v>137248.91622000001</v>
      </c>
      <c r="L388" s="362">
        <f>(Severstal!G12+Severstal!G22+Severstal!G32+Severstal!G42)*1.1023</f>
        <v>2.5904050000000001</v>
      </c>
      <c r="M388" s="627">
        <f>(Severstal!G13+Severstal!G23+Severstal!G33+Severstal!G43)*1.1023</f>
        <v>0.25904050000000001</v>
      </c>
      <c r="N388" s="1"/>
      <c r="O388" s="75" t="s">
        <v>427</v>
      </c>
      <c r="P388" s="1"/>
      <c r="Q388" s="1"/>
      <c r="R388" s="1"/>
      <c r="S388" s="1"/>
      <c r="T388" s="1"/>
      <c r="U388" s="1"/>
      <c r="V388" s="1"/>
      <c r="W388" s="1"/>
      <c r="X388" s="1"/>
      <c r="Y388" s="1"/>
      <c r="Z388" s="1"/>
    </row>
    <row r="389" spans="1:26" ht="15.75" customHeight="1">
      <c r="A389" s="292"/>
      <c r="B389" s="696"/>
      <c r="C389" s="242"/>
      <c r="D389" s="243"/>
      <c r="E389" s="763"/>
      <c r="F389" s="352"/>
      <c r="G389" s="579"/>
      <c r="H389" s="242"/>
      <c r="I389" s="242"/>
      <c r="J389" s="750"/>
      <c r="K389" s="639"/>
      <c r="L389" s="362"/>
      <c r="M389" s="627"/>
      <c r="N389" s="1"/>
      <c r="O389" s="75"/>
      <c r="P389" s="1"/>
      <c r="Q389" s="1"/>
      <c r="R389" s="1"/>
      <c r="S389" s="1"/>
      <c r="T389" s="1"/>
      <c r="U389" s="1"/>
      <c r="V389" s="1"/>
      <c r="W389" s="1"/>
      <c r="X389" s="1"/>
      <c r="Y389" s="1"/>
      <c r="Z389" s="1"/>
    </row>
    <row r="390" spans="1:26" ht="15.75" customHeight="1">
      <c r="A390" s="292"/>
      <c r="B390" s="696"/>
      <c r="C390" s="242" t="s">
        <v>623</v>
      </c>
      <c r="D390" s="243" t="s">
        <v>685</v>
      </c>
      <c r="E390" s="763" t="s">
        <v>686</v>
      </c>
      <c r="F390" s="352">
        <f>Severstal!F48</f>
        <v>46722</v>
      </c>
      <c r="G390" s="579" t="s">
        <v>634</v>
      </c>
      <c r="H390" s="242">
        <v>8.6999999999999994E-2</v>
      </c>
      <c r="I390" s="242" t="s">
        <v>684</v>
      </c>
      <c r="J390" s="750">
        <v>4064843</v>
      </c>
      <c r="K390" s="639">
        <f>(Severstal!F11+Severstal!F21+Severstal!F31+Severstal!F41)*1.1023</f>
        <v>1290944.42533</v>
      </c>
      <c r="L390" s="362">
        <f>(Severstal!F12+Severstal!F22+Severstal!F32+Severstal!F42)*1.1023</f>
        <v>9.9207000000000004E-2</v>
      </c>
      <c r="M390" s="627">
        <f>(Severstal!F13+Severstal!F23+Severstal!F33+Severstal!F43)*1.1023</f>
        <v>0.50705800000000001</v>
      </c>
      <c r="N390" s="1"/>
      <c r="O390" s="75" t="s">
        <v>427</v>
      </c>
      <c r="P390" s="1"/>
      <c r="Q390" s="1"/>
      <c r="R390" s="1"/>
      <c r="S390" s="1"/>
      <c r="T390" s="1"/>
      <c r="U390" s="1"/>
      <c r="V390" s="1"/>
      <c r="W390" s="1"/>
      <c r="X390" s="1"/>
      <c r="Y390" s="1"/>
      <c r="Z390" s="1"/>
    </row>
    <row r="391" spans="1:26" ht="15.75" customHeight="1">
      <c r="A391" s="292"/>
      <c r="B391" s="500"/>
      <c r="C391" s="501"/>
      <c r="D391" s="501"/>
      <c r="E391" s="501"/>
      <c r="F391" s="366"/>
      <c r="G391" s="501"/>
      <c r="H391" s="708"/>
      <c r="I391" s="501"/>
      <c r="J391" s="366"/>
      <c r="K391" s="367"/>
      <c r="L391" s="367"/>
      <c r="M391" s="753"/>
      <c r="N391" s="1"/>
      <c r="O391" s="75"/>
      <c r="P391" s="1"/>
      <c r="Q391" s="1"/>
      <c r="R391" s="1"/>
      <c r="S391" s="1"/>
      <c r="T391" s="1"/>
      <c r="U391" s="1"/>
      <c r="V391" s="1"/>
      <c r="W391" s="1"/>
      <c r="X391" s="1"/>
      <c r="Y391" s="1"/>
      <c r="Z391" s="1"/>
    </row>
    <row r="392" spans="1:26" ht="15.75" customHeight="1">
      <c r="A392" s="292"/>
      <c r="B392" s="696"/>
      <c r="C392" s="242"/>
      <c r="D392" s="242"/>
      <c r="E392" s="242"/>
      <c r="F392" s="352"/>
      <c r="G392" s="242"/>
      <c r="H392" s="352"/>
      <c r="I392" s="242"/>
      <c r="J392" s="352"/>
      <c r="K392" s="362"/>
      <c r="L392" s="362"/>
      <c r="M392" s="627"/>
      <c r="N392" s="1"/>
      <c r="O392" s="75"/>
      <c r="P392" s="1"/>
      <c r="Q392" s="1"/>
      <c r="R392" s="1"/>
      <c r="S392" s="1"/>
      <c r="T392" s="1"/>
      <c r="U392" s="1"/>
      <c r="V392" s="1"/>
      <c r="W392" s="1"/>
      <c r="X392" s="1"/>
      <c r="Y392" s="1"/>
      <c r="Z392" s="1"/>
    </row>
    <row r="393" spans="1:26" ht="15.75" customHeight="1">
      <c r="A393" s="292"/>
      <c r="B393" s="766"/>
      <c r="C393" s="767"/>
      <c r="D393" s="767"/>
      <c r="E393" s="767"/>
      <c r="F393" s="768">
        <f>SUM(F305:F392)</f>
        <v>2218186926.027</v>
      </c>
      <c r="G393" s="767"/>
      <c r="H393" s="769"/>
      <c r="I393" s="767"/>
      <c r="J393" s="769">
        <f t="shared" ref="J393:M393" si="4">SUM(J305:J392)</f>
        <v>25646912.286970925</v>
      </c>
      <c r="K393" s="770">
        <f t="shared" si="4"/>
        <v>2660241.2312450777</v>
      </c>
      <c r="L393" s="770">
        <f t="shared" si="4"/>
        <v>46.118157938978527</v>
      </c>
      <c r="M393" s="771">
        <f t="shared" si="4"/>
        <v>16.41812203366425</v>
      </c>
      <c r="N393" s="1"/>
      <c r="O393" s="75"/>
      <c r="P393" s="1"/>
      <c r="Q393" s="1"/>
      <c r="R393" s="1"/>
      <c r="S393" s="1"/>
      <c r="T393" s="1"/>
      <c r="U393" s="1"/>
      <c r="V393" s="1"/>
      <c r="W393" s="1"/>
      <c r="X393" s="1"/>
      <c r="Y393" s="1"/>
      <c r="Z393" s="1"/>
    </row>
    <row r="394" spans="1:26" ht="15.75" customHeight="1">
      <c r="A394" s="292"/>
      <c r="B394" s="772"/>
      <c r="C394" s="35"/>
      <c r="D394" s="35"/>
      <c r="E394" s="35"/>
      <c r="F394" s="773"/>
      <c r="G394" s="35"/>
      <c r="H394" s="774"/>
      <c r="I394" s="35"/>
      <c r="J394" s="774"/>
      <c r="K394" s="716"/>
      <c r="L394" s="716"/>
      <c r="M394" s="755"/>
      <c r="N394" s="1"/>
      <c r="O394" s="75"/>
      <c r="P394" s="1"/>
      <c r="Q394" s="1"/>
      <c r="R394" s="1"/>
      <c r="S394" s="1"/>
      <c r="T394" s="1"/>
      <c r="U394" s="1"/>
      <c r="V394" s="1"/>
      <c r="W394" s="1"/>
      <c r="X394" s="1"/>
      <c r="Y394" s="1"/>
      <c r="Z394" s="1"/>
    </row>
    <row r="395" spans="1:26" ht="15.75" customHeight="1">
      <c r="A395" s="292"/>
      <c r="B395" s="775"/>
      <c r="C395" s="776"/>
      <c r="D395" s="776"/>
      <c r="E395" s="776"/>
      <c r="F395" s="777" t="s">
        <v>687</v>
      </c>
      <c r="G395" s="776"/>
      <c r="H395" s="777"/>
      <c r="I395" s="776"/>
      <c r="J395" s="777"/>
      <c r="K395" s="778">
        <f>(K393*0.90718474)/1000000</f>
        <v>2.4133302497043454</v>
      </c>
      <c r="L395" s="779">
        <f>(L393*$J$425*0.90718474)/1000000</f>
        <v>1.171455295336233E-3</v>
      </c>
      <c r="M395" s="780">
        <f>(M393*$J$426*0.90718474)/1000000</f>
        <v>3.9469814886254635E-3</v>
      </c>
      <c r="N395" s="1"/>
      <c r="O395" s="75"/>
      <c r="P395" s="1"/>
      <c r="Q395" s="1"/>
      <c r="R395" s="1"/>
      <c r="S395" s="1"/>
      <c r="T395" s="1"/>
      <c r="U395" s="1"/>
      <c r="V395" s="1"/>
      <c r="W395" s="1"/>
      <c r="X395" s="1"/>
      <c r="Y395" s="1"/>
      <c r="Z395" s="1"/>
    </row>
    <row r="396" spans="1:26" ht="15.75" customHeight="1">
      <c r="A396" s="292"/>
      <c r="B396" s="781"/>
      <c r="C396" s="782"/>
      <c r="D396" s="782"/>
      <c r="E396" s="782"/>
      <c r="F396" s="782"/>
      <c r="G396" s="782"/>
      <c r="H396" s="782"/>
      <c r="I396" s="782"/>
      <c r="J396" s="782"/>
      <c r="K396" s="782"/>
      <c r="L396" s="782"/>
      <c r="M396" s="783"/>
      <c r="N396" s="1"/>
      <c r="O396" s="75"/>
      <c r="P396" s="1"/>
      <c r="Q396" s="1"/>
      <c r="R396" s="1"/>
      <c r="S396" s="1"/>
      <c r="T396" s="1"/>
      <c r="U396" s="1"/>
      <c r="V396" s="1"/>
      <c r="W396" s="1"/>
      <c r="X396" s="1"/>
      <c r="Y396" s="1"/>
      <c r="Z396" s="1"/>
    </row>
    <row r="397" spans="1:26" ht="15.75" customHeight="1">
      <c r="A397" s="292"/>
      <c r="B397" s="41"/>
      <c r="C397" s="41"/>
      <c r="D397" s="1"/>
      <c r="E397" s="1"/>
      <c r="F397" s="683"/>
      <c r="G397" s="254"/>
      <c r="H397" s="1"/>
      <c r="I397" s="1"/>
      <c r="J397" s="254"/>
      <c r="K397" s="685"/>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24" customHeight="1">
      <c r="A399" s="1"/>
      <c r="B399" s="784" t="s">
        <v>688</v>
      </c>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784" t="s">
        <v>689</v>
      </c>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491"/>
      <c r="C402" s="492" t="s">
        <v>287</v>
      </c>
      <c r="D402" s="492" t="s">
        <v>690</v>
      </c>
      <c r="E402" s="492" t="s">
        <v>691</v>
      </c>
      <c r="F402" s="492" t="s">
        <v>692</v>
      </c>
      <c r="G402" s="495" t="s">
        <v>693</v>
      </c>
      <c r="H402" s="1"/>
      <c r="I402" s="1"/>
      <c r="J402" s="1"/>
      <c r="K402" s="1"/>
      <c r="L402" s="1"/>
      <c r="M402" s="1"/>
      <c r="N402" s="1"/>
      <c r="O402" s="1"/>
      <c r="P402" s="1"/>
      <c r="Q402" s="1"/>
      <c r="R402" s="1"/>
      <c r="S402" s="1"/>
      <c r="T402" s="1"/>
      <c r="U402" s="1"/>
      <c r="V402" s="1"/>
      <c r="W402" s="1"/>
      <c r="X402" s="1"/>
      <c r="Y402" s="1"/>
      <c r="Z402" s="1"/>
    </row>
    <row r="403" spans="1:26" ht="15.75" customHeight="1">
      <c r="A403" s="1"/>
      <c r="B403" s="785"/>
      <c r="C403" s="786"/>
      <c r="D403" s="786" t="s">
        <v>263</v>
      </c>
      <c r="E403" s="786" t="s">
        <v>291</v>
      </c>
      <c r="F403" s="786" t="s">
        <v>694</v>
      </c>
      <c r="G403" s="787" t="s">
        <v>695</v>
      </c>
      <c r="H403" s="1"/>
      <c r="I403" s="1"/>
      <c r="J403" s="1"/>
      <c r="K403" s="1"/>
      <c r="L403" s="1"/>
      <c r="M403" s="1"/>
      <c r="N403" s="1"/>
      <c r="O403" s="1"/>
      <c r="P403" s="1"/>
      <c r="Q403" s="1"/>
      <c r="R403" s="1"/>
      <c r="S403" s="1"/>
      <c r="T403" s="1"/>
      <c r="U403" s="1"/>
      <c r="V403" s="1"/>
      <c r="W403" s="1"/>
      <c r="X403" s="1"/>
      <c r="Y403" s="1"/>
      <c r="Z403" s="1"/>
    </row>
    <row r="404" spans="1:26" ht="15.75" customHeight="1">
      <c r="A404" s="1"/>
      <c r="B404" s="273"/>
      <c r="C404" s="375"/>
      <c r="D404" s="375"/>
      <c r="E404" s="375"/>
      <c r="F404" s="375"/>
      <c r="G404" s="788"/>
      <c r="H404" s="1"/>
      <c r="I404" s="1"/>
      <c r="J404" s="1"/>
      <c r="K404" s="1"/>
      <c r="L404" s="1"/>
      <c r="M404" s="1"/>
      <c r="N404" s="1"/>
      <c r="O404" s="1"/>
      <c r="P404" s="1"/>
      <c r="Q404" s="1"/>
      <c r="R404" s="1"/>
      <c r="S404" s="1"/>
      <c r="T404" s="1"/>
      <c r="U404" s="1"/>
      <c r="V404" s="1"/>
      <c r="W404" s="1"/>
      <c r="X404" s="1"/>
      <c r="Y404" s="1"/>
      <c r="Z404" s="1"/>
    </row>
    <row r="405" spans="1:26" ht="15.75" customHeight="1">
      <c r="A405" s="1"/>
      <c r="B405" s="789" t="s">
        <v>293</v>
      </c>
      <c r="C405" s="790">
        <f t="shared" ref="C405:D405" si="5">J55+J62</f>
        <v>225613367.01600003</v>
      </c>
      <c r="D405" s="790">
        <f t="shared" si="5"/>
        <v>24088126.86396306</v>
      </c>
      <c r="E405" s="790">
        <f>D405*0.90718474</f>
        <v>21852381.106171343</v>
      </c>
      <c r="F405" s="791">
        <f>E405/1000000</f>
        <v>21.852381106171343</v>
      </c>
      <c r="G405" s="792">
        <f>F405*(12/44)</f>
        <v>5.9597403016830928</v>
      </c>
      <c r="H405" s="1"/>
      <c r="I405" s="1"/>
      <c r="J405" s="1"/>
      <c r="K405" s="1"/>
      <c r="L405" s="1"/>
      <c r="M405" s="1"/>
      <c r="N405" s="1"/>
      <c r="O405" s="1"/>
      <c r="P405" s="1"/>
      <c r="Q405" s="1"/>
      <c r="R405" s="1"/>
      <c r="S405" s="1"/>
      <c r="T405" s="1"/>
      <c r="U405" s="1"/>
      <c r="V405" s="1"/>
      <c r="W405" s="1"/>
      <c r="X405" s="1"/>
      <c r="Y405" s="1"/>
      <c r="Z405" s="1"/>
    </row>
    <row r="406" spans="1:26" ht="15.75" customHeight="1">
      <c r="A406" s="1"/>
      <c r="B406" s="376"/>
      <c r="C406" s="75"/>
      <c r="D406" s="75"/>
      <c r="E406" s="49"/>
      <c r="F406" s="793"/>
      <c r="G406" s="794"/>
      <c r="H406" s="1"/>
      <c r="I406" s="1"/>
      <c r="J406" s="1"/>
      <c r="K406" s="1"/>
      <c r="L406" s="1"/>
      <c r="M406" s="1"/>
      <c r="N406" s="1"/>
      <c r="O406" s="1"/>
      <c r="P406" s="1"/>
      <c r="Q406" s="1"/>
      <c r="R406" s="1"/>
      <c r="S406" s="1"/>
      <c r="T406" s="1"/>
      <c r="U406" s="1"/>
      <c r="V406" s="1"/>
      <c r="W406" s="1"/>
      <c r="X406" s="1"/>
      <c r="Y406" s="1"/>
      <c r="Z406" s="1"/>
    </row>
    <row r="407" spans="1:26" ht="15.75" customHeight="1">
      <c r="A407" s="1"/>
      <c r="B407" s="376" t="s">
        <v>294</v>
      </c>
      <c r="C407" s="49">
        <f t="shared" ref="C407:D407" si="6">J287+J243</f>
        <v>2646768.202045762</v>
      </c>
      <c r="D407" s="49">
        <f t="shared" si="6"/>
        <v>214540.42072217981</v>
      </c>
      <c r="E407" s="49">
        <f>D407*0.90718474</f>
        <v>194627.79579234132</v>
      </c>
      <c r="F407" s="793">
        <f>E407/1000000</f>
        <v>0.19462779579234132</v>
      </c>
      <c r="G407" s="794">
        <f>F407*(12/44)</f>
        <v>5.3080307943365809E-2</v>
      </c>
      <c r="H407" s="1"/>
      <c r="I407" s="1"/>
      <c r="J407" s="1"/>
      <c r="K407" s="1"/>
      <c r="L407" s="1"/>
      <c r="M407" s="1"/>
      <c r="N407" s="1"/>
      <c r="O407" s="1"/>
      <c r="P407" s="1"/>
      <c r="Q407" s="1"/>
      <c r="R407" s="1"/>
      <c r="S407" s="1"/>
      <c r="T407" s="1"/>
      <c r="U407" s="1"/>
      <c r="V407" s="1"/>
      <c r="W407" s="1"/>
      <c r="X407" s="1"/>
      <c r="Y407" s="1"/>
      <c r="Z407" s="1"/>
    </row>
    <row r="408" spans="1:26" ht="15.75" customHeight="1">
      <c r="A408" s="1"/>
      <c r="B408" s="376"/>
      <c r="C408" s="75"/>
      <c r="D408" s="75"/>
      <c r="E408" s="49"/>
      <c r="F408" s="793"/>
      <c r="G408" s="794"/>
      <c r="H408" s="1"/>
      <c r="I408" s="1"/>
      <c r="J408" s="1"/>
      <c r="K408" s="1"/>
      <c r="L408" s="1"/>
      <c r="M408" s="1"/>
      <c r="N408" s="1"/>
      <c r="O408" s="1"/>
      <c r="P408" s="1"/>
      <c r="Q408" s="1"/>
      <c r="R408" s="1"/>
      <c r="S408" s="1"/>
      <c r="T408" s="1"/>
      <c r="U408" s="1"/>
      <c r="V408" s="1"/>
      <c r="W408" s="1"/>
      <c r="X408" s="1"/>
      <c r="Y408" s="1"/>
      <c r="Z408" s="1"/>
    </row>
    <row r="409" spans="1:26" ht="15.75" customHeight="1">
      <c r="A409" s="1"/>
      <c r="B409" s="376" t="s">
        <v>295</v>
      </c>
      <c r="C409" s="49">
        <f t="shared" ref="C409:D409" si="7">J393</f>
        <v>25646912.286970925</v>
      </c>
      <c r="D409" s="49">
        <f t="shared" si="7"/>
        <v>2660241.2312450777</v>
      </c>
      <c r="E409" s="49">
        <f>D409*0.90718474</f>
        <v>2413330.2497043456</v>
      </c>
      <c r="F409" s="793">
        <f>E409/1000000</f>
        <v>2.4133302497043454</v>
      </c>
      <c r="G409" s="794">
        <f>F409*(12/44)</f>
        <v>0.65818097719209412</v>
      </c>
      <c r="H409" s="1"/>
      <c r="I409" s="1"/>
      <c r="J409" s="1"/>
      <c r="K409" s="1"/>
      <c r="L409" s="1"/>
      <c r="M409" s="1"/>
      <c r="N409" s="1"/>
      <c r="O409" s="1"/>
      <c r="P409" s="1"/>
      <c r="Q409" s="1"/>
      <c r="R409" s="1"/>
      <c r="S409" s="1"/>
      <c r="T409" s="1"/>
      <c r="U409" s="1"/>
      <c r="V409" s="1"/>
      <c r="W409" s="1"/>
      <c r="X409" s="1"/>
      <c r="Y409" s="1"/>
      <c r="Z409" s="1"/>
    </row>
    <row r="410" spans="1:26" ht="15.75" customHeight="1">
      <c r="A410" s="1"/>
      <c r="B410" s="379"/>
      <c r="C410" s="380"/>
      <c r="D410" s="380"/>
      <c r="E410" s="381"/>
      <c r="F410" s="795"/>
      <c r="G410" s="796"/>
      <c r="H410" s="1"/>
      <c r="I410" s="1"/>
      <c r="J410" s="1"/>
      <c r="K410" s="1"/>
      <c r="L410" s="1"/>
      <c r="M410" s="1"/>
      <c r="N410" s="1"/>
      <c r="O410" s="1"/>
      <c r="P410" s="1"/>
      <c r="Q410" s="1"/>
      <c r="R410" s="1"/>
      <c r="S410" s="1"/>
      <c r="T410" s="1"/>
      <c r="U410" s="1"/>
      <c r="V410" s="1"/>
      <c r="W410" s="1"/>
      <c r="X410" s="1"/>
      <c r="Y410" s="1"/>
      <c r="Z410" s="1"/>
    </row>
    <row r="411" spans="1:26" ht="15.75" customHeight="1">
      <c r="A411" s="1"/>
      <c r="B411" s="383" t="s">
        <v>177</v>
      </c>
      <c r="C411" s="797"/>
      <c r="D411" s="286">
        <f t="shared" ref="D411:E411" si="8">SUM(D405:D410)</f>
        <v>26962908.515930317</v>
      </c>
      <c r="E411" s="286">
        <f t="shared" si="8"/>
        <v>24460339.151668031</v>
      </c>
      <c r="F411" s="798">
        <f>E411/1000000</f>
        <v>24.46033915166803</v>
      </c>
      <c r="G411" s="799">
        <f>SUM(G405:G410)</f>
        <v>6.6710015868185524</v>
      </c>
      <c r="H411" s="1"/>
      <c r="I411" s="1"/>
      <c r="J411" s="1"/>
      <c r="K411" s="1"/>
      <c r="L411" s="1"/>
      <c r="M411" s="1"/>
      <c r="N411" s="1"/>
      <c r="O411" s="1"/>
      <c r="P411" s="1"/>
      <c r="Q411" s="1"/>
      <c r="R411" s="1"/>
      <c r="S411" s="1"/>
      <c r="T411" s="1"/>
      <c r="U411" s="1"/>
      <c r="V411" s="1"/>
      <c r="W411" s="1"/>
      <c r="X411" s="1"/>
      <c r="Y411" s="1"/>
      <c r="Z411" s="1"/>
    </row>
    <row r="412" spans="1:26" ht="15.75" customHeight="1">
      <c r="A412" s="1"/>
      <c r="B412" s="289"/>
      <c r="C412" s="290"/>
      <c r="D412" s="290"/>
      <c r="E412" s="290"/>
      <c r="F412" s="290"/>
      <c r="G412" s="29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24" customHeight="1">
      <c r="A417" s="1"/>
      <c r="B417" s="784" t="s">
        <v>696</v>
      </c>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784" t="s">
        <v>689</v>
      </c>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21" customHeight="1">
      <c r="A420" s="1"/>
      <c r="B420" s="404" t="s">
        <v>697</v>
      </c>
      <c r="C420" s="404"/>
      <c r="D420" s="404"/>
      <c r="E420" s="404">
        <v>2011</v>
      </c>
      <c r="F420" s="404"/>
      <c r="G420" s="404"/>
      <c r="H420" s="1"/>
      <c r="I420" s="1"/>
      <c r="J420" s="1"/>
      <c r="K420" s="1"/>
      <c r="L420" s="1"/>
      <c r="M420" s="1"/>
      <c r="N420" s="1"/>
      <c r="O420" s="1"/>
      <c r="P420" s="1"/>
      <c r="Q420" s="1"/>
      <c r="R420" s="1"/>
      <c r="S420" s="1"/>
      <c r="T420" s="1"/>
      <c r="U420" s="1"/>
      <c r="V420" s="1"/>
      <c r="W420" s="1"/>
      <c r="X420" s="1"/>
      <c r="Y420" s="1"/>
      <c r="Z420" s="1"/>
    </row>
    <row r="421" spans="1:26" ht="15.75" customHeight="1">
      <c r="A421" s="1"/>
      <c r="B421" s="404"/>
      <c r="C421" s="404"/>
      <c r="D421" s="404"/>
      <c r="E421" s="404"/>
      <c r="F421" s="404"/>
      <c r="G421" s="404"/>
      <c r="H421" s="1"/>
      <c r="I421" s="1"/>
      <c r="J421" s="1"/>
      <c r="K421" s="1"/>
      <c r="L421" s="1"/>
      <c r="M421" s="1"/>
      <c r="N421" s="1"/>
      <c r="O421" s="1"/>
      <c r="P421" s="1"/>
      <c r="Q421" s="1"/>
      <c r="R421" s="1"/>
      <c r="S421" s="1"/>
      <c r="T421" s="1"/>
      <c r="U421" s="1"/>
      <c r="V421" s="1"/>
      <c r="W421" s="1"/>
      <c r="X421" s="1"/>
      <c r="Y421" s="1"/>
      <c r="Z421" s="1"/>
    </row>
    <row r="422" spans="1:26" ht="15.75" customHeight="1">
      <c r="A422" s="1"/>
      <c r="B422" s="800"/>
      <c r="C422" s="801" t="s">
        <v>90</v>
      </c>
      <c r="D422" s="802" t="s">
        <v>118</v>
      </c>
      <c r="E422" s="802" t="s">
        <v>118</v>
      </c>
      <c r="F422" s="801" t="s">
        <v>698</v>
      </c>
      <c r="G422" s="803" t="s">
        <v>118</v>
      </c>
      <c r="H422" s="1"/>
      <c r="I422" s="2237" t="s">
        <v>1</v>
      </c>
      <c r="J422" s="2238"/>
      <c r="K422" s="1"/>
      <c r="L422" s="1"/>
      <c r="M422" s="1"/>
      <c r="N422" s="1"/>
      <c r="O422" s="1"/>
      <c r="P422" s="1"/>
      <c r="Q422" s="1"/>
      <c r="R422" s="1"/>
      <c r="S422" s="1"/>
      <c r="T422" s="1"/>
      <c r="U422" s="1"/>
      <c r="V422" s="1"/>
      <c r="W422" s="1"/>
      <c r="X422" s="1"/>
      <c r="Y422" s="1"/>
      <c r="Z422" s="1"/>
    </row>
    <row r="423" spans="1:26" ht="16.5" customHeight="1">
      <c r="A423" s="1"/>
      <c r="B423" s="804" t="s">
        <v>348</v>
      </c>
      <c r="C423" s="805" t="s">
        <v>699</v>
      </c>
      <c r="D423" s="806" t="s">
        <v>700</v>
      </c>
      <c r="E423" s="806" t="s">
        <v>701</v>
      </c>
      <c r="F423" s="805"/>
      <c r="G423" s="807" t="s">
        <v>702</v>
      </c>
      <c r="H423" s="1"/>
      <c r="I423" s="52"/>
      <c r="J423" s="52"/>
      <c r="K423" s="1"/>
      <c r="L423" s="1"/>
      <c r="M423" s="1"/>
      <c r="N423" s="1"/>
      <c r="O423" s="1"/>
      <c r="P423" s="1"/>
      <c r="Q423" s="1"/>
      <c r="R423" s="1"/>
      <c r="S423" s="1"/>
      <c r="T423" s="1"/>
      <c r="U423" s="1"/>
      <c r="V423" s="1"/>
      <c r="W423" s="1"/>
      <c r="X423" s="1"/>
      <c r="Y423" s="1"/>
      <c r="Z423" s="1"/>
    </row>
    <row r="424" spans="1:26" ht="15.75" customHeight="1">
      <c r="A424" s="1"/>
      <c r="B424" s="808" t="s">
        <v>293</v>
      </c>
      <c r="C424" s="809">
        <f>C405/1000</f>
        <v>225613.36701600003</v>
      </c>
      <c r="D424" s="810">
        <f>L55+L62</f>
        <v>461.60369068234735</v>
      </c>
      <c r="E424" s="389">
        <f t="shared" ref="E424:E427" si="9">D424*0.90718474</f>
        <v>418.75982411470574</v>
      </c>
      <c r="F424" s="49">
        <f t="shared" ref="F424:F427" si="10">$J$425</f>
        <v>28</v>
      </c>
      <c r="G424" s="811">
        <f t="shared" ref="G424:G427" si="11">(E424*F424)/1000000</f>
        <v>1.1725275075211761E-2</v>
      </c>
      <c r="H424" s="1"/>
      <c r="I424" s="53" t="s">
        <v>80</v>
      </c>
      <c r="J424" s="54">
        <f>Summary!E4</f>
        <v>1</v>
      </c>
      <c r="K424" s="1"/>
      <c r="L424" s="1"/>
      <c r="M424" s="1"/>
      <c r="N424" s="1"/>
      <c r="O424" s="1"/>
      <c r="P424" s="1"/>
      <c r="Q424" s="1"/>
      <c r="R424" s="1"/>
      <c r="S424" s="1"/>
      <c r="T424" s="1"/>
      <c r="U424" s="1"/>
      <c r="V424" s="1"/>
      <c r="W424" s="1"/>
      <c r="X424" s="1"/>
      <c r="Y424" s="1"/>
      <c r="Z424" s="1"/>
    </row>
    <row r="425" spans="1:26" ht="15.75" customHeight="1">
      <c r="A425" s="1"/>
      <c r="B425" s="808" t="s">
        <v>703</v>
      </c>
      <c r="C425" s="809">
        <f>J243/1000</f>
        <v>1804.1313567367617</v>
      </c>
      <c r="D425" s="810">
        <f>L243</f>
        <v>3.6689612981783335</v>
      </c>
      <c r="E425" s="389">
        <f t="shared" si="9"/>
        <v>3.3284257013579741</v>
      </c>
      <c r="F425" s="49">
        <f t="shared" si="10"/>
        <v>28</v>
      </c>
      <c r="G425" s="811">
        <f t="shared" si="11"/>
        <v>9.3195919638023263E-5</v>
      </c>
      <c r="H425" s="1"/>
      <c r="I425" s="53" t="s">
        <v>82</v>
      </c>
      <c r="J425" s="54">
        <f>Summary!E5</f>
        <v>28</v>
      </c>
      <c r="K425" s="1"/>
      <c r="L425" s="1"/>
      <c r="M425" s="1"/>
      <c r="N425" s="1"/>
      <c r="O425" s="1"/>
      <c r="P425" s="1"/>
      <c r="Q425" s="1"/>
      <c r="R425" s="1"/>
      <c r="S425" s="1"/>
      <c r="T425" s="1"/>
      <c r="U425" s="1"/>
      <c r="V425" s="1"/>
      <c r="W425" s="1"/>
      <c r="X425" s="1"/>
      <c r="Y425" s="1"/>
      <c r="Z425" s="1"/>
    </row>
    <row r="426" spans="1:26" ht="15.75" customHeight="1">
      <c r="A426" s="1"/>
      <c r="B426" s="808" t="s">
        <v>704</v>
      </c>
      <c r="C426" s="809">
        <f>J287/1000</f>
        <v>842.63684530900002</v>
      </c>
      <c r="D426" s="810">
        <f>L287</f>
        <v>1.629046185748185</v>
      </c>
      <c r="E426" s="389">
        <f t="shared" si="9"/>
        <v>1.4778458404659591</v>
      </c>
      <c r="F426" s="49">
        <f t="shared" si="10"/>
        <v>28</v>
      </c>
      <c r="G426" s="811">
        <f t="shared" si="11"/>
        <v>4.1379683533046859E-5</v>
      </c>
      <c r="H426" s="1"/>
      <c r="I426" s="53" t="s">
        <v>83</v>
      </c>
      <c r="J426" s="54">
        <f>Summary!E6</f>
        <v>265</v>
      </c>
      <c r="K426" s="1"/>
      <c r="L426" s="1"/>
      <c r="M426" s="1"/>
      <c r="N426" s="1"/>
      <c r="O426" s="1"/>
      <c r="P426" s="1"/>
      <c r="Q426" s="1"/>
      <c r="R426" s="1"/>
      <c r="S426" s="1"/>
      <c r="T426" s="1"/>
      <c r="U426" s="1"/>
      <c r="V426" s="1"/>
      <c r="W426" s="1"/>
      <c r="X426" s="1"/>
      <c r="Y426" s="1"/>
      <c r="Z426" s="1"/>
    </row>
    <row r="427" spans="1:26" ht="15.75" customHeight="1">
      <c r="A427" s="1"/>
      <c r="B427" s="808" t="s">
        <v>295</v>
      </c>
      <c r="C427" s="809">
        <f>J393/1000</f>
        <v>25646.912286970924</v>
      </c>
      <c r="D427" s="810">
        <f>L393</f>
        <v>46.118157938978527</v>
      </c>
      <c r="E427" s="389">
        <f t="shared" si="9"/>
        <v>41.837689119151172</v>
      </c>
      <c r="F427" s="49">
        <f t="shared" si="10"/>
        <v>28</v>
      </c>
      <c r="G427" s="811">
        <f t="shared" si="11"/>
        <v>1.171455295336233E-3</v>
      </c>
      <c r="H427" s="1"/>
      <c r="I427" s="53" t="s">
        <v>85</v>
      </c>
      <c r="J427" s="54">
        <f>Summary!E7</f>
        <v>23500</v>
      </c>
      <c r="K427" s="1"/>
      <c r="L427" s="1"/>
      <c r="M427" s="1"/>
      <c r="N427" s="1"/>
      <c r="O427" s="1"/>
      <c r="P427" s="1"/>
      <c r="Q427" s="1"/>
      <c r="R427" s="1"/>
      <c r="S427" s="1"/>
      <c r="T427" s="1"/>
      <c r="U427" s="1"/>
      <c r="V427" s="1"/>
      <c r="W427" s="1"/>
      <c r="X427" s="1"/>
      <c r="Y427" s="1"/>
      <c r="Z427" s="1"/>
    </row>
    <row r="428" spans="1:26" ht="15.75" customHeight="1">
      <c r="A428" s="1"/>
      <c r="B428" s="812"/>
      <c r="C428" s="813"/>
      <c r="D428" s="814">
        <f>SUM(D424:D427)</f>
        <v>513.0198561052523</v>
      </c>
      <c r="E428" s="813"/>
      <c r="F428" s="815" t="s">
        <v>177</v>
      </c>
      <c r="G428" s="816">
        <f>SUM(G424:G427)</f>
        <v>1.3031305973719064E-2</v>
      </c>
      <c r="H428" s="1"/>
      <c r="I428" s="53"/>
      <c r="J428" s="54"/>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24" customHeight="1">
      <c r="A430" s="1"/>
      <c r="B430" s="784" t="s">
        <v>705</v>
      </c>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784" t="s">
        <v>706</v>
      </c>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21" customHeight="1">
      <c r="A432" s="1"/>
      <c r="B432" s="1" t="s">
        <v>707</v>
      </c>
      <c r="C432" s="404"/>
      <c r="D432" s="404"/>
      <c r="E432" s="404">
        <v>2011</v>
      </c>
      <c r="F432" s="404"/>
      <c r="G432" s="404"/>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404"/>
      <c r="D433" s="404"/>
      <c r="E433" s="404"/>
      <c r="F433" s="404"/>
      <c r="G433" s="404"/>
      <c r="H433" s="1"/>
      <c r="I433" s="1"/>
      <c r="J433" s="1"/>
      <c r="K433" s="1"/>
      <c r="L433" s="1"/>
      <c r="M433" s="1"/>
      <c r="N433" s="1"/>
      <c r="O433" s="1"/>
      <c r="P433" s="1"/>
      <c r="Q433" s="1"/>
      <c r="R433" s="1"/>
      <c r="S433" s="1"/>
      <c r="T433" s="1"/>
      <c r="U433" s="1"/>
      <c r="V433" s="1"/>
      <c r="W433" s="1"/>
      <c r="X433" s="1"/>
      <c r="Y433" s="1"/>
      <c r="Z433" s="1"/>
    </row>
    <row r="434" spans="1:26" ht="15.75" customHeight="1">
      <c r="A434" s="1"/>
      <c r="B434" s="817"/>
      <c r="C434" s="818" t="s">
        <v>90</v>
      </c>
      <c r="D434" s="819" t="s">
        <v>258</v>
      </c>
      <c r="E434" s="819" t="s">
        <v>258</v>
      </c>
      <c r="F434" s="818" t="s">
        <v>698</v>
      </c>
      <c r="G434" s="820" t="s">
        <v>118</v>
      </c>
      <c r="H434" s="1"/>
      <c r="I434" s="1"/>
      <c r="J434" s="1"/>
      <c r="K434" s="1"/>
      <c r="L434" s="1"/>
      <c r="M434" s="1"/>
      <c r="N434" s="1"/>
      <c r="O434" s="1"/>
      <c r="P434" s="1"/>
      <c r="Q434" s="1"/>
      <c r="R434" s="1"/>
      <c r="S434" s="1"/>
      <c r="T434" s="1"/>
      <c r="U434" s="1"/>
      <c r="V434" s="1"/>
      <c r="W434" s="1"/>
      <c r="X434" s="1"/>
      <c r="Y434" s="1"/>
      <c r="Z434" s="1"/>
    </row>
    <row r="435" spans="1:26" ht="16.5" customHeight="1">
      <c r="A435" s="1"/>
      <c r="B435" s="821" t="s">
        <v>348</v>
      </c>
      <c r="C435" s="822" t="s">
        <v>699</v>
      </c>
      <c r="D435" s="823" t="s">
        <v>708</v>
      </c>
      <c r="E435" s="823" t="s">
        <v>709</v>
      </c>
      <c r="F435" s="822"/>
      <c r="G435" s="824" t="s">
        <v>710</v>
      </c>
      <c r="H435" s="1"/>
      <c r="I435" s="1"/>
      <c r="J435" s="1"/>
      <c r="K435" s="1"/>
      <c r="L435" s="1"/>
      <c r="M435" s="1"/>
      <c r="N435" s="1"/>
      <c r="O435" s="1"/>
      <c r="P435" s="1"/>
      <c r="Q435" s="1"/>
      <c r="R435" s="1"/>
      <c r="S435" s="1"/>
      <c r="T435" s="1"/>
      <c r="U435" s="1"/>
      <c r="V435" s="1"/>
      <c r="W435" s="1"/>
      <c r="X435" s="1"/>
      <c r="Y435" s="1"/>
      <c r="Z435" s="1"/>
    </row>
    <row r="436" spans="1:26" ht="15.75" customHeight="1">
      <c r="A436" s="1"/>
      <c r="B436" s="376" t="s">
        <v>293</v>
      </c>
      <c r="C436" s="809">
        <f t="shared" ref="C436:C439" si="12">C424</f>
        <v>225613.36701600003</v>
      </c>
      <c r="D436" s="825">
        <f>M55+M62</f>
        <v>266.80721122700658</v>
      </c>
      <c r="E436" s="389">
        <f t="shared" ref="E436:E439" si="13">D436*0.90718474</f>
        <v>242.04343054709705</v>
      </c>
      <c r="F436" s="49">
        <f t="shared" ref="F436:F439" si="14">$J$426</f>
        <v>265</v>
      </c>
      <c r="G436" s="826">
        <f t="shared" ref="G436:G439" si="15">E436*F436/1000000</f>
        <v>6.4141509094980717E-2</v>
      </c>
      <c r="H436" s="1"/>
      <c r="I436" s="1"/>
      <c r="J436" s="1"/>
      <c r="K436" s="1"/>
      <c r="L436" s="1"/>
      <c r="M436" s="1"/>
      <c r="N436" s="1"/>
      <c r="O436" s="1"/>
      <c r="P436" s="1"/>
      <c r="Q436" s="1"/>
      <c r="R436" s="1"/>
      <c r="S436" s="1"/>
      <c r="T436" s="1"/>
      <c r="U436" s="1"/>
      <c r="V436" s="1"/>
      <c r="W436" s="1"/>
      <c r="X436" s="1"/>
      <c r="Y436" s="1"/>
      <c r="Z436" s="1"/>
    </row>
    <row r="437" spans="1:26" ht="15.75" customHeight="1">
      <c r="A437" s="1"/>
      <c r="B437" s="376" t="s">
        <v>703</v>
      </c>
      <c r="C437" s="809">
        <f t="shared" si="12"/>
        <v>1804.1313567367617</v>
      </c>
      <c r="D437" s="825">
        <f>M243</f>
        <v>3.5683588965733426</v>
      </c>
      <c r="E437" s="389">
        <f t="shared" si="13"/>
        <v>3.237160737814575</v>
      </c>
      <c r="F437" s="49">
        <f t="shared" si="14"/>
        <v>265</v>
      </c>
      <c r="G437" s="826">
        <f t="shared" si="15"/>
        <v>8.5784759552086235E-4</v>
      </c>
      <c r="H437" s="1"/>
      <c r="I437" s="1"/>
      <c r="J437" s="1"/>
      <c r="K437" s="1"/>
      <c r="L437" s="1"/>
      <c r="M437" s="1"/>
      <c r="N437" s="1"/>
      <c r="O437" s="1"/>
      <c r="P437" s="1"/>
      <c r="Q437" s="1"/>
      <c r="R437" s="1"/>
      <c r="S437" s="1"/>
      <c r="T437" s="1"/>
      <c r="U437" s="1"/>
      <c r="V437" s="1"/>
      <c r="W437" s="1"/>
      <c r="X437" s="1"/>
      <c r="Y437" s="1"/>
      <c r="Z437" s="1"/>
    </row>
    <row r="438" spans="1:26" ht="15.75" customHeight="1">
      <c r="A438" s="1"/>
      <c r="B438" s="376" t="s">
        <v>704</v>
      </c>
      <c r="C438" s="809">
        <f t="shared" si="12"/>
        <v>842.63684530900002</v>
      </c>
      <c r="D438" s="825">
        <f>M287</f>
        <v>1.1718190251999789</v>
      </c>
      <c r="E438" s="389">
        <f t="shared" si="13"/>
        <v>1.0630563377030964</v>
      </c>
      <c r="F438" s="49">
        <f t="shared" si="14"/>
        <v>265</v>
      </c>
      <c r="G438" s="826">
        <f t="shared" si="15"/>
        <v>2.8170992949132055E-4</v>
      </c>
      <c r="H438" s="1"/>
      <c r="I438" s="1"/>
      <c r="J438" s="1"/>
      <c r="K438" s="1"/>
      <c r="L438" s="1"/>
      <c r="M438" s="1"/>
      <c r="N438" s="1"/>
      <c r="O438" s="1"/>
      <c r="P438" s="1"/>
      <c r="Q438" s="1"/>
      <c r="R438" s="1"/>
      <c r="S438" s="1"/>
      <c r="T438" s="1"/>
      <c r="U438" s="1"/>
      <c r="V438" s="1"/>
      <c r="W438" s="1"/>
      <c r="X438" s="1"/>
      <c r="Y438" s="1"/>
      <c r="Z438" s="1"/>
    </row>
    <row r="439" spans="1:26" ht="15.75" customHeight="1">
      <c r="A439" s="1"/>
      <c r="B439" s="376" t="s">
        <v>295</v>
      </c>
      <c r="C439" s="809">
        <f t="shared" si="12"/>
        <v>25646.912286970924</v>
      </c>
      <c r="D439" s="825">
        <f>M393</f>
        <v>16.41812203366425</v>
      </c>
      <c r="E439" s="389">
        <f t="shared" si="13"/>
        <v>14.894269768397974</v>
      </c>
      <c r="F439" s="49">
        <f t="shared" si="14"/>
        <v>265</v>
      </c>
      <c r="G439" s="826">
        <f t="shared" si="15"/>
        <v>3.9469814886254635E-3</v>
      </c>
      <c r="H439" s="1"/>
      <c r="I439" s="1"/>
      <c r="J439" s="1"/>
      <c r="K439" s="1"/>
      <c r="L439" s="1"/>
      <c r="M439" s="1"/>
      <c r="N439" s="1"/>
      <c r="O439" s="1"/>
      <c r="P439" s="1"/>
      <c r="Q439" s="1"/>
      <c r="R439" s="1"/>
      <c r="S439" s="1"/>
      <c r="T439" s="1"/>
      <c r="U439" s="1"/>
      <c r="V439" s="1"/>
      <c r="W439" s="1"/>
      <c r="X439" s="1"/>
      <c r="Y439" s="1"/>
      <c r="Z439" s="1"/>
    </row>
    <row r="440" spans="1:26" ht="15.75" customHeight="1">
      <c r="A440" s="1"/>
      <c r="B440" s="827"/>
      <c r="C440" s="813"/>
      <c r="D440" s="813"/>
      <c r="E440" s="813"/>
      <c r="F440" s="815" t="s">
        <v>177</v>
      </c>
      <c r="G440" s="828">
        <f>SUM(G436:G439)</f>
        <v>6.9228048108618365E-2</v>
      </c>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404"/>
      <c r="D441" s="404"/>
      <c r="E441" s="404"/>
      <c r="F441" s="46"/>
      <c r="G441" s="829"/>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784" t="s">
        <v>711</v>
      </c>
      <c r="C443" s="404"/>
      <c r="D443" s="404"/>
      <c r="E443" s="404"/>
      <c r="F443" s="46"/>
      <c r="G443" s="829"/>
      <c r="H443" s="1"/>
      <c r="I443" s="1"/>
      <c r="J443" s="1"/>
      <c r="K443" s="1"/>
      <c r="L443" s="1"/>
      <c r="M443" s="1"/>
      <c r="N443" s="1"/>
      <c r="O443" s="1"/>
      <c r="P443" s="1"/>
      <c r="Q443" s="1"/>
      <c r="R443" s="1"/>
      <c r="S443" s="1"/>
      <c r="T443" s="1"/>
      <c r="U443" s="1"/>
      <c r="V443" s="1"/>
      <c r="W443" s="1"/>
      <c r="X443" s="1"/>
      <c r="Y443" s="1"/>
      <c r="Z443" s="1"/>
    </row>
    <row r="444" spans="1:26" ht="15.75" customHeight="1">
      <c r="A444" s="1"/>
      <c r="B444" s="784" t="s">
        <v>706</v>
      </c>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t="s">
        <v>712</v>
      </c>
      <c r="C445" s="404"/>
      <c r="D445" s="404"/>
      <c r="E445" s="404">
        <v>2011</v>
      </c>
      <c r="F445" s="404"/>
      <c r="G445" s="404"/>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830"/>
      <c r="C447" s="831"/>
      <c r="D447" s="832" t="s">
        <v>118</v>
      </c>
      <c r="E447" s="833" t="s">
        <v>118</v>
      </c>
      <c r="F447" s="833" t="s">
        <v>118</v>
      </c>
      <c r="G447" s="834" t="s">
        <v>118</v>
      </c>
      <c r="H447" s="1"/>
      <c r="I447" s="1"/>
      <c r="J447" s="1"/>
      <c r="K447" s="1"/>
      <c r="L447" s="1"/>
      <c r="M447" s="1"/>
      <c r="N447" s="1"/>
      <c r="O447" s="1"/>
      <c r="P447" s="1"/>
      <c r="Q447" s="1"/>
      <c r="R447" s="1"/>
      <c r="S447" s="1"/>
      <c r="T447" s="1"/>
      <c r="U447" s="1"/>
      <c r="V447" s="1"/>
      <c r="W447" s="1"/>
      <c r="X447" s="1"/>
      <c r="Y447" s="1"/>
      <c r="Z447" s="1"/>
    </row>
    <row r="448" spans="1:26" ht="16.5" customHeight="1">
      <c r="A448" s="1"/>
      <c r="B448" s="696"/>
      <c r="C448" s="835" t="s">
        <v>90</v>
      </c>
      <c r="D448" s="836" t="s">
        <v>713</v>
      </c>
      <c r="E448" s="837" t="s">
        <v>714</v>
      </c>
      <c r="F448" s="837" t="s">
        <v>715</v>
      </c>
      <c r="G448" s="838" t="s">
        <v>177</v>
      </c>
      <c r="H448" s="1"/>
      <c r="I448" s="1"/>
      <c r="J448" s="1"/>
      <c r="K448" s="1"/>
      <c r="L448" s="1"/>
      <c r="M448" s="1"/>
      <c r="N448" s="1"/>
      <c r="O448" s="1"/>
      <c r="P448" s="1"/>
      <c r="Q448" s="1"/>
      <c r="R448" s="1"/>
      <c r="S448" s="1"/>
      <c r="T448" s="1"/>
      <c r="U448" s="1"/>
      <c r="V448" s="1"/>
      <c r="W448" s="1"/>
      <c r="X448" s="1"/>
      <c r="Y448" s="1"/>
      <c r="Z448" s="1"/>
    </row>
    <row r="449" spans="1:26" ht="16.5" customHeight="1">
      <c r="A449" s="1"/>
      <c r="B449" s="839" t="s">
        <v>348</v>
      </c>
      <c r="C449" s="840" t="s">
        <v>699</v>
      </c>
      <c r="D449" s="836" t="s">
        <v>716</v>
      </c>
      <c r="E449" s="837" t="s">
        <v>717</v>
      </c>
      <c r="F449" s="837" t="s">
        <v>718</v>
      </c>
      <c r="G449" s="838" t="s">
        <v>719</v>
      </c>
      <c r="H449" s="1"/>
      <c r="I449" s="1"/>
      <c r="J449" s="1"/>
      <c r="K449" s="1"/>
      <c r="L449" s="1"/>
      <c r="M449" s="1"/>
      <c r="N449" s="1"/>
      <c r="O449" s="1"/>
      <c r="P449" s="1"/>
      <c r="Q449" s="1"/>
      <c r="R449" s="1"/>
      <c r="S449" s="1"/>
      <c r="T449" s="1"/>
      <c r="U449" s="1"/>
      <c r="V449" s="1"/>
      <c r="W449" s="1"/>
      <c r="X449" s="1"/>
      <c r="Y449" s="1"/>
      <c r="Z449" s="1"/>
    </row>
    <row r="450" spans="1:26" ht="15.75" customHeight="1">
      <c r="A450" s="1"/>
      <c r="B450" s="376" t="s">
        <v>293</v>
      </c>
      <c r="C450" s="841">
        <f t="shared" ref="C450:C453" si="16">C436</f>
        <v>225613.36701600003</v>
      </c>
      <c r="D450" s="842">
        <f>D405*0.90718474/1000000</f>
        <v>21.852381106171343</v>
      </c>
      <c r="E450" s="842">
        <f t="shared" ref="E450:E453" si="17">G436</f>
        <v>6.4141509094980717E-2</v>
      </c>
      <c r="F450" s="842">
        <f t="shared" ref="F450:F453" si="18">G424</f>
        <v>1.1725275075211761E-2</v>
      </c>
      <c r="G450" s="843">
        <f t="shared" ref="G450:G453" si="19">D450+E450+F450</f>
        <v>21.928247890341535</v>
      </c>
      <c r="H450" s="1"/>
      <c r="I450" s="1"/>
      <c r="J450" s="1"/>
      <c r="K450" s="1"/>
      <c r="L450" s="1"/>
      <c r="M450" s="1"/>
      <c r="N450" s="1"/>
      <c r="O450" s="1"/>
      <c r="P450" s="1"/>
      <c r="Q450" s="1"/>
      <c r="R450" s="1"/>
      <c r="S450" s="1"/>
      <c r="T450" s="1"/>
      <c r="U450" s="1"/>
      <c r="V450" s="1"/>
      <c r="W450" s="1"/>
      <c r="X450" s="1"/>
      <c r="Y450" s="1"/>
      <c r="Z450" s="1"/>
    </row>
    <row r="451" spans="1:26" ht="15.75" customHeight="1">
      <c r="A451" s="1"/>
      <c r="B451" s="376" t="s">
        <v>703</v>
      </c>
      <c r="C451" s="809">
        <f t="shared" si="16"/>
        <v>1804.1313567367617</v>
      </c>
      <c r="D451" s="844">
        <f>(K243*0.90718474)/1000000</f>
        <v>0.13522355827553242</v>
      </c>
      <c r="E451" s="844">
        <f t="shared" si="17"/>
        <v>8.5784759552086235E-4</v>
      </c>
      <c r="F451" s="844">
        <f t="shared" si="18"/>
        <v>9.3195919638023263E-5</v>
      </c>
      <c r="G451" s="845">
        <f t="shared" si="19"/>
        <v>0.1361746017906913</v>
      </c>
      <c r="H451" s="1"/>
      <c r="I451" s="1"/>
      <c r="J451" s="1"/>
      <c r="K451" s="1"/>
      <c r="L451" s="1"/>
      <c r="M451" s="1"/>
      <c r="N451" s="1"/>
      <c r="O451" s="1"/>
      <c r="P451" s="1"/>
      <c r="Q451" s="1"/>
      <c r="R451" s="1"/>
      <c r="S451" s="1"/>
      <c r="T451" s="1"/>
      <c r="U451" s="1"/>
      <c r="V451" s="1"/>
      <c r="W451" s="1"/>
      <c r="X451" s="1"/>
      <c r="Y451" s="1"/>
      <c r="Z451" s="1"/>
    </row>
    <row r="452" spans="1:26" ht="15.75" customHeight="1">
      <c r="A452" s="1"/>
      <c r="B452" s="376" t="s">
        <v>704</v>
      </c>
      <c r="C452" s="809">
        <f t="shared" si="16"/>
        <v>842.63684530900002</v>
      </c>
      <c r="D452" s="844">
        <f>(K287*0.90718474)/1000000</f>
        <v>5.9404237516808879E-2</v>
      </c>
      <c r="E452" s="844">
        <f t="shared" si="17"/>
        <v>2.8170992949132055E-4</v>
      </c>
      <c r="F452" s="844">
        <f t="shared" si="18"/>
        <v>4.1379683533046859E-5</v>
      </c>
      <c r="G452" s="845">
        <f t="shared" si="19"/>
        <v>5.9727327129833245E-2</v>
      </c>
      <c r="H452" s="1"/>
      <c r="I452" s="1"/>
      <c r="J452" s="1"/>
      <c r="K452" s="1"/>
      <c r="L452" s="1"/>
      <c r="M452" s="1"/>
      <c r="N452" s="1"/>
      <c r="O452" s="1"/>
      <c r="P452" s="1"/>
      <c r="Q452" s="1"/>
      <c r="R452" s="1"/>
      <c r="S452" s="1"/>
      <c r="T452" s="1"/>
      <c r="U452" s="1"/>
      <c r="V452" s="1"/>
      <c r="W452" s="1"/>
      <c r="X452" s="1"/>
      <c r="Y452" s="1"/>
      <c r="Z452" s="1"/>
    </row>
    <row r="453" spans="1:26" ht="15.75" customHeight="1">
      <c r="A453" s="1"/>
      <c r="B453" s="376" t="s">
        <v>295</v>
      </c>
      <c r="C453" s="809">
        <f t="shared" si="16"/>
        <v>25646.912286970924</v>
      </c>
      <c r="D453" s="844">
        <f>(K393*0.90718474)/1000000</f>
        <v>2.4133302497043454</v>
      </c>
      <c r="E453" s="844">
        <f t="shared" si="17"/>
        <v>3.9469814886254635E-3</v>
      </c>
      <c r="F453" s="844">
        <f t="shared" si="18"/>
        <v>1.171455295336233E-3</v>
      </c>
      <c r="G453" s="845">
        <f t="shared" si="19"/>
        <v>2.4184486864883072</v>
      </c>
      <c r="H453" s="1"/>
      <c r="I453" s="1"/>
      <c r="J453" s="1"/>
      <c r="K453" s="1"/>
      <c r="L453" s="1"/>
      <c r="M453" s="1"/>
      <c r="N453" s="1"/>
      <c r="O453" s="1"/>
      <c r="P453" s="1"/>
      <c r="Q453" s="1"/>
      <c r="R453" s="1"/>
      <c r="S453" s="1"/>
      <c r="T453" s="1"/>
      <c r="U453" s="1"/>
      <c r="V453" s="1"/>
      <c r="W453" s="1"/>
      <c r="X453" s="1"/>
      <c r="Y453" s="1"/>
      <c r="Z453" s="1"/>
    </row>
    <row r="454" spans="1:26" ht="15.75" customHeight="1">
      <c r="A454" s="1"/>
      <c r="B454" s="827"/>
      <c r="C454" s="846"/>
      <c r="D454" s="847">
        <f t="shared" ref="D454:F454" si="20">SUM(D450:D453)</f>
        <v>24.46033915166803</v>
      </c>
      <c r="E454" s="847">
        <f t="shared" si="20"/>
        <v>6.9228048108618365E-2</v>
      </c>
      <c r="F454" s="847">
        <f t="shared" si="20"/>
        <v>1.3031305973719064E-2</v>
      </c>
      <c r="G454" s="848">
        <f>SUM(D454:F454)</f>
        <v>24.542598505750369</v>
      </c>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row r="656" spans="1:2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H293:I293"/>
    <mergeCell ref="I422:J422"/>
  </mergeCells>
  <pageMargins left="0.7" right="0.7" top="0.75" bottom="0.75" header="0" footer="0"/>
  <pageSetup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heetViews>
  <sheetFormatPr defaultColWidth="16.85546875" defaultRowHeight="15" customHeight="1"/>
  <cols>
    <col min="1" max="1" width="3.140625" customWidth="1"/>
    <col min="2" max="2" width="19.42578125" customWidth="1"/>
    <col min="3" max="3" width="67.85546875" customWidth="1"/>
    <col min="4" max="4" width="9.42578125" customWidth="1"/>
    <col min="5" max="5" width="19.28515625" customWidth="1"/>
    <col min="6" max="6" width="15" customWidth="1"/>
    <col min="7" max="7" width="13.7109375" customWidth="1"/>
    <col min="8" max="8" width="12" customWidth="1"/>
    <col min="9" max="9" width="12.85546875" customWidth="1"/>
    <col min="10" max="10" width="13.42578125" customWidth="1"/>
    <col min="12" max="12" width="15.140625" customWidth="1"/>
    <col min="13" max="13" width="22" customWidth="1"/>
    <col min="14" max="14" width="12.28515625" customWidth="1"/>
    <col min="15" max="15" width="13" customWidth="1"/>
    <col min="16" max="16" width="15" customWidth="1"/>
    <col min="17" max="17" width="15.28515625" customWidth="1"/>
    <col min="18" max="18" width="13.140625" customWidth="1"/>
    <col min="19" max="19" width="11.42578125" customWidth="1"/>
    <col min="20" max="20" width="19.28515625" customWidth="1"/>
    <col min="21" max="21" width="16.140625" customWidth="1"/>
    <col min="22" max="22" width="17.7109375" customWidth="1"/>
    <col min="23" max="23" width="14.7109375" customWidth="1"/>
    <col min="24" max="24" width="9.28515625" customWidth="1"/>
    <col min="25" max="25" width="12.85546875" customWidth="1"/>
    <col min="26" max="26" width="8" customWidth="1"/>
  </cols>
  <sheetData>
    <row r="1" spans="1:26" ht="14.4">
      <c r="A1" s="1" t="s">
        <v>1092</v>
      </c>
      <c r="B1" s="403"/>
      <c r="C1" s="1"/>
      <c r="D1" s="42"/>
      <c r="E1" s="1"/>
      <c r="F1" s="1"/>
      <c r="G1" s="1"/>
      <c r="H1" s="1"/>
      <c r="I1" s="1"/>
      <c r="J1" s="1"/>
      <c r="K1" s="1"/>
      <c r="L1" s="1"/>
      <c r="M1" s="1"/>
      <c r="N1" s="1"/>
      <c r="O1" s="1"/>
      <c r="P1" s="1"/>
      <c r="Q1" s="1"/>
      <c r="R1" s="1"/>
      <c r="S1" s="1"/>
      <c r="T1" s="1"/>
      <c r="U1" s="1"/>
      <c r="V1" s="1"/>
      <c r="W1" s="1"/>
      <c r="X1" s="1"/>
      <c r="Y1" s="1"/>
      <c r="Z1" s="1"/>
    </row>
    <row r="2" spans="1:26" ht="107.25" customHeight="1">
      <c r="A2" s="1"/>
      <c r="B2" s="1"/>
      <c r="C2" s="1"/>
      <c r="D2" s="1"/>
      <c r="E2" s="1"/>
      <c r="F2" s="1"/>
      <c r="G2" s="1"/>
      <c r="H2" s="1"/>
      <c r="I2" s="1"/>
      <c r="J2" s="1"/>
      <c r="K2" s="1"/>
      <c r="L2" s="1"/>
      <c r="M2" s="1"/>
      <c r="N2" s="1"/>
      <c r="O2" s="1"/>
      <c r="P2" s="1"/>
      <c r="Q2" s="1"/>
      <c r="R2" s="1"/>
      <c r="S2" s="1"/>
      <c r="T2" s="1"/>
      <c r="U2" s="1"/>
      <c r="V2" s="1"/>
      <c r="W2" s="1"/>
      <c r="X2" s="1"/>
      <c r="Y2" s="1"/>
      <c r="Z2" s="1"/>
    </row>
    <row r="3" spans="1:26" ht="14.4">
      <c r="A3" s="1"/>
      <c r="B3" s="1"/>
      <c r="C3" s="1"/>
      <c r="D3" s="1"/>
      <c r="E3" s="1"/>
      <c r="F3" s="1"/>
      <c r="G3" s="1"/>
      <c r="H3" s="1"/>
      <c r="I3" s="1" t="s">
        <v>1093</v>
      </c>
      <c r="J3" s="1"/>
      <c r="K3" s="1"/>
      <c r="L3" s="1"/>
      <c r="M3" s="1"/>
      <c r="N3" s="1"/>
      <c r="O3" s="1"/>
      <c r="P3" s="1"/>
      <c r="Q3" s="1"/>
      <c r="R3" s="1"/>
      <c r="S3" s="1"/>
      <c r="T3" s="1"/>
      <c r="U3" s="1"/>
      <c r="V3" s="1"/>
      <c r="W3" s="1"/>
      <c r="X3" s="1"/>
      <c r="Y3" s="1"/>
      <c r="Z3" s="1"/>
    </row>
    <row r="4" spans="1:26" ht="14.4">
      <c r="A4" s="1"/>
      <c r="B4" s="1"/>
      <c r="C4" s="1"/>
      <c r="D4" s="1"/>
      <c r="E4" s="1"/>
      <c r="F4" s="1"/>
      <c r="G4" s="1"/>
      <c r="H4" s="1499"/>
      <c r="I4" s="1" t="s">
        <v>1094</v>
      </c>
      <c r="J4" s="1"/>
      <c r="K4" s="1"/>
      <c r="L4" s="1"/>
      <c r="M4" s="1"/>
      <c r="N4" s="1"/>
      <c r="O4" s="1"/>
      <c r="P4" s="1"/>
      <c r="Q4" s="1"/>
      <c r="R4" s="1"/>
      <c r="S4" s="1"/>
      <c r="T4" s="1"/>
      <c r="U4" s="1"/>
      <c r="V4" s="1"/>
      <c r="W4" s="1"/>
      <c r="X4" s="1"/>
      <c r="Y4" s="1"/>
      <c r="Z4" s="1"/>
    </row>
    <row r="5" spans="1:26" ht="14.4">
      <c r="A5" s="1"/>
      <c r="B5" s="1"/>
      <c r="C5" s="1"/>
      <c r="D5" s="1"/>
      <c r="E5" s="1"/>
      <c r="F5" s="1"/>
      <c r="G5" s="1"/>
      <c r="H5" s="1500"/>
      <c r="I5" s="1" t="s">
        <v>1095</v>
      </c>
      <c r="J5" s="1"/>
      <c r="K5" s="1"/>
      <c r="L5" s="1"/>
      <c r="M5" s="1"/>
      <c r="N5" s="1"/>
      <c r="O5" s="1"/>
      <c r="P5" s="1"/>
      <c r="Q5" s="1"/>
      <c r="R5" s="1"/>
      <c r="S5" s="1"/>
      <c r="T5" s="1"/>
      <c r="U5" s="1"/>
      <c r="V5" s="1"/>
      <c r="W5" s="1"/>
      <c r="X5" s="1"/>
      <c r="Y5" s="1"/>
      <c r="Z5" s="1"/>
    </row>
    <row r="6" spans="1:26" ht="14.4">
      <c r="A6" s="1"/>
      <c r="B6" s="1"/>
      <c r="C6" s="41"/>
      <c r="D6" s="1"/>
      <c r="E6" s="1501"/>
      <c r="F6" s="50"/>
      <c r="G6" s="1"/>
      <c r="H6" s="1501"/>
      <c r="I6" s="1501"/>
      <c r="J6" s="50"/>
      <c r="K6" s="50"/>
      <c r="L6" s="41"/>
      <c r="M6" s="41"/>
      <c r="N6" s="41"/>
      <c r="O6" s="41"/>
      <c r="P6" s="41"/>
      <c r="Q6" s="50"/>
      <c r="R6" s="50"/>
      <c r="S6" s="50"/>
      <c r="T6" s="50"/>
      <c r="U6" s="50"/>
      <c r="V6" s="1"/>
      <c r="W6" s="1"/>
      <c r="X6" s="1"/>
      <c r="Y6" s="1"/>
      <c r="Z6" s="1"/>
    </row>
    <row r="7" spans="1:26" ht="14.4">
      <c r="A7" s="1"/>
      <c r="B7" s="1"/>
      <c r="C7" s="1"/>
      <c r="D7" s="1"/>
      <c r="E7" s="1"/>
      <c r="F7" s="1"/>
      <c r="G7" s="41"/>
      <c r="H7" s="1"/>
      <c r="I7" s="1501"/>
      <c r="J7" s="50"/>
      <c r="K7" s="1"/>
      <c r="L7" s="1501"/>
      <c r="M7" s="1501"/>
      <c r="N7" s="50"/>
      <c r="O7" s="50"/>
      <c r="P7" s="41"/>
      <c r="Q7" s="41"/>
      <c r="R7" s="41"/>
      <c r="S7" s="41"/>
      <c r="T7" s="41"/>
      <c r="U7" s="50"/>
      <c r="V7" s="50"/>
      <c r="W7" s="50"/>
      <c r="X7" s="50"/>
      <c r="Y7" s="50"/>
      <c r="Z7" s="1"/>
    </row>
    <row r="8" spans="1:26" ht="14.4">
      <c r="A8" s="1"/>
      <c r="B8" s="1"/>
      <c r="C8" s="1"/>
      <c r="D8" s="1"/>
      <c r="E8" s="1"/>
      <c r="F8" s="1"/>
      <c r="G8" s="1"/>
      <c r="H8" s="1"/>
      <c r="I8" s="1502"/>
      <c r="J8" s="50"/>
      <c r="K8" s="1"/>
      <c r="L8" s="1501"/>
      <c r="M8" s="1503"/>
      <c r="N8" s="50"/>
      <c r="O8" s="50"/>
      <c r="P8" s="1"/>
      <c r="Q8" s="1"/>
      <c r="R8" s="1"/>
      <c r="S8" s="1"/>
      <c r="T8" s="1"/>
      <c r="U8" s="1"/>
      <c r="V8" s="1"/>
      <c r="W8" s="1"/>
      <c r="X8" s="1"/>
      <c r="Y8" s="1"/>
      <c r="Z8" s="1"/>
    </row>
    <row r="9" spans="1:26" ht="228" customHeight="1">
      <c r="A9" s="1"/>
      <c r="B9" s="1504" t="s">
        <v>1096</v>
      </c>
      <c r="C9" s="1505" t="s">
        <v>1097</v>
      </c>
      <c r="D9" s="1506" t="s">
        <v>1098</v>
      </c>
      <c r="E9" s="1507" t="s">
        <v>1099</v>
      </c>
      <c r="F9" s="1508" t="s">
        <v>1100</v>
      </c>
      <c r="G9" s="1508" t="s">
        <v>1101</v>
      </c>
      <c r="H9" s="1509" t="s">
        <v>1102</v>
      </c>
      <c r="I9" s="1509" t="s">
        <v>1103</v>
      </c>
      <c r="J9" s="1508" t="s">
        <v>1104</v>
      </c>
      <c r="K9" s="1508" t="s">
        <v>1105</v>
      </c>
      <c r="L9" s="1508" t="s">
        <v>1106</v>
      </c>
      <c r="M9" s="1508" t="s">
        <v>1107</v>
      </c>
      <c r="N9" s="1508" t="s">
        <v>1108</v>
      </c>
      <c r="O9" s="1508" t="s">
        <v>1109</v>
      </c>
      <c r="P9" s="1508" t="s">
        <v>1110</v>
      </c>
      <c r="Q9" s="1508" t="s">
        <v>1111</v>
      </c>
      <c r="R9" s="1510" t="s">
        <v>1112</v>
      </c>
      <c r="S9" s="1508" t="s">
        <v>1113</v>
      </c>
      <c r="T9" s="1508" t="s">
        <v>1114</v>
      </c>
      <c r="U9" s="1508" t="s">
        <v>1115</v>
      </c>
      <c r="V9" s="1508" t="s">
        <v>1116</v>
      </c>
      <c r="W9" s="1511" t="s">
        <v>1117</v>
      </c>
      <c r="X9" s="1"/>
      <c r="Y9" s="1"/>
      <c r="Z9" s="1"/>
    </row>
    <row r="10" spans="1:26" ht="14.4">
      <c r="A10" s="1"/>
      <c r="B10" s="376"/>
      <c r="C10" s="75"/>
      <c r="D10" s="75"/>
      <c r="E10" s="1512"/>
      <c r="F10" s="261"/>
      <c r="G10" s="261"/>
      <c r="H10" s="1513"/>
      <c r="I10" s="1514"/>
      <c r="J10" s="924"/>
      <c r="K10" s="924"/>
      <c r="L10" s="75"/>
      <c r="M10" s="75"/>
      <c r="N10" s="75"/>
      <c r="O10" s="924"/>
      <c r="P10" s="924"/>
      <c r="Q10" s="924"/>
      <c r="R10" s="924"/>
      <c r="S10" s="75"/>
      <c r="T10" s="924"/>
      <c r="U10" s="924"/>
      <c r="V10" s="924"/>
      <c r="W10" s="1515"/>
      <c r="X10" s="1"/>
      <c r="Y10" s="1"/>
      <c r="Z10" s="1"/>
    </row>
    <row r="11" spans="1:26" ht="14.4">
      <c r="A11" s="1"/>
      <c r="B11" s="1164" t="s">
        <v>1118</v>
      </c>
      <c r="C11" s="1516" t="s">
        <v>1119</v>
      </c>
      <c r="D11" s="1517">
        <v>4.26</v>
      </c>
      <c r="E11" s="1518">
        <f t="shared" ref="E11:E12" si="0">D11*1000000*0.9071847</f>
        <v>3864606.8219999997</v>
      </c>
      <c r="F11" s="1519">
        <v>125000</v>
      </c>
      <c r="G11" s="1519">
        <f t="shared" ref="G11:G12" si="1">F11*0.9071847</f>
        <v>113398.08749999999</v>
      </c>
      <c r="H11" s="1520">
        <v>1992</v>
      </c>
      <c r="I11" s="1521">
        <v>2015</v>
      </c>
      <c r="J11" s="1518">
        <v>11582.61522014504</v>
      </c>
      <c r="K11" s="1518">
        <v>4221.4303142723575</v>
      </c>
      <c r="L11" s="1522">
        <v>0.72199999999999998</v>
      </c>
      <c r="M11" s="1518">
        <f>K11*L11</f>
        <v>3047.8726869046418</v>
      </c>
      <c r="N11" s="1523">
        <v>0.98</v>
      </c>
      <c r="O11" s="1518">
        <f>M11*N11</f>
        <v>2986.9152331665491</v>
      </c>
      <c r="P11" s="1518">
        <f>O11*2.75</f>
        <v>8214.0168912080098</v>
      </c>
      <c r="Q11" s="1518">
        <f>M11*(1-N11)</f>
        <v>60.957453738092887</v>
      </c>
      <c r="R11" s="1518">
        <f>K11*(1-L11)</f>
        <v>1173.5576273677154</v>
      </c>
      <c r="S11" s="1522">
        <v>0.1</v>
      </c>
      <c r="T11" s="1518">
        <f t="shared" ref="T11:T12" si="2">R11*S11</f>
        <v>117.35576273677155</v>
      </c>
      <c r="U11" s="1518">
        <f t="shared" ref="U11:U12" si="3">R11-T11</f>
        <v>1056.2018646309439</v>
      </c>
      <c r="V11" s="1518">
        <f t="shared" ref="V11:V12" si="4">Q11+U11</f>
        <v>1117.1593183690368</v>
      </c>
      <c r="W11" s="1524">
        <f t="shared" ref="W11:W12" si="5">(V11*$D$88)+J11+P11</f>
        <v>51077.093025686081</v>
      </c>
      <c r="X11" s="1"/>
      <c r="Y11" s="1"/>
      <c r="Z11" s="1"/>
    </row>
    <row r="12" spans="1:26" ht="14.4">
      <c r="A12" s="1"/>
      <c r="B12" s="376"/>
      <c r="C12" s="75" t="s">
        <v>1120</v>
      </c>
      <c r="D12" s="1081">
        <v>1.5</v>
      </c>
      <c r="E12" s="924">
        <f t="shared" si="0"/>
        <v>1360777.05</v>
      </c>
      <c r="F12" s="1512">
        <v>75000</v>
      </c>
      <c r="G12" s="1512">
        <f t="shared" si="1"/>
        <v>68038.852499999994</v>
      </c>
      <c r="H12" s="261">
        <v>1971</v>
      </c>
      <c r="I12" s="1525">
        <v>1992</v>
      </c>
      <c r="J12" s="924">
        <v>3536.3938330901096</v>
      </c>
      <c r="K12" s="924">
        <v>1288.8833692970995</v>
      </c>
      <c r="L12" s="1460"/>
      <c r="M12" s="924"/>
      <c r="N12" s="1167"/>
      <c r="O12" s="924"/>
      <c r="P12" s="924"/>
      <c r="Q12" s="924"/>
      <c r="R12" s="924">
        <f>K12</f>
        <v>1288.8833692970995</v>
      </c>
      <c r="S12" s="1460">
        <v>0.1</v>
      </c>
      <c r="T12" s="924">
        <f t="shared" si="2"/>
        <v>128.88833692970996</v>
      </c>
      <c r="U12" s="924">
        <f t="shared" si="3"/>
        <v>1159.9950323673895</v>
      </c>
      <c r="V12" s="924">
        <f t="shared" si="4"/>
        <v>1159.9950323673895</v>
      </c>
      <c r="W12" s="1515">
        <f t="shared" si="5"/>
        <v>36016.254739377015</v>
      </c>
      <c r="X12" s="1"/>
      <c r="Y12" s="1"/>
      <c r="Z12" s="1"/>
    </row>
    <row r="13" spans="1:26" ht="14.4">
      <c r="A13" s="1"/>
      <c r="B13" s="376"/>
      <c r="C13" s="75"/>
      <c r="D13" s="1081"/>
      <c r="E13" s="924"/>
      <c r="F13" s="1512"/>
      <c r="G13" s="1512"/>
      <c r="H13" s="261"/>
      <c r="I13" s="1525"/>
      <c r="J13" s="924"/>
      <c r="K13" s="924"/>
      <c r="L13" s="1460"/>
      <c r="M13" s="924"/>
      <c r="N13" s="1167"/>
      <c r="O13" s="924"/>
      <c r="P13" s="924"/>
      <c r="Q13" s="924"/>
      <c r="R13" s="924"/>
      <c r="S13" s="75"/>
      <c r="T13" s="924"/>
      <c r="U13" s="924"/>
      <c r="V13" s="924"/>
      <c r="W13" s="1515"/>
      <c r="X13" s="1"/>
      <c r="Y13" s="1"/>
      <c r="Z13" s="1"/>
    </row>
    <row r="14" spans="1:26" ht="14.4">
      <c r="A14" s="1"/>
      <c r="B14" s="1164" t="s">
        <v>1121</v>
      </c>
      <c r="C14" s="75" t="s">
        <v>1122</v>
      </c>
      <c r="D14" s="1081">
        <v>0.85</v>
      </c>
      <c r="E14" s="924">
        <f t="shared" ref="E14:E17" si="6">D14*1000000*0.9071847</f>
        <v>771106.995</v>
      </c>
      <c r="F14" s="1512">
        <v>23000</v>
      </c>
      <c r="G14" s="1512">
        <f t="shared" ref="G14:G17" si="7">F14*0.9071847</f>
        <v>20865.248100000001</v>
      </c>
      <c r="H14" s="261">
        <v>1960</v>
      </c>
      <c r="I14" s="1525">
        <v>1993</v>
      </c>
      <c r="J14" s="924">
        <v>1887.6275376496142</v>
      </c>
      <c r="K14" s="924">
        <v>687.96968197909132</v>
      </c>
      <c r="L14" s="1460"/>
      <c r="M14" s="924"/>
      <c r="N14" s="1167"/>
      <c r="O14" s="924"/>
      <c r="P14" s="924"/>
      <c r="Q14" s="924"/>
      <c r="R14" s="924">
        <f t="shared" ref="R14:R15" si="8">K14</f>
        <v>687.96968197909132</v>
      </c>
      <c r="S14" s="1460">
        <v>0.1</v>
      </c>
      <c r="T14" s="924">
        <f t="shared" ref="T14:T19" si="9">R14*S14</f>
        <v>68.796968197909138</v>
      </c>
      <c r="U14" s="924">
        <f t="shared" ref="U14:U19" si="10">R14-T14</f>
        <v>619.17271378118221</v>
      </c>
      <c r="V14" s="924">
        <f t="shared" ref="V14:V19" si="11">Q14+U14</f>
        <v>619.17271378118221</v>
      </c>
      <c r="W14" s="1515">
        <f t="shared" ref="W14:W19" si="12">(V14*$D$88)+J14+P14</f>
        <v>19224.463523522718</v>
      </c>
      <c r="X14" s="1"/>
      <c r="Y14" s="1"/>
      <c r="Z14" s="1"/>
    </row>
    <row r="15" spans="1:26" ht="14.4">
      <c r="A15" s="1"/>
      <c r="B15" s="376"/>
      <c r="C15" s="75" t="s">
        <v>1123</v>
      </c>
      <c r="D15" s="1081">
        <v>0.67</v>
      </c>
      <c r="E15" s="924">
        <f t="shared" si="6"/>
        <v>607813.74899999995</v>
      </c>
      <c r="F15" s="1512">
        <v>11000</v>
      </c>
      <c r="G15" s="1512">
        <f t="shared" si="7"/>
        <v>9979.0316999999995</v>
      </c>
      <c r="H15" s="261">
        <v>1976</v>
      </c>
      <c r="I15" s="1525">
        <v>1996</v>
      </c>
      <c r="J15" s="924">
        <f>3076</f>
        <v>3076</v>
      </c>
      <c r="K15" s="924">
        <f>1121</f>
        <v>1121</v>
      </c>
      <c r="L15" s="1460"/>
      <c r="M15" s="924"/>
      <c r="N15" s="1167"/>
      <c r="O15" s="924"/>
      <c r="P15" s="924"/>
      <c r="Q15" s="924"/>
      <c r="R15" s="924">
        <f t="shared" si="8"/>
        <v>1121</v>
      </c>
      <c r="S15" s="1460">
        <v>0.1</v>
      </c>
      <c r="T15" s="924">
        <f t="shared" si="9"/>
        <v>112.10000000000001</v>
      </c>
      <c r="U15" s="924">
        <f t="shared" si="10"/>
        <v>1008.9</v>
      </c>
      <c r="V15" s="924">
        <f t="shared" si="11"/>
        <v>1008.9</v>
      </c>
      <c r="W15" s="1515">
        <f t="shared" si="12"/>
        <v>31325.200000000001</v>
      </c>
      <c r="X15" s="1"/>
      <c r="Y15" s="1"/>
      <c r="Z15" s="1"/>
    </row>
    <row r="16" spans="1:26" ht="14.4">
      <c r="A16" s="1"/>
      <c r="B16" s="376"/>
      <c r="C16" s="1516" t="s">
        <v>1124</v>
      </c>
      <c r="D16" s="1517">
        <v>14.3</v>
      </c>
      <c r="E16" s="1518">
        <f t="shared" si="6"/>
        <v>12972741.209999999</v>
      </c>
      <c r="F16" s="1519">
        <v>358288</v>
      </c>
      <c r="G16" s="1519">
        <f t="shared" si="7"/>
        <v>325033.39179359999</v>
      </c>
      <c r="H16" s="1520">
        <v>1975</v>
      </c>
      <c r="I16" s="1521">
        <v>2060</v>
      </c>
      <c r="J16" s="1518">
        <v>29285.912429379514</v>
      </c>
      <c r="K16" s="1518">
        <v>10673.620435520277</v>
      </c>
      <c r="L16" s="1522">
        <v>0.83499999999999996</v>
      </c>
      <c r="M16" s="1518">
        <f>K16*L16</f>
        <v>8912.4730636594304</v>
      </c>
      <c r="N16" s="1523">
        <v>0.99909999999999999</v>
      </c>
      <c r="O16" s="1518">
        <f>M16*N16</f>
        <v>8904.4518379021374</v>
      </c>
      <c r="P16" s="1518">
        <f>O16*2.75</f>
        <v>24487.242554230877</v>
      </c>
      <c r="Q16" s="1518">
        <f>M16*(1-N16)</f>
        <v>8.0212257572935943</v>
      </c>
      <c r="R16" s="1518">
        <f>K16*(1-L16)</f>
        <v>1761.1473718608461</v>
      </c>
      <c r="S16" s="1522">
        <v>0.1</v>
      </c>
      <c r="T16" s="1518">
        <f t="shared" si="9"/>
        <v>176.11473718608462</v>
      </c>
      <c r="U16" s="1518">
        <f t="shared" si="10"/>
        <v>1585.0326346747615</v>
      </c>
      <c r="V16" s="1518">
        <f t="shared" si="11"/>
        <v>1593.0538604320552</v>
      </c>
      <c r="W16" s="1524">
        <f t="shared" si="12"/>
        <v>98378.66307570794</v>
      </c>
      <c r="X16" s="1"/>
      <c r="Y16" s="1"/>
      <c r="Z16" s="1"/>
    </row>
    <row r="17" spans="1:26" ht="14.4">
      <c r="A17" s="1"/>
      <c r="B17" s="376"/>
      <c r="C17" s="75" t="s">
        <v>1125</v>
      </c>
      <c r="D17" s="1081">
        <v>0.7</v>
      </c>
      <c r="E17" s="924">
        <f t="shared" si="6"/>
        <v>635029.28999999992</v>
      </c>
      <c r="F17" s="1512">
        <v>61000</v>
      </c>
      <c r="G17" s="1512">
        <f t="shared" si="7"/>
        <v>55338.2667</v>
      </c>
      <c r="H17" s="261">
        <v>1982</v>
      </c>
      <c r="I17" s="1525">
        <v>1993</v>
      </c>
      <c r="J17" s="924">
        <v>2229.1843372956323</v>
      </c>
      <c r="K17" s="924">
        <v>812.45436878486566</v>
      </c>
      <c r="L17" s="1460"/>
      <c r="M17" s="924"/>
      <c r="N17" s="1167"/>
      <c r="O17" s="924"/>
      <c r="P17" s="924"/>
      <c r="Q17" s="924"/>
      <c r="R17" s="924">
        <f>K17</f>
        <v>812.45436878486566</v>
      </c>
      <c r="S17" s="1460">
        <v>0.1</v>
      </c>
      <c r="T17" s="924">
        <f t="shared" si="9"/>
        <v>81.245436878486572</v>
      </c>
      <c r="U17" s="924">
        <f t="shared" si="10"/>
        <v>731.20893190637912</v>
      </c>
      <c r="V17" s="924">
        <f t="shared" si="11"/>
        <v>731.20893190637912</v>
      </c>
      <c r="W17" s="1515">
        <f t="shared" si="12"/>
        <v>22703.034430674248</v>
      </c>
      <c r="X17" s="1"/>
      <c r="Y17" s="1"/>
      <c r="Z17" s="1"/>
    </row>
    <row r="18" spans="1:26" ht="14.4">
      <c r="A18" s="1"/>
      <c r="B18" s="376"/>
      <c r="C18" s="1516" t="s">
        <v>1126</v>
      </c>
      <c r="D18" s="1516"/>
      <c r="E18" s="1518">
        <v>1122641.432</v>
      </c>
      <c r="F18" s="1520"/>
      <c r="G18" s="1519"/>
      <c r="H18" s="1520">
        <v>1963</v>
      </c>
      <c r="I18" s="1521">
        <v>1982</v>
      </c>
      <c r="J18" s="1518">
        <f>2035</f>
        <v>2035</v>
      </c>
      <c r="K18" s="1518">
        <f>741.6</f>
        <v>741.6</v>
      </c>
      <c r="L18" s="1526">
        <v>0.24610000000000001</v>
      </c>
      <c r="M18" s="1518">
        <f>K18*L18</f>
        <v>182.50776000000002</v>
      </c>
      <c r="N18" s="1523">
        <v>0.98</v>
      </c>
      <c r="O18" s="1518">
        <f>M18*N18</f>
        <v>178.85760480000002</v>
      </c>
      <c r="P18" s="1518">
        <f>O18*2.75</f>
        <v>491.85841320000003</v>
      </c>
      <c r="Q18" s="1518">
        <f>M18*(1-N18)</f>
        <v>3.6501552000000035</v>
      </c>
      <c r="R18" s="1518">
        <f>K18*(1-L18)</f>
        <v>559.09224000000006</v>
      </c>
      <c r="S18" s="1522">
        <v>0.1</v>
      </c>
      <c r="T18" s="1518">
        <f t="shared" si="9"/>
        <v>55.909224000000009</v>
      </c>
      <c r="U18" s="1518">
        <f t="shared" si="10"/>
        <v>503.18301600000007</v>
      </c>
      <c r="V18" s="1518">
        <f t="shared" si="11"/>
        <v>506.83317120000009</v>
      </c>
      <c r="W18" s="1524">
        <f t="shared" si="12"/>
        <v>16718.187206800005</v>
      </c>
      <c r="X18" s="1"/>
      <c r="Y18" s="1"/>
      <c r="Z18" s="1"/>
    </row>
    <row r="19" spans="1:26" ht="14.4">
      <c r="A19" s="1"/>
      <c r="B19" s="376"/>
      <c r="C19" s="75" t="s">
        <v>1127</v>
      </c>
      <c r="D19" s="75"/>
      <c r="E19" s="924">
        <v>3487273</v>
      </c>
      <c r="F19" s="261"/>
      <c r="G19" s="1512"/>
      <c r="H19" s="261">
        <v>1953</v>
      </c>
      <c r="I19" s="1525">
        <v>1982</v>
      </c>
      <c r="J19" s="924">
        <f>5764</f>
        <v>5764</v>
      </c>
      <c r="K19" s="924">
        <f>2101</f>
        <v>2101</v>
      </c>
      <c r="L19" s="1460"/>
      <c r="M19" s="1527"/>
      <c r="N19" s="1528"/>
      <c r="O19" s="1527"/>
      <c r="P19" s="1527"/>
      <c r="Q19" s="1527"/>
      <c r="R19" s="1529">
        <f>K19</f>
        <v>2101</v>
      </c>
      <c r="S19" s="1530">
        <v>0.1</v>
      </c>
      <c r="T19" s="1529">
        <f t="shared" si="9"/>
        <v>210.10000000000002</v>
      </c>
      <c r="U19" s="1529">
        <f t="shared" si="10"/>
        <v>1890.9</v>
      </c>
      <c r="V19" s="1529">
        <f t="shared" si="11"/>
        <v>1890.9</v>
      </c>
      <c r="W19" s="1531">
        <f t="shared" si="12"/>
        <v>58709.200000000004</v>
      </c>
      <c r="X19" s="1"/>
      <c r="Y19" s="1"/>
      <c r="Z19" s="1"/>
    </row>
    <row r="20" spans="1:26" ht="14.4">
      <c r="A20" s="1"/>
      <c r="B20" s="376"/>
      <c r="C20" s="75"/>
      <c r="D20" s="75"/>
      <c r="E20" s="924"/>
      <c r="F20" s="261"/>
      <c r="G20" s="1512"/>
      <c r="H20" s="261"/>
      <c r="I20" s="1525"/>
      <c r="J20" s="924"/>
      <c r="K20" s="924"/>
      <c r="L20" s="1460"/>
      <c r="M20" s="924"/>
      <c r="N20" s="1167"/>
      <c r="O20" s="924"/>
      <c r="P20" s="924"/>
      <c r="Q20" s="924"/>
      <c r="R20" s="924"/>
      <c r="S20" s="75"/>
      <c r="T20" s="924"/>
      <c r="U20" s="924"/>
      <c r="V20" s="924"/>
      <c r="W20" s="1515"/>
      <c r="X20" s="1"/>
      <c r="Y20" s="1"/>
      <c r="Z20" s="1"/>
    </row>
    <row r="21" spans="1:26" ht="15.75" customHeight="1">
      <c r="A21" s="1"/>
      <c r="B21" s="1164" t="s">
        <v>1128</v>
      </c>
      <c r="C21" s="75" t="s">
        <v>1129</v>
      </c>
      <c r="D21" s="1081">
        <v>18.320622</v>
      </c>
      <c r="E21" s="924">
        <f>D21*1000000*0.9071847</f>
        <v>16620187.9728834</v>
      </c>
      <c r="F21" s="1512">
        <v>523000</v>
      </c>
      <c r="G21" s="1512">
        <f>F21*0.9071847</f>
        <v>474457.5981</v>
      </c>
      <c r="H21" s="261">
        <v>1985</v>
      </c>
      <c r="I21" s="1525">
        <v>2019</v>
      </c>
      <c r="J21" s="924">
        <v>39413.02160202081</v>
      </c>
      <c r="K21" s="924">
        <v>14364.573199191404</v>
      </c>
      <c r="L21" s="1460"/>
      <c r="M21" s="924"/>
      <c r="N21" s="1167"/>
      <c r="O21" s="924"/>
      <c r="P21" s="924"/>
      <c r="Q21" s="924"/>
      <c r="R21" s="924">
        <f>K21</f>
        <v>14364.573199191404</v>
      </c>
      <c r="S21" s="1460">
        <v>0.1</v>
      </c>
      <c r="T21" s="924">
        <f>R21*S21</f>
        <v>1436.4573199191404</v>
      </c>
      <c r="U21" s="924">
        <f>R21-T21</f>
        <v>12928.115879272264</v>
      </c>
      <c r="V21" s="924">
        <f>Q21+U21</f>
        <v>12928.115879272264</v>
      </c>
      <c r="W21" s="1515">
        <f>(V21*$D$88)+J21+P21</f>
        <v>401400.26622164424</v>
      </c>
      <c r="X21" s="1"/>
      <c r="Y21" s="1"/>
      <c r="Z21" s="1"/>
    </row>
    <row r="22" spans="1:26" ht="15.75" customHeight="1">
      <c r="A22" s="1"/>
      <c r="B22" s="1164"/>
      <c r="C22" s="75"/>
      <c r="D22" s="1081"/>
      <c r="E22" s="924"/>
      <c r="F22" s="1512"/>
      <c r="G22" s="1512"/>
      <c r="H22" s="261"/>
      <c r="I22" s="1525"/>
      <c r="J22" s="924"/>
      <c r="K22" s="924"/>
      <c r="L22" s="1460"/>
      <c r="M22" s="924"/>
      <c r="N22" s="1167"/>
      <c r="O22" s="924"/>
      <c r="P22" s="924"/>
      <c r="Q22" s="924"/>
      <c r="R22" s="924"/>
      <c r="S22" s="1460"/>
      <c r="T22" s="924"/>
      <c r="U22" s="924"/>
      <c r="V22" s="924"/>
      <c r="W22" s="1515"/>
      <c r="X22" s="1"/>
      <c r="Y22" s="1"/>
      <c r="Z22" s="1"/>
    </row>
    <row r="23" spans="1:26" ht="15.75" customHeight="1">
      <c r="A23" s="1"/>
      <c r="B23" s="1164" t="s">
        <v>1130</v>
      </c>
      <c r="C23" s="1516" t="s">
        <v>1131</v>
      </c>
      <c r="D23" s="1517">
        <v>22.812999999999999</v>
      </c>
      <c r="E23" s="1518">
        <f>D23*1000000*0.9071847</f>
        <v>20695604.561099999</v>
      </c>
      <c r="F23" s="1519">
        <v>250000</v>
      </c>
      <c r="G23" s="1519">
        <f>F23*0.9071847</f>
        <v>226796.17499999999</v>
      </c>
      <c r="H23" s="1520">
        <v>1982</v>
      </c>
      <c r="I23" s="1521">
        <v>2033</v>
      </c>
      <c r="J23" s="1518">
        <f>15150</f>
        <v>15150</v>
      </c>
      <c r="K23" s="1518">
        <f>7944</f>
        <v>7944</v>
      </c>
      <c r="L23" s="1522">
        <v>0.85</v>
      </c>
      <c r="M23" s="1518">
        <f t="shared" ref="M23:M24" si="13">K23*L23</f>
        <v>6752.4</v>
      </c>
      <c r="N23" s="1523">
        <v>0.98</v>
      </c>
      <c r="O23" s="1518">
        <f t="shared" ref="O23:O24" si="14">M23*N23</f>
        <v>6617.3519999999999</v>
      </c>
      <c r="P23" s="1518">
        <f t="shared" ref="P23:P24" si="15">O23*2.75</f>
        <v>18197.718000000001</v>
      </c>
      <c r="Q23" s="1518">
        <f t="shared" ref="Q23:Q24" si="16">M23*(1-N23)</f>
        <v>135.04800000000012</v>
      </c>
      <c r="R23" s="1518">
        <f t="shared" ref="R23:R24" si="17">K23*(1-L23)</f>
        <v>1191.6000000000001</v>
      </c>
      <c r="S23" s="1522">
        <v>0.1</v>
      </c>
      <c r="T23" s="1518">
        <f t="shared" ref="T23:T24" si="18">R23*S23</f>
        <v>119.16000000000003</v>
      </c>
      <c r="U23" s="1518">
        <f t="shared" ref="U23:U24" si="19">R23-T23</f>
        <v>1072.44</v>
      </c>
      <c r="V23" s="1518">
        <f t="shared" ref="V23:V24" si="20">Q23+U23</f>
        <v>1207.4880000000003</v>
      </c>
      <c r="W23" s="1524">
        <f t="shared" ref="W23:W24" si="21">(V23*$D$88)+J23+P23</f>
        <v>67157.382000000012</v>
      </c>
      <c r="X23" s="1"/>
      <c r="Y23" s="1"/>
      <c r="Z23" s="1"/>
    </row>
    <row r="24" spans="1:26" ht="15.75" customHeight="1">
      <c r="A24" s="1"/>
      <c r="B24" s="376"/>
      <c r="C24" s="1516" t="s">
        <v>1132</v>
      </c>
      <c r="D24" s="1517"/>
      <c r="E24" s="1518">
        <v>7259745.9500000002</v>
      </c>
      <c r="F24" s="1519"/>
      <c r="G24" s="1519"/>
      <c r="H24" s="1520">
        <v>1968</v>
      </c>
      <c r="I24" s="1521">
        <v>1986</v>
      </c>
      <c r="J24" s="1518">
        <v>15710</v>
      </c>
      <c r="K24" s="1518">
        <f>5727</f>
        <v>5727</v>
      </c>
      <c r="L24" s="1522">
        <v>0.42720000000000002</v>
      </c>
      <c r="M24" s="1518">
        <f t="shared" si="13"/>
        <v>2446.5744</v>
      </c>
      <c r="N24" s="1523">
        <v>0.98</v>
      </c>
      <c r="O24" s="1518">
        <f t="shared" si="14"/>
        <v>2397.6429119999998</v>
      </c>
      <c r="P24" s="1518">
        <f t="shared" si="15"/>
        <v>6593.5180079999991</v>
      </c>
      <c r="Q24" s="1518">
        <f t="shared" si="16"/>
        <v>48.931488000000044</v>
      </c>
      <c r="R24" s="1518">
        <f t="shared" si="17"/>
        <v>3280.4256</v>
      </c>
      <c r="S24" s="1522">
        <v>0.1</v>
      </c>
      <c r="T24" s="1518">
        <f t="shared" si="18"/>
        <v>328.04256000000004</v>
      </c>
      <c r="U24" s="1518">
        <f t="shared" si="19"/>
        <v>2952.3830400000002</v>
      </c>
      <c r="V24" s="1518">
        <f t="shared" si="20"/>
        <v>3001.3145280000003</v>
      </c>
      <c r="W24" s="1524">
        <f t="shared" si="21"/>
        <v>106340.32479200001</v>
      </c>
      <c r="X24" s="1"/>
      <c r="Y24" s="1"/>
      <c r="Z24" s="1"/>
    </row>
    <row r="25" spans="1:26" ht="15.75" customHeight="1">
      <c r="A25" s="1"/>
      <c r="B25" s="376"/>
      <c r="C25" s="75"/>
      <c r="D25" s="1081"/>
      <c r="E25" s="924"/>
      <c r="F25" s="1512"/>
      <c r="G25" s="1512"/>
      <c r="H25" s="261"/>
      <c r="I25" s="1525"/>
      <c r="J25" s="924"/>
      <c r="K25" s="924"/>
      <c r="L25" s="1460"/>
      <c r="M25" s="924"/>
      <c r="N25" s="1167"/>
      <c r="O25" s="924"/>
      <c r="P25" s="924"/>
      <c r="Q25" s="924"/>
      <c r="R25" s="924"/>
      <c r="S25" s="75"/>
      <c r="T25" s="924"/>
      <c r="U25" s="924"/>
      <c r="V25" s="924"/>
      <c r="W25" s="1515"/>
      <c r="X25" s="1"/>
      <c r="Y25" s="1"/>
      <c r="Z25" s="1"/>
    </row>
    <row r="26" spans="1:26" ht="15.75" customHeight="1">
      <c r="A26" s="1"/>
      <c r="B26" s="376"/>
      <c r="C26" s="75"/>
      <c r="D26" s="1081"/>
      <c r="E26" s="924"/>
      <c r="F26" s="1512"/>
      <c r="G26" s="1512"/>
      <c r="H26" s="261"/>
      <c r="I26" s="1525"/>
      <c r="J26" s="924"/>
      <c r="K26" s="924"/>
      <c r="L26" s="1460"/>
      <c r="M26" s="924"/>
      <c r="N26" s="1167"/>
      <c r="O26" s="924"/>
      <c r="P26" s="924"/>
      <c r="Q26" s="924"/>
      <c r="R26" s="924"/>
      <c r="S26" s="75"/>
      <c r="T26" s="924"/>
      <c r="U26" s="924"/>
      <c r="V26" s="924"/>
      <c r="W26" s="1515"/>
      <c r="X26" s="1"/>
      <c r="Y26" s="1"/>
      <c r="Z26" s="1"/>
    </row>
    <row r="27" spans="1:26" ht="15.75" customHeight="1">
      <c r="A27" s="1"/>
      <c r="B27" s="1164" t="s">
        <v>1133</v>
      </c>
      <c r="C27" s="75" t="s">
        <v>1134</v>
      </c>
      <c r="D27" s="1081">
        <v>2.7992900000000001</v>
      </c>
      <c r="E27" s="924">
        <f t="shared" ref="E27:E28" si="22">D27*1000000*0.9071847</f>
        <v>2539473.058863</v>
      </c>
      <c r="F27" s="1512">
        <v>20000</v>
      </c>
      <c r="G27" s="1512">
        <f t="shared" ref="G27:G28" si="23">F27*0.9071847</f>
        <v>18143.694</v>
      </c>
      <c r="H27" s="261">
        <v>1992</v>
      </c>
      <c r="I27" s="1525">
        <v>2037</v>
      </c>
      <c r="J27" s="924">
        <v>2382.6022283059365</v>
      </c>
      <c r="K27" s="924">
        <v>868.36945562434016</v>
      </c>
      <c r="L27" s="1460"/>
      <c r="M27" s="924"/>
      <c r="N27" s="1167"/>
      <c r="O27" s="924"/>
      <c r="P27" s="924"/>
      <c r="Q27" s="924"/>
      <c r="R27" s="924">
        <f t="shared" ref="R27:R28" si="24">K27</f>
        <v>868.36945562434016</v>
      </c>
      <c r="S27" s="1460">
        <v>0.1</v>
      </c>
      <c r="T27" s="924">
        <f t="shared" ref="T27:T28" si="25">R27*S27</f>
        <v>86.836945562434025</v>
      </c>
      <c r="U27" s="924">
        <f t="shared" ref="U27:U28" si="26">R27-T27</f>
        <v>781.53251006190612</v>
      </c>
      <c r="V27" s="924">
        <f t="shared" ref="V27:V28" si="27">Q27+U27</f>
        <v>781.53251006190612</v>
      </c>
      <c r="W27" s="1515">
        <f t="shared" ref="W27:W28" si="28">(V27*$D$88)+J27+P27</f>
        <v>24265.512510039305</v>
      </c>
      <c r="X27" s="1"/>
      <c r="Y27" s="1"/>
      <c r="Z27" s="1"/>
    </row>
    <row r="28" spans="1:26" ht="15.75" customHeight="1">
      <c r="A28" s="1"/>
      <c r="B28" s="376"/>
      <c r="C28" s="75" t="s">
        <v>1135</v>
      </c>
      <c r="D28" s="1081">
        <v>0.6</v>
      </c>
      <c r="E28" s="924">
        <f t="shared" si="22"/>
        <v>544310.81999999995</v>
      </c>
      <c r="F28" s="1512">
        <v>28000</v>
      </c>
      <c r="G28" s="1512">
        <f t="shared" si="23"/>
        <v>25401.171599999998</v>
      </c>
      <c r="H28" s="261">
        <v>1975</v>
      </c>
      <c r="I28" s="1525">
        <v>1993</v>
      </c>
      <c r="J28" s="924">
        <v>1615.9062568132847</v>
      </c>
      <c r="K28" s="924">
        <v>588.93743147659802</v>
      </c>
      <c r="L28" s="1460"/>
      <c r="M28" s="924"/>
      <c r="N28" s="1167"/>
      <c r="O28" s="924"/>
      <c r="P28" s="924"/>
      <c r="Q28" s="924"/>
      <c r="R28" s="924">
        <f t="shared" si="24"/>
        <v>588.93743147659802</v>
      </c>
      <c r="S28" s="1460">
        <v>0.1</v>
      </c>
      <c r="T28" s="924">
        <f t="shared" si="25"/>
        <v>58.893743147659805</v>
      </c>
      <c r="U28" s="924">
        <f t="shared" si="26"/>
        <v>530.04368832893817</v>
      </c>
      <c r="V28" s="924">
        <f t="shared" si="27"/>
        <v>530.04368832893817</v>
      </c>
      <c r="W28" s="1515">
        <f t="shared" si="28"/>
        <v>16457.129530023554</v>
      </c>
      <c r="X28" s="1"/>
      <c r="Y28" s="1"/>
      <c r="Z28" s="1"/>
    </row>
    <row r="29" spans="1:26" ht="15.75" customHeight="1">
      <c r="A29" s="1"/>
      <c r="B29" s="376"/>
      <c r="C29" s="75"/>
      <c r="D29" s="1081"/>
      <c r="E29" s="924"/>
      <c r="F29" s="1512"/>
      <c r="G29" s="1512"/>
      <c r="H29" s="261"/>
      <c r="I29" s="1525"/>
      <c r="J29" s="924"/>
      <c r="K29" s="924"/>
      <c r="L29" s="1460"/>
      <c r="M29" s="924"/>
      <c r="N29" s="1167"/>
      <c r="O29" s="924"/>
      <c r="P29" s="924"/>
      <c r="Q29" s="924"/>
      <c r="R29" s="924"/>
      <c r="S29" s="75"/>
      <c r="T29" s="924"/>
      <c r="U29" s="924"/>
      <c r="V29" s="924"/>
      <c r="W29" s="1515"/>
      <c r="X29" s="1"/>
      <c r="Y29" s="1"/>
      <c r="Z29" s="1"/>
    </row>
    <row r="30" spans="1:26" ht="15.75" customHeight="1">
      <c r="A30" s="1"/>
      <c r="B30" s="1164" t="s">
        <v>1136</v>
      </c>
      <c r="C30" s="75" t="s">
        <v>1137</v>
      </c>
      <c r="D30" s="75">
        <v>0.5</v>
      </c>
      <c r="E30" s="924">
        <f t="shared" ref="E30:E31" si="29">D30*1000000*0.9071847</f>
        <v>453592.35</v>
      </c>
      <c r="F30" s="261">
        <v>35000</v>
      </c>
      <c r="G30" s="1512">
        <f t="shared" ref="G30:G31" si="30">F30*0.9071847</f>
        <v>31751.464499999998</v>
      </c>
      <c r="H30" s="261">
        <v>1981</v>
      </c>
      <c r="I30" s="1525">
        <v>1994</v>
      </c>
      <c r="J30" s="924">
        <v>1446.5658922367506</v>
      </c>
      <c r="K30" s="924">
        <v>527.21919817035848</v>
      </c>
      <c r="L30" s="1460"/>
      <c r="M30" s="924"/>
      <c r="N30" s="1167"/>
      <c r="O30" s="924"/>
      <c r="P30" s="924"/>
      <c r="Q30" s="924"/>
      <c r="R30" s="924">
        <f>K30</f>
        <v>527.21919817035848</v>
      </c>
      <c r="S30" s="1460">
        <v>0.1</v>
      </c>
      <c r="T30" s="924">
        <f t="shared" ref="T30:T31" si="31">R30*S30</f>
        <v>52.721919817035854</v>
      </c>
      <c r="U30" s="924">
        <f t="shared" ref="U30:U31" si="32">R30-T30</f>
        <v>474.4972783533226</v>
      </c>
      <c r="V30" s="924">
        <f t="shared" ref="V30:V31" si="33">Q30+U30</f>
        <v>474.4972783533226</v>
      </c>
      <c r="W30" s="1515">
        <f t="shared" ref="W30:W31" si="34">(V30*$D$88)+J30+P30</f>
        <v>14732.489686129784</v>
      </c>
      <c r="X30" s="1"/>
      <c r="Y30" s="1"/>
      <c r="Z30" s="1"/>
    </row>
    <row r="31" spans="1:26" ht="15.75" customHeight="1">
      <c r="A31" s="1"/>
      <c r="B31" s="376"/>
      <c r="C31" s="1516" t="s">
        <v>1138</v>
      </c>
      <c r="D31" s="1517">
        <v>3.5041869999999999</v>
      </c>
      <c r="E31" s="1518">
        <f t="shared" si="29"/>
        <v>3178944.8323388998</v>
      </c>
      <c r="F31" s="1519">
        <v>80000</v>
      </c>
      <c r="G31" s="1519">
        <f t="shared" si="30"/>
        <v>72574.775999999998</v>
      </c>
      <c r="H31" s="1520">
        <v>1988</v>
      </c>
      <c r="I31" s="1521">
        <v>2053</v>
      </c>
      <c r="J31" s="1518">
        <v>3883.7305657681777</v>
      </c>
      <c r="K31" s="1518">
        <v>1415.4746256514784</v>
      </c>
      <c r="L31" s="1522">
        <v>0.22070000000000001</v>
      </c>
      <c r="M31" s="1518">
        <f>K31*L31</f>
        <v>312.3952498812813</v>
      </c>
      <c r="N31" s="1523">
        <v>0.97699999999999998</v>
      </c>
      <c r="O31" s="1518">
        <f>M31*N31</f>
        <v>305.2101591340118</v>
      </c>
      <c r="P31" s="1518">
        <f>O31*2.75</f>
        <v>839.32793761853247</v>
      </c>
      <c r="Q31" s="1518">
        <f>M31*(1-N31)</f>
        <v>7.1850907472694763</v>
      </c>
      <c r="R31" s="1518">
        <f>K31*(1-L31)</f>
        <v>1103.0793757701972</v>
      </c>
      <c r="S31" s="1522">
        <v>0.1</v>
      </c>
      <c r="T31" s="1518">
        <f t="shared" si="31"/>
        <v>110.30793757701973</v>
      </c>
      <c r="U31" s="1518">
        <f t="shared" si="32"/>
        <v>992.77143819317746</v>
      </c>
      <c r="V31" s="1518">
        <f t="shared" si="33"/>
        <v>999.9565289404469</v>
      </c>
      <c r="W31" s="1524">
        <f t="shared" si="34"/>
        <v>32721.841313719222</v>
      </c>
      <c r="X31" s="1"/>
      <c r="Y31" s="1"/>
      <c r="Z31" s="1"/>
    </row>
    <row r="32" spans="1:26" ht="15.75" customHeight="1">
      <c r="A32" s="1"/>
      <c r="B32" s="376"/>
      <c r="C32" s="75"/>
      <c r="D32" s="1081"/>
      <c r="E32" s="924"/>
      <c r="F32" s="1512"/>
      <c r="G32" s="1512"/>
      <c r="H32" s="261"/>
      <c r="I32" s="1525"/>
      <c r="J32" s="924"/>
      <c r="K32" s="924"/>
      <c r="L32" s="1460"/>
      <c r="M32" s="924"/>
      <c r="N32" s="1167"/>
      <c r="O32" s="924"/>
      <c r="P32" s="924"/>
      <c r="Q32" s="924"/>
      <c r="R32" s="924"/>
      <c r="S32" s="1460"/>
      <c r="T32" s="924"/>
      <c r="U32" s="924"/>
      <c r="V32" s="924"/>
      <c r="W32" s="1515"/>
      <c r="X32" s="1"/>
      <c r="Y32" s="1"/>
      <c r="Z32" s="1"/>
    </row>
    <row r="33" spans="1:26" ht="15.75" customHeight="1">
      <c r="A33" s="1"/>
      <c r="B33" s="1164" t="s">
        <v>1139</v>
      </c>
      <c r="C33" s="1516" t="s">
        <v>1140</v>
      </c>
      <c r="D33" s="1517">
        <f>3487273/1000000</f>
        <v>3.4872730000000001</v>
      </c>
      <c r="E33" s="1518"/>
      <c r="F33" s="1519"/>
      <c r="G33" s="1519"/>
      <c r="H33" s="1520">
        <v>1953</v>
      </c>
      <c r="I33" s="1521">
        <v>2010</v>
      </c>
      <c r="J33" s="1518">
        <f>11500</f>
        <v>11500</v>
      </c>
      <c r="K33" s="1518">
        <f>4190</f>
        <v>4190</v>
      </c>
      <c r="L33" s="1522">
        <v>0.51</v>
      </c>
      <c r="M33" s="1518">
        <f>K33*L33</f>
        <v>2136.9</v>
      </c>
      <c r="N33" s="1523">
        <v>0.98</v>
      </c>
      <c r="O33" s="1518">
        <f>M33*N33</f>
        <v>2094.1620000000003</v>
      </c>
      <c r="P33" s="1518">
        <f>O33*2.75</f>
        <v>5758.9455000000007</v>
      </c>
      <c r="Q33" s="1518">
        <f>M33*(1-N33)</f>
        <v>42.738000000000042</v>
      </c>
      <c r="R33" s="1518">
        <f>K33*(1-L33)</f>
        <v>2053.1</v>
      </c>
      <c r="S33" s="1522">
        <v>0.1</v>
      </c>
      <c r="T33" s="1518">
        <f>R33*S33</f>
        <v>205.31</v>
      </c>
      <c r="U33" s="1518">
        <f>R33-T33</f>
        <v>1847.79</v>
      </c>
      <c r="V33" s="1518">
        <f>Q33+U33</f>
        <v>1890.528</v>
      </c>
      <c r="W33" s="1524">
        <f>(V33*$D$88)+J33+P33</f>
        <v>70193.729500000001</v>
      </c>
      <c r="X33" s="1"/>
      <c r="Y33" s="1"/>
      <c r="Z33" s="1"/>
    </row>
    <row r="34" spans="1:26" ht="15.75" customHeight="1">
      <c r="A34" s="1"/>
      <c r="B34" s="376"/>
      <c r="C34" s="75"/>
      <c r="D34" s="1081"/>
      <c r="E34" s="924"/>
      <c r="F34" s="1512"/>
      <c r="G34" s="1512"/>
      <c r="H34" s="261"/>
      <c r="I34" s="1525"/>
      <c r="J34" s="924"/>
      <c r="K34" s="924"/>
      <c r="L34" s="1460"/>
      <c r="M34" s="924"/>
      <c r="N34" s="1167"/>
      <c r="O34" s="924"/>
      <c r="P34" s="924"/>
      <c r="Q34" s="924"/>
      <c r="R34" s="924"/>
      <c r="S34" s="1460"/>
      <c r="T34" s="924"/>
      <c r="U34" s="924"/>
      <c r="V34" s="924"/>
      <c r="W34" s="1515"/>
      <c r="X34" s="1"/>
      <c r="Y34" s="1"/>
      <c r="Z34" s="1"/>
    </row>
    <row r="35" spans="1:26" ht="15.75" customHeight="1">
      <c r="A35" s="1"/>
      <c r="B35" s="376"/>
      <c r="C35" s="75"/>
      <c r="D35" s="1081"/>
      <c r="E35" s="924"/>
      <c r="F35" s="1512"/>
      <c r="G35" s="1512"/>
      <c r="H35" s="261"/>
      <c r="I35" s="1525"/>
      <c r="J35" s="924"/>
      <c r="K35" s="924"/>
      <c r="L35" s="1460"/>
      <c r="M35" s="924"/>
      <c r="N35" s="1167"/>
      <c r="O35" s="924"/>
      <c r="P35" s="924"/>
      <c r="Q35" s="924"/>
      <c r="R35" s="924"/>
      <c r="S35" s="75"/>
      <c r="T35" s="924"/>
      <c r="U35" s="924"/>
      <c r="V35" s="924"/>
      <c r="W35" s="1515"/>
      <c r="X35" s="1"/>
      <c r="Y35" s="1"/>
      <c r="Z35" s="1"/>
    </row>
    <row r="36" spans="1:26" ht="15.75" customHeight="1">
      <c r="A36" s="1"/>
      <c r="B36" s="1164" t="s">
        <v>1141</v>
      </c>
      <c r="C36" s="1516" t="s">
        <v>1142</v>
      </c>
      <c r="D36" s="1517">
        <v>4.5049999999999999</v>
      </c>
      <c r="E36" s="1518">
        <f>D36*1000000*0.9071847</f>
        <v>4086867.0734999999</v>
      </c>
      <c r="F36" s="1519"/>
      <c r="G36" s="1519">
        <v>60623.332999999999</v>
      </c>
      <c r="H36" s="1520">
        <v>1978</v>
      </c>
      <c r="I36" s="1521">
        <v>2046</v>
      </c>
      <c r="J36" s="1518">
        <v>11480.181645565875</v>
      </c>
      <c r="K36" s="1518">
        <v>4184.0971050869484</v>
      </c>
      <c r="L36" s="1522">
        <v>0.55800000000000005</v>
      </c>
      <c r="M36" s="1518">
        <f>K36*L36</f>
        <v>2334.7261846385172</v>
      </c>
      <c r="N36" s="1523">
        <v>0.98</v>
      </c>
      <c r="O36" s="1518">
        <f>M36*N36</f>
        <v>2288.0316609457468</v>
      </c>
      <c r="P36" s="1518">
        <f>O36*2.75</f>
        <v>6292.0870676008035</v>
      </c>
      <c r="Q36" s="1518">
        <f>M36*(1-N36)</f>
        <v>46.694523692770389</v>
      </c>
      <c r="R36" s="1518">
        <f>K36*(1-L36)</f>
        <v>1849.370920448431</v>
      </c>
      <c r="S36" s="1522">
        <v>0.1</v>
      </c>
      <c r="T36" s="1518">
        <f>R36*S36</f>
        <v>184.9370920448431</v>
      </c>
      <c r="U36" s="1518">
        <f>R36-T36</f>
        <v>1664.433828403588</v>
      </c>
      <c r="V36" s="1518">
        <f>Q36+U36</f>
        <v>1711.1283520963584</v>
      </c>
      <c r="W36" s="1524">
        <f>(V36*$D$88)+J36+P36</f>
        <v>65683.862571864709</v>
      </c>
      <c r="X36" s="1"/>
      <c r="Y36" s="1"/>
      <c r="Z36" s="1"/>
    </row>
    <row r="37" spans="1:26" ht="15.75" customHeight="1">
      <c r="A37" s="1"/>
      <c r="B37" s="376"/>
      <c r="C37" s="75"/>
      <c r="D37" s="1081"/>
      <c r="E37" s="924"/>
      <c r="F37" s="1512"/>
      <c r="G37" s="1512"/>
      <c r="H37" s="261"/>
      <c r="I37" s="1525"/>
      <c r="J37" s="924"/>
      <c r="K37" s="924"/>
      <c r="L37" s="1460"/>
      <c r="M37" s="924"/>
      <c r="N37" s="1167"/>
      <c r="O37" s="924"/>
      <c r="P37" s="924"/>
      <c r="Q37" s="924"/>
      <c r="R37" s="924"/>
      <c r="S37" s="75"/>
      <c r="T37" s="924"/>
      <c r="U37" s="924"/>
      <c r="V37" s="924"/>
      <c r="W37" s="1515"/>
      <c r="X37" s="1"/>
      <c r="Y37" s="1"/>
      <c r="Z37" s="1"/>
    </row>
    <row r="38" spans="1:26" ht="15.75" customHeight="1">
      <c r="A38" s="1"/>
      <c r="B38" s="1164" t="s">
        <v>1143</v>
      </c>
      <c r="C38" s="75" t="s">
        <v>1144</v>
      </c>
      <c r="D38" s="1081">
        <v>4.3746999999999998</v>
      </c>
      <c r="E38" s="924">
        <f t="shared" ref="E38:E39" si="35">D38*1000000*0.9071847</f>
        <v>3968660.9070899999</v>
      </c>
      <c r="F38" s="1512">
        <v>82000</v>
      </c>
      <c r="G38" s="1512">
        <f t="shared" ref="G38:G39" si="36">F38*0.9071847</f>
        <v>74389.145399999994</v>
      </c>
      <c r="H38" s="261">
        <v>1994</v>
      </c>
      <c r="I38" s="1525">
        <v>2040</v>
      </c>
      <c r="J38" s="924">
        <f>10640</f>
        <v>10640</v>
      </c>
      <c r="K38" s="924">
        <f>3878</f>
        <v>3878</v>
      </c>
      <c r="L38" s="1460"/>
      <c r="M38" s="924"/>
      <c r="N38" s="1167"/>
      <c r="O38" s="924"/>
      <c r="P38" s="924"/>
      <c r="Q38" s="924"/>
      <c r="R38" s="924">
        <f t="shared" ref="R38:R39" si="37">K38</f>
        <v>3878</v>
      </c>
      <c r="S38" s="1460">
        <v>0.1</v>
      </c>
      <c r="T38" s="924">
        <f t="shared" ref="T38:T39" si="38">R38*S38</f>
        <v>387.8</v>
      </c>
      <c r="U38" s="924">
        <f t="shared" ref="U38:U39" si="39">R38-T38</f>
        <v>3490.2</v>
      </c>
      <c r="V38" s="924">
        <f t="shared" ref="V38:V39" si="40">Q38+U38</f>
        <v>3490.2</v>
      </c>
      <c r="W38" s="1515">
        <f t="shared" ref="W38:W39" si="41">(V38*$D$88)+J38+P38</f>
        <v>108365.59999999999</v>
      </c>
      <c r="X38" s="1"/>
      <c r="Y38" s="1"/>
      <c r="Z38" s="1"/>
    </row>
    <row r="39" spans="1:26" ht="15.75" customHeight="1">
      <c r="A39" s="1"/>
      <c r="B39" s="376"/>
      <c r="C39" s="75" t="s">
        <v>1145</v>
      </c>
      <c r="D39" s="1081">
        <v>1.5</v>
      </c>
      <c r="E39" s="924">
        <f t="shared" si="35"/>
        <v>1360777.05</v>
      </c>
      <c r="F39" s="1512">
        <v>75000</v>
      </c>
      <c r="G39" s="1512">
        <f t="shared" si="36"/>
        <v>68038.852499999994</v>
      </c>
      <c r="H39" s="261">
        <v>1974</v>
      </c>
      <c r="I39" s="1525">
        <v>1994</v>
      </c>
      <c r="J39" s="924">
        <v>4534.0886865896227</v>
      </c>
      <c r="K39" s="924">
        <v>1652.5058516904692</v>
      </c>
      <c r="L39" s="1460"/>
      <c r="M39" s="924"/>
      <c r="N39" s="1167"/>
      <c r="O39" s="924"/>
      <c r="P39" s="924"/>
      <c r="Q39" s="924"/>
      <c r="R39" s="924">
        <f t="shared" si="37"/>
        <v>1652.5058516904692</v>
      </c>
      <c r="S39" s="1460">
        <v>0.1</v>
      </c>
      <c r="T39" s="924">
        <f t="shared" si="38"/>
        <v>165.25058516904693</v>
      </c>
      <c r="U39" s="924">
        <f t="shared" si="39"/>
        <v>1487.2552665214223</v>
      </c>
      <c r="V39" s="924">
        <f t="shared" si="40"/>
        <v>1487.2552665214223</v>
      </c>
      <c r="W39" s="1515">
        <f t="shared" si="41"/>
        <v>46177.236149189448</v>
      </c>
      <c r="X39" s="1"/>
      <c r="Y39" s="1"/>
      <c r="Z39" s="1"/>
    </row>
    <row r="40" spans="1:26" ht="15.75" customHeight="1">
      <c r="A40" s="1"/>
      <c r="B40" s="376"/>
      <c r="C40" s="75"/>
      <c r="D40" s="1081"/>
      <c r="E40" s="924"/>
      <c r="F40" s="1512"/>
      <c r="G40" s="1512"/>
      <c r="H40" s="261"/>
      <c r="I40" s="1525"/>
      <c r="J40" s="924"/>
      <c r="K40" s="924"/>
      <c r="L40" s="1460"/>
      <c r="M40" s="924"/>
      <c r="N40" s="1167"/>
      <c r="O40" s="924"/>
      <c r="P40" s="924"/>
      <c r="Q40" s="924"/>
      <c r="R40" s="924"/>
      <c r="S40" s="75"/>
      <c r="T40" s="924"/>
      <c r="U40" s="924"/>
      <c r="V40" s="924"/>
      <c r="W40" s="1515"/>
      <c r="X40" s="1"/>
      <c r="Y40" s="1"/>
      <c r="Z40" s="1"/>
    </row>
    <row r="41" spans="1:26" ht="15.75" customHeight="1">
      <c r="A41" s="1"/>
      <c r="B41" s="1164" t="s">
        <v>1146</v>
      </c>
      <c r="C41" s="75" t="s">
        <v>1147</v>
      </c>
      <c r="D41" s="1081">
        <v>0.8</v>
      </c>
      <c r="E41" s="924">
        <f t="shared" ref="E41:E42" si="42">D41*1000000*0.9071847</f>
        <v>725747.76</v>
      </c>
      <c r="F41" s="1512">
        <v>35000</v>
      </c>
      <c r="G41" s="1512">
        <f>F41*0.9071847</f>
        <v>31751.464499999998</v>
      </c>
      <c r="H41" s="261">
        <v>1973</v>
      </c>
      <c r="I41" s="1525">
        <v>1995</v>
      </c>
      <c r="J41" s="924">
        <v>1410.6769001584582</v>
      </c>
      <c r="K41" s="924">
        <v>514.13900201185334</v>
      </c>
      <c r="L41" s="1460"/>
      <c r="M41" s="924"/>
      <c r="N41" s="1167"/>
      <c r="O41" s="924"/>
      <c r="P41" s="924"/>
      <c r="Q41" s="924"/>
      <c r="R41" s="924">
        <f t="shared" ref="R41:R42" si="43">K41</f>
        <v>514.13900201185334</v>
      </c>
      <c r="S41" s="1460">
        <v>0.1</v>
      </c>
      <c r="T41" s="924">
        <f t="shared" ref="T41:T42" si="44">R41*S41</f>
        <v>51.413900201185335</v>
      </c>
      <c r="U41" s="924">
        <f t="shared" ref="U41:U42" si="45">R41-T41</f>
        <v>462.72510181066798</v>
      </c>
      <c r="V41" s="924">
        <f t="shared" ref="V41:V42" si="46">Q41+U41</f>
        <v>462.72510181066798</v>
      </c>
      <c r="W41" s="1515">
        <f t="shared" ref="W41:W42" si="47">(V41*$D$88)+J41+P41</f>
        <v>14366.979750857161</v>
      </c>
      <c r="X41" s="1"/>
      <c r="Y41" s="1"/>
      <c r="Z41" s="1"/>
    </row>
    <row r="42" spans="1:26" ht="15.75" customHeight="1">
      <c r="A42" s="1"/>
      <c r="B42" s="376"/>
      <c r="C42" s="75" t="s">
        <v>1148</v>
      </c>
      <c r="D42" s="1081">
        <v>4.0999999999999996</v>
      </c>
      <c r="E42" s="924">
        <f t="shared" si="42"/>
        <v>3719457.2699999996</v>
      </c>
      <c r="F42" s="1512"/>
      <c r="G42" s="1512"/>
      <c r="H42" s="261">
        <v>1996</v>
      </c>
      <c r="I42" s="1525">
        <v>2010</v>
      </c>
      <c r="J42" s="924">
        <v>4865</v>
      </c>
      <c r="K42" s="924">
        <f>1773</f>
        <v>1773</v>
      </c>
      <c r="L42" s="1460"/>
      <c r="M42" s="924"/>
      <c r="N42" s="1167"/>
      <c r="O42" s="924"/>
      <c r="P42" s="924"/>
      <c r="Q42" s="924"/>
      <c r="R42" s="924">
        <f t="shared" si="43"/>
        <v>1773</v>
      </c>
      <c r="S42" s="1460">
        <v>0.1</v>
      </c>
      <c r="T42" s="924">
        <f t="shared" si="44"/>
        <v>177.3</v>
      </c>
      <c r="U42" s="924">
        <f t="shared" si="45"/>
        <v>1595.7</v>
      </c>
      <c r="V42" s="924">
        <f t="shared" si="46"/>
        <v>1595.7</v>
      </c>
      <c r="W42" s="1515">
        <f t="shared" si="47"/>
        <v>49544.6</v>
      </c>
      <c r="X42" s="1"/>
      <c r="Y42" s="1"/>
      <c r="Z42" s="1"/>
    </row>
    <row r="43" spans="1:26" ht="15.75" customHeight="1">
      <c r="A43" s="1"/>
      <c r="B43" s="376"/>
      <c r="C43" s="75"/>
      <c r="D43" s="1081"/>
      <c r="E43" s="924"/>
      <c r="F43" s="1512"/>
      <c r="G43" s="1512"/>
      <c r="H43" s="261"/>
      <c r="I43" s="1525"/>
      <c r="J43" s="924"/>
      <c r="K43" s="924"/>
      <c r="L43" s="1460"/>
      <c r="M43" s="924"/>
      <c r="N43" s="1167"/>
      <c r="O43" s="924"/>
      <c r="P43" s="924"/>
      <c r="Q43" s="924"/>
      <c r="R43" s="924"/>
      <c r="S43" s="75"/>
      <c r="T43" s="924"/>
      <c r="U43" s="924"/>
      <c r="V43" s="924"/>
      <c r="W43" s="1515"/>
      <c r="X43" s="1"/>
      <c r="Y43" s="1"/>
      <c r="Z43" s="1"/>
    </row>
    <row r="44" spans="1:26" ht="15.75" customHeight="1">
      <c r="A44" s="1"/>
      <c r="B44" s="1164" t="s">
        <v>1149</v>
      </c>
      <c r="C44" s="75" t="s">
        <v>1150</v>
      </c>
      <c r="D44" s="1081">
        <v>1.0008999999999999</v>
      </c>
      <c r="E44" s="924">
        <f t="shared" ref="E44:E46" si="48">D44*1000000*0.9071847</f>
        <v>908001.16622999986</v>
      </c>
      <c r="F44" s="1512"/>
      <c r="G44" s="1512">
        <f t="shared" ref="G44:G46" si="49">F44*0.9071847</f>
        <v>0</v>
      </c>
      <c r="H44" s="261">
        <v>1991</v>
      </c>
      <c r="I44" s="1525">
        <v>2504</v>
      </c>
      <c r="J44" s="924">
        <v>156.40998798909908</v>
      </c>
      <c r="K44" s="924">
        <v>57.005594350037462</v>
      </c>
      <c r="L44" s="1460"/>
      <c r="M44" s="924"/>
      <c r="N44" s="1167"/>
      <c r="O44" s="924"/>
      <c r="P44" s="924"/>
      <c r="Q44" s="924"/>
      <c r="R44" s="924">
        <f>K44</f>
        <v>57.005594350037462</v>
      </c>
      <c r="S44" s="1460">
        <v>0.1</v>
      </c>
      <c r="T44" s="924">
        <f t="shared" ref="T44:T46" si="50">R44*S44</f>
        <v>5.700559435003747</v>
      </c>
      <c r="U44" s="924">
        <f t="shared" ref="U44:U46" si="51">R44-T44</f>
        <v>51.305034915033715</v>
      </c>
      <c r="V44" s="924">
        <f t="shared" ref="V44:V46" si="52">Q44+U44</f>
        <v>51.305034915033715</v>
      </c>
      <c r="W44" s="1515">
        <f t="shared" ref="W44:W46" si="53">(V44*$D$88)+J44+P44</f>
        <v>1592.9509656100431</v>
      </c>
      <c r="X44" s="1"/>
      <c r="Y44" s="1"/>
      <c r="Z44" s="1"/>
    </row>
    <row r="45" spans="1:26" ht="15.75" customHeight="1">
      <c r="A45" s="1"/>
      <c r="B45" s="376"/>
      <c r="C45" s="1516" t="s">
        <v>1151</v>
      </c>
      <c r="D45" s="1517">
        <v>2.1</v>
      </c>
      <c r="E45" s="1518">
        <f t="shared" si="48"/>
        <v>1905087.8699999999</v>
      </c>
      <c r="F45" s="1519">
        <v>69200</v>
      </c>
      <c r="G45" s="1519">
        <f t="shared" si="49"/>
        <v>62777.181239999998</v>
      </c>
      <c r="H45" s="1520">
        <v>1968</v>
      </c>
      <c r="I45" s="1521">
        <v>1997</v>
      </c>
      <c r="J45" s="1518">
        <f>12280</f>
        <v>12280</v>
      </c>
      <c r="K45" s="1518">
        <f>4476</f>
        <v>4476</v>
      </c>
      <c r="L45" s="1522">
        <v>0.96</v>
      </c>
      <c r="M45" s="1518">
        <f>K45*L45</f>
        <v>4296.96</v>
      </c>
      <c r="N45" s="1523">
        <v>0.98</v>
      </c>
      <c r="O45" s="1518">
        <f>M45*N45</f>
        <v>4211.0208000000002</v>
      </c>
      <c r="P45" s="1518">
        <f>O45*2.75</f>
        <v>11580.307200000001</v>
      </c>
      <c r="Q45" s="1518">
        <f>M45*(1-N45)</f>
        <v>85.939200000000071</v>
      </c>
      <c r="R45" s="1518">
        <f>K45*(1-L45)</f>
        <v>179.04000000000016</v>
      </c>
      <c r="S45" s="1522">
        <v>0.1</v>
      </c>
      <c r="T45" s="1518">
        <f t="shared" si="50"/>
        <v>17.904000000000018</v>
      </c>
      <c r="U45" s="1518">
        <f t="shared" si="51"/>
        <v>161.13600000000014</v>
      </c>
      <c r="V45" s="1518">
        <f t="shared" si="52"/>
        <v>247.07520000000022</v>
      </c>
      <c r="W45" s="1524">
        <f t="shared" si="53"/>
        <v>30778.412800000006</v>
      </c>
      <c r="X45" s="1"/>
      <c r="Y45" s="1"/>
      <c r="Z45" s="1"/>
    </row>
    <row r="46" spans="1:26" ht="15.75" customHeight="1">
      <c r="A46" s="1"/>
      <c r="B46" s="376"/>
      <c r="C46" s="75" t="s">
        <v>1152</v>
      </c>
      <c r="D46" s="1081">
        <v>4.2261879999999996</v>
      </c>
      <c r="E46" s="924">
        <f t="shared" si="48"/>
        <v>3833933.0929235998</v>
      </c>
      <c r="F46" s="1512">
        <v>100000</v>
      </c>
      <c r="G46" s="1512">
        <f t="shared" si="49"/>
        <v>90718.47</v>
      </c>
      <c r="H46" s="261">
        <v>1995</v>
      </c>
      <c r="I46" s="1525">
        <v>2045</v>
      </c>
      <c r="J46" s="924">
        <f>728.3</f>
        <v>728.3</v>
      </c>
      <c r="K46" s="924">
        <f>287.6</f>
        <v>287.60000000000002</v>
      </c>
      <c r="L46" s="1460"/>
      <c r="M46" s="924"/>
      <c r="N46" s="1167"/>
      <c r="O46" s="924"/>
      <c r="P46" s="924"/>
      <c r="Q46" s="924"/>
      <c r="R46" s="924">
        <f>K46</f>
        <v>287.60000000000002</v>
      </c>
      <c r="S46" s="1460">
        <v>0.1</v>
      </c>
      <c r="T46" s="924">
        <f t="shared" si="50"/>
        <v>28.760000000000005</v>
      </c>
      <c r="U46" s="924">
        <f t="shared" si="51"/>
        <v>258.84000000000003</v>
      </c>
      <c r="V46" s="924">
        <f t="shared" si="52"/>
        <v>258.84000000000003</v>
      </c>
      <c r="W46" s="1515">
        <f t="shared" si="53"/>
        <v>7975.8200000000006</v>
      </c>
      <c r="X46" s="1"/>
      <c r="Y46" s="1"/>
      <c r="Z46" s="1"/>
    </row>
    <row r="47" spans="1:26" ht="15.75" customHeight="1">
      <c r="A47" s="1"/>
      <c r="B47" s="376"/>
      <c r="C47" s="75"/>
      <c r="D47" s="1081"/>
      <c r="E47" s="924"/>
      <c r="F47" s="1512"/>
      <c r="G47" s="1512"/>
      <c r="H47" s="261"/>
      <c r="I47" s="1525"/>
      <c r="J47" s="924"/>
      <c r="K47" s="924"/>
      <c r="L47" s="1460"/>
      <c r="M47" s="924"/>
      <c r="N47" s="1167"/>
      <c r="O47" s="924"/>
      <c r="P47" s="924"/>
      <c r="Q47" s="924"/>
      <c r="R47" s="924"/>
      <c r="S47" s="75"/>
      <c r="T47" s="924"/>
      <c r="U47" s="924"/>
      <c r="V47" s="924"/>
      <c r="W47" s="1515"/>
      <c r="X47" s="1"/>
      <c r="Y47" s="1"/>
      <c r="Z47" s="1"/>
    </row>
    <row r="48" spans="1:26" ht="15.75" customHeight="1">
      <c r="A48" s="1"/>
      <c r="B48" s="1164" t="s">
        <v>1153</v>
      </c>
      <c r="C48" s="75" t="s">
        <v>1154</v>
      </c>
      <c r="D48" s="1081">
        <v>1.537185</v>
      </c>
      <c r="E48" s="924">
        <f t="shared" ref="E48:E49" si="54">D48*1000000*0.9071847</f>
        <v>1394510.7130694999</v>
      </c>
      <c r="F48" s="1512">
        <v>38000</v>
      </c>
      <c r="G48" s="1512">
        <f t="shared" ref="G48:G49" si="55">F48*0.9071847</f>
        <v>34473.018599999996</v>
      </c>
      <c r="H48" s="261">
        <v>1994</v>
      </c>
      <c r="I48" s="1525">
        <v>2028</v>
      </c>
      <c r="J48" s="924">
        <v>2554.3807026936006</v>
      </c>
      <c r="K48" s="924">
        <v>930.97628882538845</v>
      </c>
      <c r="L48" s="1460"/>
      <c r="M48" s="924"/>
      <c r="N48" s="1167"/>
      <c r="O48" s="924"/>
      <c r="P48" s="924"/>
      <c r="Q48" s="924"/>
      <c r="R48" s="924">
        <f t="shared" ref="R48:R49" si="56">K48</f>
        <v>930.97628882538845</v>
      </c>
      <c r="S48" s="1460">
        <v>0.1</v>
      </c>
      <c r="T48" s="924">
        <f t="shared" ref="T48:T49" si="57">R48*S48</f>
        <v>93.097628882538856</v>
      </c>
      <c r="U48" s="924">
        <f t="shared" ref="U48:U49" si="58">R48-T48</f>
        <v>837.87865994284959</v>
      </c>
      <c r="V48" s="924">
        <f t="shared" ref="V48:V49" si="59">Q48+U48</f>
        <v>837.87865994284959</v>
      </c>
      <c r="W48" s="1515">
        <f t="shared" ref="W48:W49" si="60">(V48*$D$88)+J48+P48</f>
        <v>26014.98318109339</v>
      </c>
      <c r="X48" s="1"/>
      <c r="Y48" s="1"/>
      <c r="Z48" s="1"/>
    </row>
    <row r="49" spans="1:26" ht="15.75" customHeight="1">
      <c r="A49" s="1"/>
      <c r="B49" s="376"/>
      <c r="C49" s="75" t="s">
        <v>1155</v>
      </c>
      <c r="D49" s="1081">
        <v>0.8</v>
      </c>
      <c r="E49" s="924">
        <f t="shared" si="54"/>
        <v>725747.76</v>
      </c>
      <c r="F49" s="1512">
        <v>20000</v>
      </c>
      <c r="G49" s="1512">
        <f t="shared" si="55"/>
        <v>18143.694</v>
      </c>
      <c r="H49" s="261">
        <v>1974</v>
      </c>
      <c r="I49" s="1525">
        <v>1994</v>
      </c>
      <c r="J49" s="924">
        <v>2057.8659282060589</v>
      </c>
      <c r="K49" s="924">
        <v>750.01521218871108</v>
      </c>
      <c r="L49" s="1460"/>
      <c r="M49" s="924"/>
      <c r="N49" s="1167"/>
      <c r="O49" s="924"/>
      <c r="P49" s="924"/>
      <c r="Q49" s="924"/>
      <c r="R49" s="924">
        <f t="shared" si="56"/>
        <v>750.01521218871108</v>
      </c>
      <c r="S49" s="1460">
        <v>0.1</v>
      </c>
      <c r="T49" s="924">
        <f t="shared" si="57"/>
        <v>75.001521218871105</v>
      </c>
      <c r="U49" s="924">
        <f t="shared" si="58"/>
        <v>675.01369096984001</v>
      </c>
      <c r="V49" s="924">
        <f t="shared" si="59"/>
        <v>675.01369096984001</v>
      </c>
      <c r="W49" s="1515">
        <f t="shared" si="60"/>
        <v>20958.249275361577</v>
      </c>
      <c r="X49" s="1"/>
      <c r="Y49" s="1"/>
      <c r="Z49" s="1"/>
    </row>
    <row r="50" spans="1:26" ht="15.75" customHeight="1">
      <c r="A50" s="1"/>
      <c r="B50" s="376"/>
      <c r="C50" s="75"/>
      <c r="D50" s="1081"/>
      <c r="E50" s="924"/>
      <c r="F50" s="1512"/>
      <c r="G50" s="1512"/>
      <c r="H50" s="261"/>
      <c r="I50" s="1525"/>
      <c r="J50" s="924"/>
      <c r="K50" s="924"/>
      <c r="L50" s="1460"/>
      <c r="M50" s="924"/>
      <c r="N50" s="1167"/>
      <c r="O50" s="924"/>
      <c r="P50" s="924"/>
      <c r="Q50" s="924"/>
      <c r="R50" s="924"/>
      <c r="S50" s="75"/>
      <c r="T50" s="924"/>
      <c r="U50" s="924"/>
      <c r="V50" s="924"/>
      <c r="W50" s="1515"/>
      <c r="X50" s="1"/>
      <c r="Y50" s="1"/>
      <c r="Z50" s="1"/>
    </row>
    <row r="51" spans="1:26" ht="15.75" customHeight="1">
      <c r="A51" s="1"/>
      <c r="B51" s="1164" t="s">
        <v>1156</v>
      </c>
      <c r="C51" s="75" t="s">
        <v>1157</v>
      </c>
      <c r="D51" s="1081">
        <v>2.98</v>
      </c>
      <c r="E51" s="924">
        <f>D51*1000000*0.9071847</f>
        <v>2703410.406</v>
      </c>
      <c r="F51" s="1512">
        <v>74000</v>
      </c>
      <c r="G51" s="1512">
        <f>F51*0.9071847</f>
        <v>67131.667799999996</v>
      </c>
      <c r="H51" s="261">
        <v>1986</v>
      </c>
      <c r="I51" s="1525">
        <v>2008</v>
      </c>
      <c r="J51" s="924">
        <f>4613</f>
        <v>4613</v>
      </c>
      <c r="K51" s="924">
        <f>1681</f>
        <v>1681</v>
      </c>
      <c r="L51" s="1460"/>
      <c r="M51" s="924"/>
      <c r="N51" s="1167"/>
      <c r="O51" s="924"/>
      <c r="P51" s="924"/>
      <c r="Q51" s="924"/>
      <c r="R51" s="924">
        <f>K51</f>
        <v>1681</v>
      </c>
      <c r="S51" s="1460">
        <v>0.1</v>
      </c>
      <c r="T51" s="924">
        <f>R51*S51</f>
        <v>168.10000000000002</v>
      </c>
      <c r="U51" s="924">
        <f>R51-T51</f>
        <v>1512.9</v>
      </c>
      <c r="V51" s="924">
        <f>Q51+U51</f>
        <v>1512.9</v>
      </c>
      <c r="W51" s="1515">
        <f>(V51*$D$88)+J51+P51</f>
        <v>46974.200000000004</v>
      </c>
      <c r="X51" s="1"/>
      <c r="Y51" s="1"/>
      <c r="Z51" s="1"/>
    </row>
    <row r="52" spans="1:26" ht="15.75" customHeight="1">
      <c r="A52" s="1"/>
      <c r="B52" s="376"/>
      <c r="C52" s="75"/>
      <c r="D52" s="1081"/>
      <c r="E52" s="924"/>
      <c r="F52" s="1512"/>
      <c r="G52" s="1512"/>
      <c r="H52" s="261"/>
      <c r="I52" s="1525"/>
      <c r="J52" s="924"/>
      <c r="K52" s="924"/>
      <c r="L52" s="1460"/>
      <c r="M52" s="924"/>
      <c r="N52" s="1167"/>
      <c r="O52" s="924"/>
      <c r="P52" s="924"/>
      <c r="Q52" s="924"/>
      <c r="R52" s="924"/>
      <c r="S52" s="75"/>
      <c r="T52" s="924"/>
      <c r="U52" s="924"/>
      <c r="V52" s="924"/>
      <c r="W52" s="1515"/>
      <c r="X52" s="1"/>
      <c r="Y52" s="1"/>
      <c r="Z52" s="1"/>
    </row>
    <row r="53" spans="1:26" ht="15.75" customHeight="1">
      <c r="A53" s="1"/>
      <c r="B53" s="1164" t="s">
        <v>1158</v>
      </c>
      <c r="C53" s="1516" t="s">
        <v>1159</v>
      </c>
      <c r="D53" s="1517">
        <v>9.9779999999999998</v>
      </c>
      <c r="E53" s="1518">
        <f>D53*1000000*0.9071847</f>
        <v>9051888.9365999997</v>
      </c>
      <c r="F53" s="1519">
        <v>225000</v>
      </c>
      <c r="G53" s="1519">
        <f>F53*0.9071847</f>
        <v>204116.5575</v>
      </c>
      <c r="H53" s="1520">
        <v>1980</v>
      </c>
      <c r="I53" s="1521">
        <v>2122</v>
      </c>
      <c r="J53" s="1518">
        <v>11278.871894096137</v>
      </c>
      <c r="K53" s="1518">
        <v>4110.727225205681</v>
      </c>
      <c r="L53" s="1522">
        <v>0.79</v>
      </c>
      <c r="M53" s="1518">
        <f>K53*L53</f>
        <v>3247.4745079124882</v>
      </c>
      <c r="N53" s="1523">
        <v>0.98</v>
      </c>
      <c r="O53" s="1518">
        <f>M53*N53</f>
        <v>3182.5250177542384</v>
      </c>
      <c r="P53" s="1518">
        <f>O53*2.75</f>
        <v>8751.9437988241552</v>
      </c>
      <c r="Q53" s="1518">
        <f>M53*(1-N53)</f>
        <v>64.949490158249816</v>
      </c>
      <c r="R53" s="1518">
        <f>K53*(1-L53)</f>
        <v>863.25271729319286</v>
      </c>
      <c r="S53" s="1522">
        <v>0.1</v>
      </c>
      <c r="T53" s="1518">
        <f>R53*S53</f>
        <v>86.325271729319297</v>
      </c>
      <c r="U53" s="1518">
        <f>R53-T53</f>
        <v>776.92744556387356</v>
      </c>
      <c r="V53" s="1518">
        <f>Q53+U53</f>
        <v>841.87693572212333</v>
      </c>
      <c r="W53" s="1524">
        <f>(V53*$D$88)+J53+P53</f>
        <v>43603.369893139745</v>
      </c>
      <c r="X53" s="1"/>
      <c r="Y53" s="1"/>
      <c r="Z53" s="1"/>
    </row>
    <row r="54" spans="1:26" ht="15.75" customHeight="1">
      <c r="A54" s="1"/>
      <c r="B54" s="1164"/>
      <c r="C54" s="75"/>
      <c r="D54" s="1081"/>
      <c r="E54" s="924"/>
      <c r="F54" s="1512"/>
      <c r="G54" s="1512"/>
      <c r="H54" s="261"/>
      <c r="I54" s="1525"/>
      <c r="J54" s="924"/>
      <c r="K54" s="924"/>
      <c r="L54" s="1460"/>
      <c r="M54" s="924"/>
      <c r="N54" s="1167"/>
      <c r="O54" s="924"/>
      <c r="P54" s="924"/>
      <c r="Q54" s="924"/>
      <c r="R54" s="924"/>
      <c r="S54" s="75"/>
      <c r="T54" s="924"/>
      <c r="U54" s="924"/>
      <c r="V54" s="924"/>
      <c r="W54" s="1515"/>
      <c r="X54" s="1"/>
      <c r="Y54" s="1"/>
      <c r="Z54" s="1"/>
    </row>
    <row r="55" spans="1:26" ht="15.75" customHeight="1">
      <c r="A55" s="1"/>
      <c r="B55" s="1164" t="s">
        <v>1160</v>
      </c>
      <c r="C55" s="75" t="s">
        <v>1161</v>
      </c>
      <c r="D55" s="1081">
        <v>0.6</v>
      </c>
      <c r="E55" s="924">
        <f>D55*1000000*0.9071847</f>
        <v>544310.81999999995</v>
      </c>
      <c r="F55" s="1512">
        <v>20000</v>
      </c>
      <c r="G55" s="1512">
        <f>F55*0.9071847</f>
        <v>18143.694</v>
      </c>
      <c r="H55" s="261">
        <v>1964</v>
      </c>
      <c r="I55" s="1525">
        <v>1992</v>
      </c>
      <c r="J55" s="924">
        <v>1289.4798012419974</v>
      </c>
      <c r="K55" s="924">
        <v>469.9671895460495</v>
      </c>
      <c r="L55" s="1460"/>
      <c r="M55" s="924"/>
      <c r="N55" s="1167"/>
      <c r="O55" s="924"/>
      <c r="P55" s="924"/>
      <c r="Q55" s="924"/>
      <c r="R55" s="924">
        <f>K55</f>
        <v>469.9671895460495</v>
      </c>
      <c r="S55" s="1460">
        <v>0.1</v>
      </c>
      <c r="T55" s="924">
        <f>R55*S55</f>
        <v>46.996718954604951</v>
      </c>
      <c r="U55" s="924">
        <f>R55-T55</f>
        <v>422.97047059144455</v>
      </c>
      <c r="V55" s="924">
        <f>Q55+U55</f>
        <v>422.97047059144455</v>
      </c>
      <c r="W55" s="1515">
        <f>(V55*$D$88)+J55+P55</f>
        <v>13132.652977802445</v>
      </c>
      <c r="X55" s="1"/>
      <c r="Y55" s="1"/>
      <c r="Z55" s="1"/>
    </row>
    <row r="56" spans="1:26" ht="15.75" customHeight="1">
      <c r="A56" s="1"/>
      <c r="B56" s="376"/>
      <c r="C56" s="75"/>
      <c r="D56" s="1081"/>
      <c r="E56" s="924"/>
      <c r="F56" s="1512"/>
      <c r="G56" s="1512"/>
      <c r="H56" s="261"/>
      <c r="I56" s="1525"/>
      <c r="J56" s="924"/>
      <c r="K56" s="924"/>
      <c r="L56" s="1460"/>
      <c r="M56" s="924"/>
      <c r="N56" s="1167"/>
      <c r="O56" s="924"/>
      <c r="P56" s="924"/>
      <c r="Q56" s="924"/>
      <c r="R56" s="924"/>
      <c r="S56" s="1460"/>
      <c r="T56" s="924"/>
      <c r="U56" s="924"/>
      <c r="V56" s="924"/>
      <c r="W56" s="1515"/>
      <c r="X56" s="1"/>
      <c r="Y56" s="1"/>
      <c r="Z56" s="1"/>
    </row>
    <row r="57" spans="1:26" ht="15.75" customHeight="1">
      <c r="A57" s="1"/>
      <c r="B57" s="1164" t="s">
        <v>1162</v>
      </c>
      <c r="C57" s="1532" t="s">
        <v>1163</v>
      </c>
      <c r="D57" s="1533">
        <f>4354487*1.1023/10000000</f>
        <v>0.47999510201000001</v>
      </c>
      <c r="E57" s="1534">
        <v>4354487</v>
      </c>
      <c r="F57" s="1535"/>
      <c r="G57" s="1535"/>
      <c r="H57" s="1536">
        <v>1962</v>
      </c>
      <c r="I57" s="1537">
        <v>1983</v>
      </c>
      <c r="J57" s="1534">
        <f>14010</f>
        <v>14010</v>
      </c>
      <c r="K57" s="1534">
        <f>5107</f>
        <v>5107</v>
      </c>
      <c r="L57" s="1538">
        <v>0.88200000000000001</v>
      </c>
      <c r="M57" s="1534">
        <f t="shared" ref="M57:M58" si="61">K57*L57</f>
        <v>4504.3739999999998</v>
      </c>
      <c r="N57" s="1539">
        <v>0.97699999999999998</v>
      </c>
      <c r="O57" s="1534">
        <f t="shared" ref="O57:O58" si="62">M57*N57</f>
        <v>4400.7733979999994</v>
      </c>
      <c r="P57" s="1534">
        <f t="shared" ref="P57:P58" si="63">O57*2.75</f>
        <v>12102.126844499999</v>
      </c>
      <c r="Q57" s="1534">
        <f t="shared" ref="Q57:Q58" si="64">M57*(1-N57)</f>
        <v>103.60060200000008</v>
      </c>
      <c r="R57" s="1534">
        <f t="shared" ref="R57:R58" si="65">K57*(1-L57)</f>
        <v>602.62599999999998</v>
      </c>
      <c r="S57" s="1538">
        <v>0.1</v>
      </c>
      <c r="T57" s="1534">
        <f t="shared" ref="T57:T58" si="66">R57*S57</f>
        <v>60.262599999999999</v>
      </c>
      <c r="U57" s="1534">
        <f t="shared" ref="U57:U58" si="67">R57-T57</f>
        <v>542.36339999999996</v>
      </c>
      <c r="V57" s="1534">
        <f t="shared" ref="V57:V58" si="68">Q57+U57</f>
        <v>645.96400200000005</v>
      </c>
      <c r="W57" s="1540">
        <f t="shared" ref="W57:W58" si="69">(V57*$D$88)+J57+P57</f>
        <v>44199.118900500005</v>
      </c>
      <c r="X57" s="1"/>
      <c r="Y57" s="1"/>
      <c r="Z57" s="1"/>
    </row>
    <row r="58" spans="1:26" ht="15.75" customHeight="1">
      <c r="A58" s="1"/>
      <c r="B58" s="376"/>
      <c r="C58" s="1532" t="s">
        <v>1164</v>
      </c>
      <c r="D58" s="1541">
        <f>4560132*1.1023/1000000</f>
        <v>5.0266335036000003</v>
      </c>
      <c r="E58" s="1534">
        <v>4560132</v>
      </c>
      <c r="F58" s="1535"/>
      <c r="G58" s="1535"/>
      <c r="H58" s="1536">
        <v>1982</v>
      </c>
      <c r="I58" s="1537">
        <v>1998</v>
      </c>
      <c r="J58" s="1534">
        <f>15800</f>
        <v>15800</v>
      </c>
      <c r="K58" s="1534">
        <f>5758</f>
        <v>5758</v>
      </c>
      <c r="L58" s="1538">
        <v>0.88200000000000001</v>
      </c>
      <c r="M58" s="1534">
        <f t="shared" si="61"/>
        <v>5078.5559999999996</v>
      </c>
      <c r="N58" s="1539">
        <v>0.98</v>
      </c>
      <c r="O58" s="1534">
        <f t="shared" si="62"/>
        <v>4976.9848799999991</v>
      </c>
      <c r="P58" s="1534">
        <f t="shared" si="63"/>
        <v>13686.708419999997</v>
      </c>
      <c r="Q58" s="1534">
        <f t="shared" si="64"/>
        <v>101.57112000000008</v>
      </c>
      <c r="R58" s="1534">
        <f t="shared" si="65"/>
        <v>679.44399999999996</v>
      </c>
      <c r="S58" s="1538">
        <v>0.1</v>
      </c>
      <c r="T58" s="1534">
        <f t="shared" si="66"/>
        <v>67.944400000000002</v>
      </c>
      <c r="U58" s="1534">
        <f t="shared" si="67"/>
        <v>611.49959999999999</v>
      </c>
      <c r="V58" s="1534">
        <f t="shared" si="68"/>
        <v>713.07072000000005</v>
      </c>
      <c r="W58" s="1540">
        <f t="shared" si="69"/>
        <v>49452.688580000002</v>
      </c>
      <c r="X58" s="1"/>
      <c r="Y58" s="1"/>
      <c r="Z58" s="1"/>
    </row>
    <row r="59" spans="1:26" ht="15.75" customHeight="1">
      <c r="A59" s="1"/>
      <c r="B59" s="376"/>
      <c r="C59" s="75"/>
      <c r="D59" s="1081"/>
      <c r="E59" s="924"/>
      <c r="F59" s="1512"/>
      <c r="G59" s="1512"/>
      <c r="H59" s="261"/>
      <c r="I59" s="1525"/>
      <c r="J59" s="924"/>
      <c r="K59" s="924"/>
      <c r="L59" s="1460"/>
      <c r="M59" s="924"/>
      <c r="N59" s="1167"/>
      <c r="O59" s="924"/>
      <c r="P59" s="924"/>
      <c r="Q59" s="924"/>
      <c r="R59" s="924"/>
      <c r="S59" s="1460"/>
      <c r="T59" s="924"/>
      <c r="U59" s="924"/>
      <c r="V59" s="924"/>
      <c r="W59" s="1515"/>
      <c r="X59" s="1"/>
      <c r="Y59" s="1"/>
      <c r="Z59" s="1"/>
    </row>
    <row r="60" spans="1:26" ht="15.75" customHeight="1">
      <c r="A60" s="1"/>
      <c r="B60" s="376"/>
      <c r="C60" s="75"/>
      <c r="D60" s="1081"/>
      <c r="E60" s="924"/>
      <c r="F60" s="1512"/>
      <c r="G60" s="1512"/>
      <c r="H60" s="261"/>
      <c r="I60" s="1525"/>
      <c r="J60" s="924"/>
      <c r="K60" s="924"/>
      <c r="L60" s="1460"/>
      <c r="M60" s="924"/>
      <c r="N60" s="1167"/>
      <c r="O60" s="924"/>
      <c r="P60" s="924"/>
      <c r="Q60" s="924"/>
      <c r="R60" s="924"/>
      <c r="S60" s="75"/>
      <c r="T60" s="924"/>
      <c r="U60" s="924"/>
      <c r="V60" s="924"/>
      <c r="W60" s="1515"/>
      <c r="X60" s="1"/>
      <c r="Y60" s="1"/>
      <c r="Z60" s="1"/>
    </row>
    <row r="61" spans="1:26" ht="15.75" customHeight="1">
      <c r="A61" s="1"/>
      <c r="B61" s="1164" t="s">
        <v>1165</v>
      </c>
      <c r="C61" s="1532" t="s">
        <v>1166</v>
      </c>
      <c r="D61" s="1541">
        <v>7.1</v>
      </c>
      <c r="E61" s="1534">
        <f t="shared" ref="E61:E64" si="70">D61*1000000*0.9071847</f>
        <v>6441011.3700000001</v>
      </c>
      <c r="F61" s="1535">
        <v>284000</v>
      </c>
      <c r="G61" s="1535">
        <f t="shared" ref="G61:G64" si="71">F61*0.9071847</f>
        <v>257640.45479999998</v>
      </c>
      <c r="H61" s="1536">
        <v>1968</v>
      </c>
      <c r="I61" s="1537">
        <v>1993</v>
      </c>
      <c r="J61" s="1534">
        <v>16607.422082836656</v>
      </c>
      <c r="K61" s="1534">
        <v>6052.7845991524637</v>
      </c>
      <c r="L61" s="1538">
        <v>0.58899999999999997</v>
      </c>
      <c r="M61" s="1534">
        <f t="shared" ref="M61:M63" si="72">K61*L61</f>
        <v>3565.0901289008011</v>
      </c>
      <c r="N61" s="1539">
        <v>0.997</v>
      </c>
      <c r="O61" s="1534">
        <f t="shared" ref="O61:O63" si="73">M61*N61</f>
        <v>3554.3948585140988</v>
      </c>
      <c r="P61" s="1534">
        <f t="shared" ref="P61:P63" si="74">O61*2.75</f>
        <v>9774.5858609137722</v>
      </c>
      <c r="Q61" s="1534">
        <f t="shared" ref="Q61:Q63" si="75">M61*(1-N61)</f>
        <v>10.695270386702413</v>
      </c>
      <c r="R61" s="1534">
        <f t="shared" ref="R61:R63" si="76">K61*(1-L61)</f>
        <v>2487.6944702516626</v>
      </c>
      <c r="S61" s="1538">
        <v>0.1</v>
      </c>
      <c r="T61" s="1534">
        <f t="shared" ref="T61:T64" si="77">R61*S61</f>
        <v>248.76944702516627</v>
      </c>
      <c r="U61" s="1534">
        <f t="shared" ref="U61:U64" si="78">R61-T61</f>
        <v>2238.9250232264963</v>
      </c>
      <c r="V61" s="1534">
        <f t="shared" ref="V61:V64" si="79">Q61+U61</f>
        <v>2249.6202936131986</v>
      </c>
      <c r="W61" s="1540">
        <f t="shared" ref="W61:W64" si="80">(V61*$D$88)+J61+P61</f>
        <v>89371.376164919988</v>
      </c>
      <c r="X61" s="1"/>
      <c r="Y61" s="1"/>
      <c r="Z61" s="1"/>
    </row>
    <row r="62" spans="1:26" ht="15.75" customHeight="1">
      <c r="A62" s="1"/>
      <c r="B62" s="376"/>
      <c r="C62" s="1532" t="s">
        <v>1167</v>
      </c>
      <c r="D62" s="1541">
        <v>16</v>
      </c>
      <c r="E62" s="1534">
        <f t="shared" si="70"/>
        <v>14514955.199999999</v>
      </c>
      <c r="F62" s="1535">
        <v>280000</v>
      </c>
      <c r="G62" s="1535">
        <f t="shared" si="71"/>
        <v>254011.71599999999</v>
      </c>
      <c r="H62" s="1536">
        <v>1992</v>
      </c>
      <c r="I62" s="1537">
        <v>2016</v>
      </c>
      <c r="J62" s="1534">
        <v>35409.47552727571</v>
      </c>
      <c r="K62" s="1534">
        <v>12905.430298966197</v>
      </c>
      <c r="L62" s="1538">
        <v>0.58899999999999997</v>
      </c>
      <c r="M62" s="1534">
        <f t="shared" si="72"/>
        <v>7601.2984460910902</v>
      </c>
      <c r="N62" s="1539">
        <v>0.97199999999999998</v>
      </c>
      <c r="O62" s="1534">
        <f t="shared" si="73"/>
        <v>7388.4620896005399</v>
      </c>
      <c r="P62" s="1534">
        <f t="shared" si="74"/>
        <v>20318.270746401486</v>
      </c>
      <c r="Q62" s="1534">
        <f t="shared" si="75"/>
        <v>212.83635649055071</v>
      </c>
      <c r="R62" s="1534">
        <f t="shared" si="76"/>
        <v>5304.1318528751071</v>
      </c>
      <c r="S62" s="1538">
        <v>0.1</v>
      </c>
      <c r="T62" s="1534">
        <f t="shared" si="77"/>
        <v>530.41318528751071</v>
      </c>
      <c r="U62" s="1534">
        <f t="shared" si="78"/>
        <v>4773.7186675875964</v>
      </c>
      <c r="V62" s="1534">
        <f t="shared" si="79"/>
        <v>4986.5550240781467</v>
      </c>
      <c r="W62" s="1540">
        <f t="shared" si="80"/>
        <v>195351.2869478653</v>
      </c>
      <c r="X62" s="1"/>
      <c r="Y62" s="1"/>
      <c r="Z62" s="1"/>
    </row>
    <row r="63" spans="1:26" ht="15.75" customHeight="1">
      <c r="A63" s="1"/>
      <c r="B63" s="376"/>
      <c r="C63" s="1516" t="s">
        <v>1168</v>
      </c>
      <c r="D63" s="1517">
        <v>7.5</v>
      </c>
      <c r="E63" s="1518">
        <f t="shared" si="70"/>
        <v>6803885.25</v>
      </c>
      <c r="F63" s="1519">
        <v>280000</v>
      </c>
      <c r="G63" s="1519">
        <f t="shared" si="71"/>
        <v>254011.71599999999</v>
      </c>
      <c r="H63" s="1520">
        <v>1978</v>
      </c>
      <c r="I63" s="1521">
        <v>2000</v>
      </c>
      <c r="J63" s="1518">
        <v>17807.627469267703</v>
      </c>
      <c r="K63" s="1518">
        <v>7643.5279974526075</v>
      </c>
      <c r="L63" s="1522">
        <v>0.94699999999999995</v>
      </c>
      <c r="M63" s="1518">
        <f t="shared" si="72"/>
        <v>7238.4210135876192</v>
      </c>
      <c r="N63" s="1523">
        <v>0.98</v>
      </c>
      <c r="O63" s="1518">
        <f t="shared" si="73"/>
        <v>7093.6525933158664</v>
      </c>
      <c r="P63" s="1518">
        <f t="shared" si="74"/>
        <v>19507.544631618632</v>
      </c>
      <c r="Q63" s="1518">
        <f t="shared" si="75"/>
        <v>144.76842027175252</v>
      </c>
      <c r="R63" s="1518">
        <f t="shared" si="76"/>
        <v>405.10698386498854</v>
      </c>
      <c r="S63" s="1522">
        <v>0.1</v>
      </c>
      <c r="T63" s="1518">
        <f t="shared" si="77"/>
        <v>40.510698386498859</v>
      </c>
      <c r="U63" s="1518">
        <f t="shared" si="78"/>
        <v>364.59628547848968</v>
      </c>
      <c r="V63" s="1518">
        <f t="shared" si="79"/>
        <v>509.36470575024219</v>
      </c>
      <c r="W63" s="1524">
        <f t="shared" si="80"/>
        <v>51577.383861893119</v>
      </c>
      <c r="X63" s="1"/>
      <c r="Y63" s="1"/>
      <c r="Z63" s="1"/>
    </row>
    <row r="64" spans="1:26" ht="15.75" customHeight="1">
      <c r="A64" s="1"/>
      <c r="B64" s="376"/>
      <c r="C64" s="75" t="s">
        <v>1169</v>
      </c>
      <c r="D64" s="1081">
        <v>1.6</v>
      </c>
      <c r="E64" s="924">
        <f t="shared" si="70"/>
        <v>1451495.52</v>
      </c>
      <c r="F64" s="1512">
        <v>34000</v>
      </c>
      <c r="G64" s="1512">
        <f t="shared" si="71"/>
        <v>30844.2798</v>
      </c>
      <c r="H64" s="261">
        <v>1960</v>
      </c>
      <c r="I64" s="1525">
        <v>2004</v>
      </c>
      <c r="J64" s="924">
        <v>4249.888437850791</v>
      </c>
      <c r="K64" s="924">
        <v>1548.9254838247368</v>
      </c>
      <c r="L64" s="1460"/>
      <c r="M64" s="924"/>
      <c r="N64" s="1167"/>
      <c r="O64" s="924"/>
      <c r="P64" s="924"/>
      <c r="Q64" s="924"/>
      <c r="R64" s="924">
        <f>K64</f>
        <v>1548.9254838247368</v>
      </c>
      <c r="S64" s="1460">
        <v>0.1</v>
      </c>
      <c r="T64" s="924">
        <f t="shared" si="77"/>
        <v>154.89254838247371</v>
      </c>
      <c r="U64" s="924">
        <f t="shared" si="78"/>
        <v>1394.0329354422631</v>
      </c>
      <c r="V64" s="924">
        <f t="shared" si="79"/>
        <v>1394.0329354422631</v>
      </c>
      <c r="W64" s="1515">
        <f t="shared" si="80"/>
        <v>43282.810630234162</v>
      </c>
      <c r="X64" s="1"/>
      <c r="Y64" s="1"/>
      <c r="Z64" s="1"/>
    </row>
    <row r="65" spans="1:26" ht="15.75" customHeight="1">
      <c r="A65" s="1"/>
      <c r="B65" s="376"/>
      <c r="C65" s="75"/>
      <c r="D65" s="1081"/>
      <c r="E65" s="924"/>
      <c r="F65" s="1512"/>
      <c r="G65" s="1512"/>
      <c r="H65" s="261"/>
      <c r="I65" s="1525"/>
      <c r="J65" s="924"/>
      <c r="K65" s="924"/>
      <c r="L65" s="1460"/>
      <c r="M65" s="924"/>
      <c r="N65" s="1167"/>
      <c r="O65" s="924"/>
      <c r="P65" s="924"/>
      <c r="Q65" s="924"/>
      <c r="R65" s="924"/>
      <c r="S65" s="75"/>
      <c r="T65" s="924"/>
      <c r="U65" s="924"/>
      <c r="V65" s="924"/>
      <c r="W65" s="1515"/>
      <c r="X65" s="1"/>
      <c r="Y65" s="1"/>
      <c r="Z65" s="1"/>
    </row>
    <row r="66" spans="1:26" ht="15.75" customHeight="1">
      <c r="A66" s="1"/>
      <c r="B66" s="1164" t="s">
        <v>1170</v>
      </c>
      <c r="C66" s="75" t="s">
        <v>1171</v>
      </c>
      <c r="D66" s="1081">
        <v>1.61</v>
      </c>
      <c r="E66" s="924">
        <v>393341</v>
      </c>
      <c r="F66" s="1512"/>
      <c r="G66" s="1512">
        <f t="shared" ref="G66:G67" si="81">F66*0.9071847</f>
        <v>0</v>
      </c>
      <c r="H66" s="1525">
        <v>1998</v>
      </c>
      <c r="I66" s="1525">
        <v>2023</v>
      </c>
      <c r="J66" s="924">
        <v>1622.9005712111855</v>
      </c>
      <c r="K66" s="924">
        <v>591.48659764206809</v>
      </c>
      <c r="L66" s="1460"/>
      <c r="M66" s="924"/>
      <c r="N66" s="1167"/>
      <c r="O66" s="924"/>
      <c r="P66" s="924"/>
      <c r="Q66" s="924"/>
      <c r="R66" s="924">
        <f t="shared" ref="R66:R67" si="82">K66</f>
        <v>591.48659764206809</v>
      </c>
      <c r="S66" s="1460">
        <v>0.1</v>
      </c>
      <c r="T66" s="924">
        <f t="shared" ref="T66:T67" si="83">R66*S66</f>
        <v>59.148659764206812</v>
      </c>
      <c r="U66" s="924">
        <f t="shared" ref="U66:U67" si="84">R66-T66</f>
        <v>532.33793787786124</v>
      </c>
      <c r="V66" s="924">
        <f t="shared" ref="V66:V67" si="85">Q66+U66</f>
        <v>532.33793787786124</v>
      </c>
      <c r="W66" s="1515">
        <f t="shared" ref="W66:W67" si="86">(V66*$D$88)+J66+P66</f>
        <v>16528.362831791299</v>
      </c>
      <c r="X66" s="1"/>
      <c r="Y66" s="1"/>
      <c r="Z66" s="1"/>
    </row>
    <row r="67" spans="1:26" ht="15.75" customHeight="1">
      <c r="A67" s="1"/>
      <c r="B67" s="376"/>
      <c r="C67" s="75" t="s">
        <v>1172</v>
      </c>
      <c r="D67" s="1081"/>
      <c r="E67" s="924">
        <v>368200</v>
      </c>
      <c r="F67" s="1512"/>
      <c r="G67" s="1512">
        <f t="shared" si="81"/>
        <v>0</v>
      </c>
      <c r="H67" s="261">
        <v>1977</v>
      </c>
      <c r="I67" s="1525">
        <v>1998</v>
      </c>
      <c r="J67" s="924">
        <v>1350.520395631233</v>
      </c>
      <c r="K67" s="924">
        <v>492.21420463360545</v>
      </c>
      <c r="L67" s="1460"/>
      <c r="M67" s="924"/>
      <c r="N67" s="1167"/>
      <c r="O67" s="924"/>
      <c r="P67" s="924"/>
      <c r="Q67" s="924"/>
      <c r="R67" s="924">
        <f t="shared" si="82"/>
        <v>492.21420463360545</v>
      </c>
      <c r="S67" s="1460">
        <v>0.1</v>
      </c>
      <c r="T67" s="924">
        <f t="shared" si="83"/>
        <v>49.221420463360545</v>
      </c>
      <c r="U67" s="924">
        <f t="shared" si="84"/>
        <v>442.99278417024493</v>
      </c>
      <c r="V67" s="924">
        <f t="shared" si="85"/>
        <v>442.99278417024493</v>
      </c>
      <c r="W67" s="1515">
        <f t="shared" si="86"/>
        <v>13754.318352398092</v>
      </c>
      <c r="X67" s="1"/>
      <c r="Y67" s="1"/>
      <c r="Z67" s="1"/>
    </row>
    <row r="68" spans="1:26" ht="15.75" customHeight="1">
      <c r="A68" s="1"/>
      <c r="B68" s="376"/>
      <c r="C68" s="75"/>
      <c r="D68" s="1081"/>
      <c r="E68" s="924">
        <f t="shared" ref="E68:E69" si="87">D68*1000000*0.9071847</f>
        <v>0</v>
      </c>
      <c r="F68" s="1512"/>
      <c r="G68" s="1512"/>
      <c r="H68" s="261"/>
      <c r="I68" s="1525"/>
      <c r="J68" s="924"/>
      <c r="K68" s="924"/>
      <c r="L68" s="1460"/>
      <c r="M68" s="924"/>
      <c r="N68" s="1167"/>
      <c r="O68" s="924"/>
      <c r="P68" s="924"/>
      <c r="Q68" s="924"/>
      <c r="R68" s="924"/>
      <c r="S68" s="75"/>
      <c r="T68" s="924"/>
      <c r="U68" s="924"/>
      <c r="V68" s="924"/>
      <c r="W68" s="1515"/>
      <c r="X68" s="1"/>
      <c r="Y68" s="1"/>
      <c r="Z68" s="1"/>
    </row>
    <row r="69" spans="1:26" ht="15.75" customHeight="1">
      <c r="A69" s="1"/>
      <c r="B69" s="1164" t="s">
        <v>1173</v>
      </c>
      <c r="C69" s="75" t="s">
        <v>1174</v>
      </c>
      <c r="D69" s="1081">
        <v>3.7512439999999998</v>
      </c>
      <c r="E69" s="924">
        <f t="shared" si="87"/>
        <v>3403071.1627667998</v>
      </c>
      <c r="F69" s="1512">
        <v>81800</v>
      </c>
      <c r="G69" s="1512">
        <f>F69*0.9071847</f>
        <v>74207.708459999994</v>
      </c>
      <c r="H69" s="261">
        <v>1991</v>
      </c>
      <c r="I69" s="1525">
        <v>2010</v>
      </c>
      <c r="J69" s="924">
        <v>10044.344450339966</v>
      </c>
      <c r="K69" s="924">
        <v>3660.7881159612143</v>
      </c>
      <c r="L69" s="1460"/>
      <c r="M69" s="924"/>
      <c r="N69" s="1167"/>
      <c r="O69" s="924"/>
      <c r="P69" s="924"/>
      <c r="Q69" s="924"/>
      <c r="R69" s="924">
        <f>K69</f>
        <v>3660.7881159612143</v>
      </c>
      <c r="S69" s="1460">
        <v>0.1</v>
      </c>
      <c r="T69" s="924">
        <f>R69*S69</f>
        <v>366.07881159612145</v>
      </c>
      <c r="U69" s="924">
        <f>R69-T69</f>
        <v>3294.709304365093</v>
      </c>
      <c r="V69" s="924">
        <f>Q69+U69</f>
        <v>3294.709304365093</v>
      </c>
      <c r="W69" s="1515">
        <f>(V69*$D$88)+J69+P69</f>
        <v>102296.20497256257</v>
      </c>
      <c r="X69" s="1"/>
      <c r="Y69" s="1"/>
      <c r="Z69" s="1"/>
    </row>
    <row r="70" spans="1:26" ht="15.75" customHeight="1">
      <c r="A70" s="1"/>
      <c r="B70" s="376"/>
      <c r="C70" s="75"/>
      <c r="D70" s="1081"/>
      <c r="E70" s="924"/>
      <c r="F70" s="1512"/>
      <c r="G70" s="1512"/>
      <c r="H70" s="261"/>
      <c r="I70" s="1525"/>
      <c r="J70" s="924"/>
      <c r="K70" s="924"/>
      <c r="L70" s="1460"/>
      <c r="M70" s="924"/>
      <c r="N70" s="1167"/>
      <c r="O70" s="924"/>
      <c r="P70" s="924"/>
      <c r="Q70" s="924"/>
      <c r="R70" s="924"/>
      <c r="S70" s="75"/>
      <c r="T70" s="924"/>
      <c r="U70" s="924"/>
      <c r="V70" s="924"/>
      <c r="W70" s="1515"/>
      <c r="X70" s="1"/>
      <c r="Y70" s="1"/>
      <c r="Z70" s="1"/>
    </row>
    <row r="71" spans="1:26" ht="15.75" customHeight="1">
      <c r="A71" s="1"/>
      <c r="B71" s="1164" t="s">
        <v>1175</v>
      </c>
      <c r="C71" s="75" t="s">
        <v>1176</v>
      </c>
      <c r="D71" s="75"/>
      <c r="E71" s="924">
        <v>89729.73</v>
      </c>
      <c r="F71" s="261"/>
      <c r="G71" s="1512">
        <f t="shared" ref="G71:G73" si="88">F71*0.9071847</f>
        <v>0</v>
      </c>
      <c r="H71" s="261">
        <v>1981</v>
      </c>
      <c r="I71" s="1525">
        <v>1993</v>
      </c>
      <c r="J71" s="924">
        <v>309.92217252081514</v>
      </c>
      <c r="K71" s="924">
        <v>112.95504765357589</v>
      </c>
      <c r="L71" s="1460"/>
      <c r="M71" s="924"/>
      <c r="N71" s="1167"/>
      <c r="O71" s="924"/>
      <c r="P71" s="924"/>
      <c r="Q71" s="924"/>
      <c r="R71" s="924">
        <f t="shared" ref="R71:R73" si="89">K71</f>
        <v>112.95504765357589</v>
      </c>
      <c r="S71" s="1460">
        <v>0.1</v>
      </c>
      <c r="T71" s="924">
        <f t="shared" ref="T71:T73" si="90">R71*S71</f>
        <v>11.29550476535759</v>
      </c>
      <c r="U71" s="924">
        <f t="shared" ref="U71:U73" si="91">R71-T71</f>
        <v>101.6595428882183</v>
      </c>
      <c r="V71" s="924">
        <f t="shared" ref="V71:V73" si="92">Q71+U71</f>
        <v>101.6595428882183</v>
      </c>
      <c r="W71" s="1515">
        <f t="shared" ref="W71:W73" si="93">(V71*$D$88)+J71+P71</f>
        <v>3156.3893733909272</v>
      </c>
      <c r="X71" s="1"/>
      <c r="Y71" s="1"/>
      <c r="Z71" s="1"/>
    </row>
    <row r="72" spans="1:26" ht="15.75" customHeight="1">
      <c r="A72" s="1"/>
      <c r="B72" s="376"/>
      <c r="C72" s="75" t="s">
        <v>1177</v>
      </c>
      <c r="D72" s="1081">
        <v>2.5499999999999998</v>
      </c>
      <c r="E72" s="924">
        <f t="shared" ref="E72:E73" si="94">D72*1000000*0.9071847</f>
        <v>2313320.9849999999</v>
      </c>
      <c r="F72" s="1512">
        <v>150000</v>
      </c>
      <c r="G72" s="1512">
        <f t="shared" si="88"/>
        <v>136077.70499999999</v>
      </c>
      <c r="H72" s="261">
        <v>1982</v>
      </c>
      <c r="I72" s="1525">
        <v>2000</v>
      </c>
      <c r="J72" s="924">
        <v>1636.2416568530507</v>
      </c>
      <c r="K72" s="924">
        <v>596.34892469718079</v>
      </c>
      <c r="L72" s="1460"/>
      <c r="M72" s="924"/>
      <c r="N72" s="1167"/>
      <c r="O72" s="924"/>
      <c r="P72" s="924"/>
      <c r="Q72" s="924"/>
      <c r="R72" s="924">
        <f t="shared" si="89"/>
        <v>596.34892469718079</v>
      </c>
      <c r="S72" s="1460">
        <v>0.1</v>
      </c>
      <c r="T72" s="924">
        <f t="shared" si="90"/>
        <v>59.634892469718082</v>
      </c>
      <c r="U72" s="924">
        <f t="shared" si="91"/>
        <v>536.71403222746267</v>
      </c>
      <c r="V72" s="924">
        <f t="shared" si="92"/>
        <v>536.71403222746267</v>
      </c>
      <c r="W72" s="1515">
        <f t="shared" si="93"/>
        <v>16664.234559222004</v>
      </c>
      <c r="X72" s="1"/>
      <c r="Y72" s="1"/>
      <c r="Z72" s="1"/>
    </row>
    <row r="73" spans="1:26" ht="15.75" customHeight="1">
      <c r="A73" s="1"/>
      <c r="B73" s="376"/>
      <c r="C73" s="75" t="s">
        <v>1178</v>
      </c>
      <c r="D73" s="1081">
        <v>20.273</v>
      </c>
      <c r="E73" s="924">
        <f t="shared" si="94"/>
        <v>18391355.423099998</v>
      </c>
      <c r="F73" s="1512"/>
      <c r="G73" s="1512">
        <f t="shared" si="88"/>
        <v>0</v>
      </c>
      <c r="H73" s="261">
        <v>2000</v>
      </c>
      <c r="I73" s="1525">
        <v>2047</v>
      </c>
      <c r="J73" s="924">
        <f>13730</f>
        <v>13730</v>
      </c>
      <c r="K73" s="924">
        <f>5005</f>
        <v>5005</v>
      </c>
      <c r="L73" s="1460"/>
      <c r="M73" s="924"/>
      <c r="N73" s="1167"/>
      <c r="O73" s="924"/>
      <c r="P73" s="924"/>
      <c r="Q73" s="924"/>
      <c r="R73" s="924">
        <f t="shared" si="89"/>
        <v>5005</v>
      </c>
      <c r="S73" s="1460">
        <v>0.1</v>
      </c>
      <c r="T73" s="924">
        <f t="shared" si="90"/>
        <v>500.5</v>
      </c>
      <c r="U73" s="924">
        <f t="shared" si="91"/>
        <v>4504.5</v>
      </c>
      <c r="V73" s="924">
        <f t="shared" si="92"/>
        <v>4504.5</v>
      </c>
      <c r="W73" s="1515">
        <f t="shared" si="93"/>
        <v>139856</v>
      </c>
      <c r="X73" s="1"/>
      <c r="Y73" s="1"/>
      <c r="Z73" s="1"/>
    </row>
    <row r="74" spans="1:26" ht="15.75" customHeight="1">
      <c r="A74" s="1"/>
      <c r="B74" s="376"/>
      <c r="C74" s="75"/>
      <c r="D74" s="1081"/>
      <c r="E74" s="924"/>
      <c r="F74" s="1512"/>
      <c r="G74" s="1512"/>
      <c r="H74" s="261"/>
      <c r="I74" s="1525"/>
      <c r="J74" s="924"/>
      <c r="K74" s="924"/>
      <c r="L74" s="1460"/>
      <c r="M74" s="924"/>
      <c r="N74" s="1167"/>
      <c r="O74" s="924"/>
      <c r="P74" s="924"/>
      <c r="Q74" s="924"/>
      <c r="R74" s="924"/>
      <c r="S74" s="75"/>
      <c r="T74" s="924"/>
      <c r="U74" s="924"/>
      <c r="V74" s="924"/>
      <c r="W74" s="1515"/>
      <c r="X74" s="1"/>
      <c r="Y74" s="1"/>
      <c r="Z74" s="1"/>
    </row>
    <row r="75" spans="1:26" ht="15.75" customHeight="1">
      <c r="A75" s="1"/>
      <c r="B75" s="1164" t="s">
        <v>1179</v>
      </c>
      <c r="C75" s="1516" t="s">
        <v>1180</v>
      </c>
      <c r="D75" s="1517">
        <v>7.2</v>
      </c>
      <c r="E75" s="1518">
        <f>D75*1000000*0.9071847</f>
        <v>6531729.8399999999</v>
      </c>
      <c r="F75" s="1519">
        <v>82000</v>
      </c>
      <c r="G75" s="1519">
        <f>F75*0.9071847</f>
        <v>74389.145399999994</v>
      </c>
      <c r="H75" s="1520">
        <v>1955</v>
      </c>
      <c r="I75" s="1521">
        <v>2031</v>
      </c>
      <c r="J75" s="1518">
        <v>15382.052875921469</v>
      </c>
      <c r="K75" s="1518">
        <v>5606.1833249211622</v>
      </c>
      <c r="L75" s="1522">
        <v>0.378</v>
      </c>
      <c r="M75" s="1518">
        <f>K75*L75</f>
        <v>2119.1372968201995</v>
      </c>
      <c r="N75" s="1523">
        <v>0.98</v>
      </c>
      <c r="O75" s="1518">
        <f>M75*N75</f>
        <v>2076.7545508837957</v>
      </c>
      <c r="P75" s="1518">
        <f>O75*2.75</f>
        <v>5711.0750149304386</v>
      </c>
      <c r="Q75" s="1518">
        <f>M75*(1-N75)</f>
        <v>42.382745936404028</v>
      </c>
      <c r="R75" s="1518">
        <f>K75*(1-L75)</f>
        <v>3487.0460281009628</v>
      </c>
      <c r="S75" s="1522">
        <v>0.1</v>
      </c>
      <c r="T75" s="1518">
        <f>R75*S75</f>
        <v>348.70460281009628</v>
      </c>
      <c r="U75" s="1518">
        <f>R75-T75</f>
        <v>3138.3414252908665</v>
      </c>
      <c r="V75" s="1518">
        <f>Q75+U75</f>
        <v>3180.7241712272703</v>
      </c>
      <c r="W75" s="1524">
        <f>(V75*$D$88)+J75+P75</f>
        <v>110153.40468521547</v>
      </c>
      <c r="X75" s="1"/>
      <c r="Y75" s="1"/>
      <c r="Z75" s="1"/>
    </row>
    <row r="76" spans="1:26" ht="15.75" customHeight="1">
      <c r="A76" s="1"/>
      <c r="B76" s="376"/>
      <c r="C76" s="75"/>
      <c r="D76" s="75"/>
      <c r="E76" s="924"/>
      <c r="F76" s="75"/>
      <c r="G76" s="75"/>
      <c r="H76" s="75"/>
      <c r="I76" s="75"/>
      <c r="J76" s="924"/>
      <c r="K76" s="924"/>
      <c r="L76" s="1460"/>
      <c r="M76" s="924"/>
      <c r="N76" s="1167"/>
      <c r="O76" s="924"/>
      <c r="P76" s="924"/>
      <c r="Q76" s="924"/>
      <c r="R76" s="924"/>
      <c r="S76" s="75"/>
      <c r="T76" s="924"/>
      <c r="U76" s="924"/>
      <c r="V76" s="924"/>
      <c r="W76" s="1515"/>
      <c r="X76" s="1"/>
      <c r="Y76" s="1"/>
      <c r="Z76" s="1"/>
    </row>
    <row r="77" spans="1:26" ht="15.75" customHeight="1">
      <c r="A77" s="1"/>
      <c r="B77" s="1164" t="s">
        <v>1181</v>
      </c>
      <c r="C77" s="75" t="s">
        <v>1182</v>
      </c>
      <c r="D77" s="1081">
        <v>4.8</v>
      </c>
      <c r="E77" s="924">
        <f>D77*1000000*0.9071847</f>
        <v>4354486.5599999996</v>
      </c>
      <c r="F77" s="1512">
        <v>70000</v>
      </c>
      <c r="G77" s="1512">
        <f>F77*0.9071847</f>
        <v>63502.928999999996</v>
      </c>
      <c r="H77" s="261">
        <v>1990</v>
      </c>
      <c r="I77" s="1525">
        <v>2028</v>
      </c>
      <c r="J77" s="924">
        <v>2513</v>
      </c>
      <c r="K77" s="924">
        <f t="shared" ref="K77:K78" si="95">915.9</f>
        <v>915.9</v>
      </c>
      <c r="L77" s="1460"/>
      <c r="M77" s="924"/>
      <c r="N77" s="1167"/>
      <c r="O77" s="924"/>
      <c r="P77" s="924"/>
      <c r="Q77" s="924"/>
      <c r="R77" s="924">
        <f>K77</f>
        <v>915.9</v>
      </c>
      <c r="S77" s="1460">
        <v>0.1</v>
      </c>
      <c r="T77" s="924">
        <f t="shared" ref="T77:T78" si="96">R77*S77</f>
        <v>91.59</v>
      </c>
      <c r="U77" s="924">
        <f t="shared" ref="U77:U78" si="97">R77-T77</f>
        <v>824.31</v>
      </c>
      <c r="V77" s="924">
        <f t="shared" ref="V77:V78" si="98">Q77+U77</f>
        <v>824.31</v>
      </c>
      <c r="W77" s="1515">
        <f t="shared" ref="W77:W78" si="99">(V77*$D$88)+J77+P77</f>
        <v>25593.68</v>
      </c>
      <c r="X77" s="1"/>
      <c r="Y77" s="1"/>
      <c r="Z77" s="1"/>
    </row>
    <row r="78" spans="1:26" ht="15.75" customHeight="1">
      <c r="A78" s="1"/>
      <c r="B78" s="376"/>
      <c r="C78" s="1516" t="s">
        <v>1183</v>
      </c>
      <c r="D78" s="1516"/>
      <c r="E78" s="1518"/>
      <c r="F78" s="1516"/>
      <c r="G78" s="1516"/>
      <c r="H78" s="1516"/>
      <c r="I78" s="1516"/>
      <c r="J78" s="1518">
        <f>2513</f>
        <v>2513</v>
      </c>
      <c r="K78" s="1518">
        <f t="shared" si="95"/>
        <v>915.9</v>
      </c>
      <c r="L78" s="1522">
        <v>0.89390000000000003</v>
      </c>
      <c r="M78" s="1518">
        <f>K78*L78</f>
        <v>818.72301000000004</v>
      </c>
      <c r="N78" s="1523">
        <v>0.98</v>
      </c>
      <c r="O78" s="1518">
        <f>M78*N78</f>
        <v>802.3485498</v>
      </c>
      <c r="P78" s="1518">
        <f>O78*2.75</f>
        <v>2206.4585119499998</v>
      </c>
      <c r="Q78" s="1518">
        <f>M78*(1-N78)</f>
        <v>16.374460200000016</v>
      </c>
      <c r="R78" s="1518">
        <f>K78*(1-L78)</f>
        <v>97.176989999999975</v>
      </c>
      <c r="S78" s="1522">
        <v>0.1</v>
      </c>
      <c r="T78" s="1518">
        <f t="shared" si="96"/>
        <v>9.7176989999999979</v>
      </c>
      <c r="U78" s="1518">
        <f t="shared" si="97"/>
        <v>87.459290999999979</v>
      </c>
      <c r="V78" s="1518">
        <f t="shared" si="98"/>
        <v>103.83375119999999</v>
      </c>
      <c r="W78" s="1524">
        <f t="shared" si="99"/>
        <v>7626.8035455499994</v>
      </c>
      <c r="X78" s="1542"/>
      <c r="Y78" s="1"/>
      <c r="Z78" s="1"/>
    </row>
    <row r="79" spans="1:26" ht="15.75" customHeight="1">
      <c r="A79" s="1"/>
      <c r="B79" s="376"/>
      <c r="C79" s="75"/>
      <c r="D79" s="75"/>
      <c r="E79" s="924"/>
      <c r="F79" s="75"/>
      <c r="G79" s="75"/>
      <c r="H79" s="75"/>
      <c r="I79" s="75"/>
      <c r="J79" s="924"/>
      <c r="K79" s="924"/>
      <c r="L79" s="75"/>
      <c r="M79" s="924"/>
      <c r="N79" s="1167"/>
      <c r="O79" s="924"/>
      <c r="P79" s="924"/>
      <c r="Q79" s="924"/>
      <c r="R79" s="924"/>
      <c r="S79" s="75"/>
      <c r="T79" s="924"/>
      <c r="U79" s="924"/>
      <c r="V79" s="924"/>
      <c r="W79" s="1515"/>
      <c r="X79" s="1"/>
      <c r="Y79" s="1"/>
      <c r="Z79" s="1"/>
    </row>
    <row r="80" spans="1:26" ht="15.75" customHeight="1">
      <c r="A80" s="1"/>
      <c r="B80" s="1258"/>
      <c r="C80" s="1259"/>
      <c r="D80" s="1259"/>
      <c r="E80" s="1259"/>
      <c r="F80" s="1259"/>
      <c r="G80" s="1259"/>
      <c r="H80" s="1259"/>
      <c r="I80" s="1259"/>
      <c r="J80" s="1543">
        <f t="shared" ref="J80:K80" si="100">SUM(J11:J79)</f>
        <v>371373.21108895435</v>
      </c>
      <c r="K80" s="1543">
        <f t="shared" si="100"/>
        <v>138951.01014377782</v>
      </c>
      <c r="L80" s="1259"/>
      <c r="M80" s="1544"/>
      <c r="N80" s="1545"/>
      <c r="O80" s="1543">
        <f t="shared" ref="O80:Q80" si="101">SUM(O11:O79)</f>
        <v>63459.540145816973</v>
      </c>
      <c r="P80" s="1543">
        <f t="shared" si="101"/>
        <v>174513.73540099672</v>
      </c>
      <c r="Q80" s="1543">
        <f t="shared" si="101"/>
        <v>1136.3436025790863</v>
      </c>
      <c r="R80" s="1544"/>
      <c r="S80" s="1259"/>
      <c r="T80" s="1543">
        <f>SUM(T11:T79)</f>
        <v>7435.5126395381767</v>
      </c>
      <c r="U80" s="1544"/>
      <c r="V80" s="1544"/>
      <c r="W80" s="1546"/>
      <c r="X80" s="1"/>
      <c r="Y80" s="1"/>
      <c r="Z80" s="1"/>
    </row>
    <row r="81" spans="1:26" ht="15.75" customHeight="1">
      <c r="A81" s="1"/>
      <c r="B81" s="1"/>
      <c r="C81" s="1"/>
      <c r="D81" s="1"/>
      <c r="E81" s="1"/>
      <c r="F81" s="1"/>
      <c r="G81" s="41"/>
      <c r="H81" s="1"/>
      <c r="I81" s="1"/>
      <c r="J81" s="221"/>
      <c r="K81" s="1"/>
      <c r="L81" s="1"/>
      <c r="M81" s="949"/>
      <c r="N81" s="1"/>
      <c r="O81" s="1008"/>
      <c r="P81" s="1"/>
      <c r="Q81" s="41"/>
      <c r="R81" s="1"/>
      <c r="S81" s="1"/>
      <c r="T81" s="1"/>
      <c r="U81" s="221"/>
      <c r="V81" s="1"/>
      <c r="W81" s="1"/>
      <c r="X81" s="1"/>
      <c r="Y81" s="1"/>
      <c r="Z81" s="1"/>
    </row>
    <row r="82" spans="1:26" ht="15.75" customHeight="1">
      <c r="A82" s="1"/>
      <c r="B82" s="1"/>
      <c r="C82" s="1"/>
      <c r="D82" s="1"/>
      <c r="E82" s="1"/>
      <c r="F82" s="1"/>
      <c r="G82" s="1"/>
      <c r="H82" s="1"/>
      <c r="I82" s="1"/>
      <c r="J82" s="1"/>
      <c r="K82" s="1"/>
      <c r="L82" s="1"/>
      <c r="M82" s="949"/>
      <c r="N82" s="1"/>
      <c r="O82" s="1008"/>
      <c r="P82" s="1"/>
      <c r="Q82" s="1"/>
      <c r="R82" s="1"/>
      <c r="S82" s="1"/>
      <c r="T82" s="1"/>
      <c r="U82" s="1"/>
      <c r="V82" s="1"/>
      <c r="W82" s="1547"/>
      <c r="X82" s="1"/>
      <c r="Y82" s="1"/>
      <c r="Z82" s="1"/>
    </row>
    <row r="83" spans="1:26" ht="15.75" customHeight="1">
      <c r="A83" s="1"/>
      <c r="B83" s="1"/>
      <c r="C83" s="1"/>
      <c r="D83" s="1"/>
      <c r="E83" s="1"/>
      <c r="F83" s="1"/>
      <c r="G83" s="1"/>
      <c r="H83" s="1"/>
      <c r="I83" s="1"/>
      <c r="J83" s="1"/>
      <c r="K83" s="1"/>
      <c r="L83" s="1"/>
      <c r="M83" s="949"/>
      <c r="N83" s="1"/>
      <c r="O83" s="1008"/>
      <c r="P83" s="1"/>
      <c r="Q83" s="1"/>
      <c r="R83" s="1"/>
      <c r="S83" s="1"/>
      <c r="T83" s="1"/>
      <c r="U83" s="1"/>
      <c r="V83" s="1"/>
      <c r="W83" s="1"/>
      <c r="X83" s="1"/>
      <c r="Y83" s="1"/>
      <c r="Z83" s="1"/>
    </row>
    <row r="84" spans="1:26" ht="15.75" customHeight="1">
      <c r="A84" s="1"/>
      <c r="B84" s="1"/>
      <c r="C84" s="1"/>
      <c r="D84" s="1"/>
      <c r="E84" s="1"/>
      <c r="F84" s="1"/>
      <c r="G84" s="1548" t="s">
        <v>1184</v>
      </c>
      <c r="H84" s="1549"/>
      <c r="I84" s="1549"/>
      <c r="J84" s="1550"/>
      <c r="K84" s="1551">
        <f>K80</f>
        <v>138951.01014377782</v>
      </c>
      <c r="L84" s="1552"/>
      <c r="M84" s="1553" t="s">
        <v>1185</v>
      </c>
      <c r="N84" s="1554"/>
      <c r="O84" s="1555">
        <f>O11+O16+O18+O23+O24+O31+O33+O36+O45+O53+O63+O75+O78</f>
        <v>43138.924919702338</v>
      </c>
      <c r="P84" s="1552"/>
      <c r="Q84" s="2297" t="s">
        <v>1186</v>
      </c>
      <c r="R84" s="2298"/>
      <c r="S84" s="2299"/>
      <c r="T84" s="1556"/>
      <c r="U84" s="1557">
        <f>O57+O58+O61+O62</f>
        <v>20320.615226114634</v>
      </c>
      <c r="V84" s="1"/>
      <c r="W84" s="1449"/>
      <c r="X84" s="1"/>
      <c r="Y84" s="1"/>
      <c r="Z84" s="1"/>
    </row>
    <row r="85" spans="1:26" ht="15.75" customHeight="1">
      <c r="A85" s="1"/>
      <c r="B85" s="1"/>
      <c r="C85" s="2237" t="s">
        <v>1</v>
      </c>
      <c r="D85" s="2238"/>
      <c r="E85" s="1"/>
      <c r="F85" s="1"/>
      <c r="G85" s="376" t="s">
        <v>1187</v>
      </c>
      <c r="H85" s="75"/>
      <c r="I85" s="75"/>
      <c r="J85" s="75"/>
      <c r="K85" s="924">
        <f>$D$88</f>
        <v>28</v>
      </c>
      <c r="L85" s="75"/>
      <c r="M85" s="75" t="s">
        <v>1188</v>
      </c>
      <c r="N85" s="75"/>
      <c r="O85" s="924">
        <f>$D$88</f>
        <v>28</v>
      </c>
      <c r="P85" s="75"/>
      <c r="Q85" s="75" t="s">
        <v>1189</v>
      </c>
      <c r="R85" s="75"/>
      <c r="S85" s="75"/>
      <c r="T85" s="75"/>
      <c r="U85" s="1515">
        <f>$D$88</f>
        <v>28</v>
      </c>
      <c r="V85" s="1"/>
      <c r="W85" s="1"/>
      <c r="X85" s="1"/>
      <c r="Y85" s="1"/>
      <c r="Z85" s="1"/>
    </row>
    <row r="86" spans="1:26" ht="15.75" customHeight="1">
      <c r="A86" s="1"/>
      <c r="B86" s="1"/>
      <c r="C86" s="52"/>
      <c r="D86" s="52"/>
      <c r="E86" s="1"/>
      <c r="F86" s="1"/>
      <c r="G86" s="2300" t="s">
        <v>1190</v>
      </c>
      <c r="H86" s="2286"/>
      <c r="I86" s="2287"/>
      <c r="J86" s="1558"/>
      <c r="K86" s="1559">
        <f>(K84*K85)*0.907184</f>
        <v>3529515.7292156424</v>
      </c>
      <c r="L86" s="75"/>
      <c r="M86" s="2301" t="s">
        <v>1191</v>
      </c>
      <c r="N86" s="2287"/>
      <c r="O86" s="1560">
        <f>(O84*O85)*0.907184</f>
        <v>1095778.3890019469</v>
      </c>
      <c r="P86" s="75"/>
      <c r="Q86" s="1561" t="s">
        <v>1192</v>
      </c>
      <c r="R86" s="1561"/>
      <c r="S86" s="1561"/>
      <c r="T86" s="1561"/>
      <c r="U86" s="1562">
        <f>(U84*U85)*0.907184</f>
        <v>516167.03609205218</v>
      </c>
      <c r="V86" s="1"/>
      <c r="W86" s="1"/>
      <c r="X86" s="1"/>
      <c r="Y86" s="1"/>
      <c r="Z86" s="1"/>
    </row>
    <row r="87" spans="1:26" ht="15.75" customHeight="1">
      <c r="A87" s="1"/>
      <c r="B87" s="1"/>
      <c r="C87" s="53" t="s">
        <v>80</v>
      </c>
      <c r="D87" s="54">
        <f>Summary!E4</f>
        <v>1</v>
      </c>
      <c r="E87" s="1"/>
      <c r="F87" s="1"/>
      <c r="G87" s="2302" t="s">
        <v>1193</v>
      </c>
      <c r="H87" s="2286"/>
      <c r="I87" s="2287"/>
      <c r="J87" s="1563"/>
      <c r="K87" s="1564">
        <f>K86*7%</f>
        <v>247066.10104509498</v>
      </c>
      <c r="L87" s="75"/>
      <c r="M87" s="75"/>
      <c r="N87" s="75"/>
      <c r="O87" s="75"/>
      <c r="P87" s="75"/>
      <c r="Q87" s="75"/>
      <c r="R87" s="75"/>
      <c r="S87" s="75"/>
      <c r="T87" s="75"/>
      <c r="U87" s="1223"/>
      <c r="V87" s="1"/>
      <c r="W87" s="1"/>
      <c r="X87" s="1"/>
      <c r="Y87" s="1"/>
      <c r="Z87" s="1"/>
    </row>
    <row r="88" spans="1:26" ht="15.75" customHeight="1">
      <c r="A88" s="1"/>
      <c r="B88" s="1"/>
      <c r="C88" s="53" t="s">
        <v>82</v>
      </c>
      <c r="D88" s="54">
        <f>Summary!E5</f>
        <v>28</v>
      </c>
      <c r="E88" s="1"/>
      <c r="F88" s="1"/>
      <c r="G88" s="376"/>
      <c r="H88" s="75"/>
      <c r="I88" s="75"/>
      <c r="J88" s="75"/>
      <c r="K88" s="49"/>
      <c r="L88" s="75"/>
      <c r="M88" s="924"/>
      <c r="N88" s="75"/>
      <c r="O88" s="49"/>
      <c r="P88" s="75"/>
      <c r="Q88" s="260" t="s">
        <v>1194</v>
      </c>
      <c r="R88" s="260"/>
      <c r="S88" s="260"/>
      <c r="T88" s="260"/>
      <c r="U88" s="1565">
        <f>U86*(12/44)</f>
        <v>140772.82802510512</v>
      </c>
      <c r="V88" s="1"/>
      <c r="W88" s="1"/>
      <c r="X88" s="1"/>
      <c r="Y88" s="1"/>
      <c r="Z88" s="1"/>
    </row>
    <row r="89" spans="1:26" ht="15.75" customHeight="1">
      <c r="A89" s="1"/>
      <c r="B89" s="1"/>
      <c r="C89" s="53" t="s">
        <v>83</v>
      </c>
      <c r="D89" s="54">
        <f>Summary!E6</f>
        <v>265</v>
      </c>
      <c r="E89" s="1"/>
      <c r="F89" s="1"/>
      <c r="G89" s="376"/>
      <c r="H89" s="75"/>
      <c r="I89" s="75"/>
      <c r="J89" s="75"/>
      <c r="K89" s="75"/>
      <c r="L89" s="75"/>
      <c r="M89" s="75"/>
      <c r="N89" s="75"/>
      <c r="O89" s="75"/>
      <c r="P89" s="75"/>
      <c r="Q89" s="75"/>
      <c r="R89" s="75"/>
      <c r="S89" s="75"/>
      <c r="T89" s="75"/>
      <c r="U89" s="1223"/>
      <c r="V89" s="1"/>
      <c r="W89" s="1"/>
      <c r="X89" s="1"/>
      <c r="Y89" s="1"/>
      <c r="Z89" s="1"/>
    </row>
    <row r="90" spans="1:26" ht="15.75" customHeight="1">
      <c r="A90" s="1"/>
      <c r="B90" s="1"/>
      <c r="C90" s="53" t="s">
        <v>85</v>
      </c>
      <c r="D90" s="54">
        <f>Summary!E7</f>
        <v>23500</v>
      </c>
      <c r="E90" s="1"/>
      <c r="F90" s="1"/>
      <c r="G90" s="2303" t="s">
        <v>1195</v>
      </c>
      <c r="H90" s="2286"/>
      <c r="I90" s="2287"/>
      <c r="J90" s="1566"/>
      <c r="K90" s="1567">
        <f>(K86+K87)</f>
        <v>3776581.8302607373</v>
      </c>
      <c r="L90" s="75"/>
      <c r="M90" s="2296" t="s">
        <v>1196</v>
      </c>
      <c r="N90" s="2287"/>
      <c r="O90" s="1568">
        <f>O86+U86</f>
        <v>1611945.4250939991</v>
      </c>
      <c r="P90" s="75"/>
      <c r="Q90" s="1569" t="s">
        <v>1197</v>
      </c>
      <c r="R90" s="1569"/>
      <c r="S90" s="1569"/>
      <c r="T90" s="75"/>
      <c r="U90" s="1515">
        <f>T80</f>
        <v>7435.5126395381767</v>
      </c>
      <c r="V90" s="1"/>
      <c r="W90" s="1"/>
      <c r="X90" s="1"/>
      <c r="Y90" s="1"/>
      <c r="Z90" s="1"/>
    </row>
    <row r="91" spans="1:26" ht="15.75" customHeight="1">
      <c r="A91" s="1"/>
      <c r="B91" s="1"/>
      <c r="C91" s="53"/>
      <c r="D91" s="54"/>
      <c r="E91" s="1"/>
      <c r="F91" s="1"/>
      <c r="G91" s="376"/>
      <c r="H91" s="75"/>
      <c r="I91" s="75"/>
      <c r="J91" s="75"/>
      <c r="K91" s="75"/>
      <c r="L91" s="75"/>
      <c r="M91" s="75"/>
      <c r="N91" s="75"/>
      <c r="O91" s="75"/>
      <c r="P91" s="75"/>
      <c r="Q91" s="75" t="s">
        <v>1198</v>
      </c>
      <c r="R91" s="75"/>
      <c r="S91" s="75"/>
      <c r="T91" s="75"/>
      <c r="U91" s="1515">
        <f>$D$88</f>
        <v>28</v>
      </c>
      <c r="V91" s="1"/>
      <c r="W91" s="1"/>
      <c r="X91" s="1"/>
      <c r="Y91" s="1"/>
      <c r="Z91" s="1"/>
    </row>
    <row r="92" spans="1:26" ht="15.75" customHeight="1">
      <c r="A92" s="1"/>
      <c r="B92" s="1"/>
      <c r="C92" s="1"/>
      <c r="D92" s="1"/>
      <c r="E92" s="1"/>
      <c r="F92" s="1"/>
      <c r="G92" s="2303" t="s">
        <v>1199</v>
      </c>
      <c r="H92" s="2286"/>
      <c r="I92" s="2287"/>
      <c r="J92" s="1566"/>
      <c r="K92" s="1567">
        <f>K90*(12/44)</f>
        <v>1029976.8627983829</v>
      </c>
      <c r="L92" s="75"/>
      <c r="M92" s="2296" t="s">
        <v>1200</v>
      </c>
      <c r="N92" s="2287"/>
      <c r="O92" s="1568">
        <f>O90*(12/44)</f>
        <v>439621.47957109066</v>
      </c>
      <c r="P92" s="75"/>
      <c r="Q92" s="1570" t="s">
        <v>1201</v>
      </c>
      <c r="R92" s="1570"/>
      <c r="S92" s="1570"/>
      <c r="T92" s="260"/>
      <c r="U92" s="1565">
        <f>(U90*U91)*0.907184</f>
        <v>188870.58675483044</v>
      </c>
      <c r="V92" s="1"/>
      <c r="W92" s="1"/>
      <c r="X92" s="1"/>
      <c r="Y92" s="1"/>
      <c r="Z92" s="1"/>
    </row>
    <row r="93" spans="1:26" ht="15.75" customHeight="1">
      <c r="A93" s="1"/>
      <c r="B93" s="1"/>
      <c r="C93" s="1"/>
      <c r="D93" s="1"/>
      <c r="E93" s="1"/>
      <c r="F93" s="1"/>
      <c r="G93" s="376"/>
      <c r="H93" s="75"/>
      <c r="I93" s="75"/>
      <c r="J93" s="75"/>
      <c r="K93" s="75"/>
      <c r="L93" s="75"/>
      <c r="M93" s="75"/>
      <c r="N93" s="75"/>
      <c r="O93" s="75"/>
      <c r="P93" s="75"/>
      <c r="Q93" s="75"/>
      <c r="R93" s="75"/>
      <c r="S93" s="75"/>
      <c r="T93" s="75"/>
      <c r="U93" s="1223"/>
      <c r="V93" s="1"/>
      <c r="W93" s="1"/>
      <c r="X93" s="1"/>
      <c r="Y93" s="1"/>
      <c r="Z93" s="1"/>
    </row>
    <row r="94" spans="1:26" ht="15.75" customHeight="1">
      <c r="A94" s="1"/>
      <c r="B94" s="1"/>
      <c r="C94" s="1"/>
      <c r="D94" s="1"/>
      <c r="E94" s="1"/>
      <c r="F94" s="1"/>
      <c r="G94" s="376"/>
      <c r="H94" s="75"/>
      <c r="I94" s="75"/>
      <c r="J94" s="75"/>
      <c r="K94" s="75"/>
      <c r="L94" s="75"/>
      <c r="M94" s="75"/>
      <c r="N94" s="75"/>
      <c r="O94" s="75"/>
      <c r="P94" s="75"/>
      <c r="Q94" s="260" t="s">
        <v>1202</v>
      </c>
      <c r="R94" s="260"/>
      <c r="S94" s="260"/>
      <c r="T94" s="260"/>
      <c r="U94" s="1565">
        <f>U92*(12/44)</f>
        <v>51510.160024044664</v>
      </c>
      <c r="V94" s="1"/>
      <c r="W94" s="1"/>
      <c r="X94" s="1"/>
      <c r="Y94" s="1"/>
      <c r="Z94" s="1"/>
    </row>
    <row r="95" spans="1:26" ht="15.75" customHeight="1">
      <c r="A95" s="1"/>
      <c r="B95" s="1"/>
      <c r="C95" s="1"/>
      <c r="D95" s="1"/>
      <c r="E95" s="1"/>
      <c r="F95" s="1"/>
      <c r="G95" s="376"/>
      <c r="H95" s="75"/>
      <c r="I95" s="75"/>
      <c r="J95" s="75"/>
      <c r="K95" s="75"/>
      <c r="L95" s="75"/>
      <c r="M95" s="75"/>
      <c r="N95" s="75"/>
      <c r="O95" s="75"/>
      <c r="P95" s="75"/>
      <c r="Q95" s="75"/>
      <c r="R95" s="75"/>
      <c r="S95" s="75"/>
      <c r="T95" s="75"/>
      <c r="U95" s="1223"/>
      <c r="V95" s="1"/>
      <c r="W95" s="1"/>
      <c r="X95" s="1"/>
      <c r="Y95" s="1"/>
      <c r="Z95" s="1"/>
    </row>
    <row r="96" spans="1:26" ht="15.75" customHeight="1">
      <c r="A96" s="1"/>
      <c r="B96" s="1"/>
      <c r="C96" s="1"/>
      <c r="D96" s="1"/>
      <c r="E96" s="1"/>
      <c r="F96" s="1"/>
      <c r="G96" s="376"/>
      <c r="H96" s="75"/>
      <c r="I96" s="75"/>
      <c r="J96" s="75"/>
      <c r="K96" s="75"/>
      <c r="L96" s="75"/>
      <c r="M96" s="75"/>
      <c r="N96" s="75"/>
      <c r="O96" s="75"/>
      <c r="P96" s="75"/>
      <c r="Q96" s="1571" t="s">
        <v>1203</v>
      </c>
      <c r="R96" s="1571"/>
      <c r="S96" s="1571"/>
      <c r="T96" s="1571"/>
      <c r="U96" s="1572">
        <f>U92*7%</f>
        <v>13220.941072838132</v>
      </c>
      <c r="V96" s="1"/>
      <c r="W96" s="1"/>
      <c r="X96" s="1"/>
      <c r="Y96" s="1"/>
      <c r="Z96" s="1"/>
    </row>
    <row r="97" spans="1:26" ht="15.75" customHeight="1">
      <c r="A97" s="1"/>
      <c r="B97" s="1"/>
      <c r="C97" s="1"/>
      <c r="D97" s="1"/>
      <c r="E97" s="1"/>
      <c r="F97" s="1"/>
      <c r="G97" s="376"/>
      <c r="H97" s="75"/>
      <c r="I97" s="75"/>
      <c r="J97" s="75"/>
      <c r="K97" s="75"/>
      <c r="L97" s="75"/>
      <c r="M97" s="75"/>
      <c r="N97" s="75"/>
      <c r="O97" s="75"/>
      <c r="P97" s="75"/>
      <c r="Q97" s="75"/>
      <c r="R97" s="75"/>
      <c r="S97" s="75"/>
      <c r="T97" s="75"/>
      <c r="U97" s="1223"/>
      <c r="V97" s="1"/>
      <c r="W97" s="1"/>
      <c r="X97" s="1"/>
      <c r="Y97" s="1"/>
      <c r="Z97" s="1"/>
    </row>
    <row r="98" spans="1:26" ht="15.75" customHeight="1">
      <c r="A98" s="1"/>
      <c r="B98" s="1"/>
      <c r="C98" s="1"/>
      <c r="D98" s="1"/>
      <c r="E98" s="1"/>
      <c r="F98" s="1"/>
      <c r="G98" s="376"/>
      <c r="H98" s="75"/>
      <c r="I98" s="75"/>
      <c r="J98" s="75"/>
      <c r="K98" s="75"/>
      <c r="L98" s="75"/>
      <c r="M98" s="75"/>
      <c r="N98" s="75"/>
      <c r="O98" s="75"/>
      <c r="P98" s="75"/>
      <c r="Q98" s="1571" t="s">
        <v>1204</v>
      </c>
      <c r="R98" s="1571"/>
      <c r="S98" s="1571"/>
      <c r="T98" s="1571"/>
      <c r="U98" s="1572">
        <f>U96*(12/44)</f>
        <v>3605.7112016831265</v>
      </c>
      <c r="V98" s="1"/>
      <c r="W98" s="1"/>
      <c r="X98" s="1"/>
      <c r="Y98" s="1"/>
      <c r="Z98" s="1"/>
    </row>
    <row r="99" spans="1:26" ht="15.75" customHeight="1">
      <c r="A99" s="1"/>
      <c r="B99" s="1"/>
      <c r="C99" s="1"/>
      <c r="D99" s="1"/>
      <c r="E99" s="1"/>
      <c r="F99" s="1"/>
      <c r="G99" s="376"/>
      <c r="H99" s="75"/>
      <c r="I99" s="75"/>
      <c r="J99" s="75"/>
      <c r="K99" s="75"/>
      <c r="L99" s="75"/>
      <c r="M99" s="75"/>
      <c r="N99" s="75"/>
      <c r="O99" s="75"/>
      <c r="P99" s="75"/>
      <c r="Q99" s="75"/>
      <c r="R99" s="75"/>
      <c r="S99" s="75"/>
      <c r="T99" s="75"/>
      <c r="U99" s="1223"/>
      <c r="V99" s="1"/>
      <c r="W99" s="1"/>
      <c r="X99" s="1"/>
      <c r="Y99" s="1"/>
      <c r="Z99" s="1"/>
    </row>
    <row r="100" spans="1:26" ht="15.75" customHeight="1">
      <c r="A100" s="1"/>
      <c r="B100" s="1"/>
      <c r="C100" s="1"/>
      <c r="D100" s="1"/>
      <c r="E100" s="1"/>
      <c r="F100" s="1"/>
      <c r="G100" s="376"/>
      <c r="H100" s="75"/>
      <c r="I100" s="75"/>
      <c r="J100" s="75"/>
      <c r="K100" s="75"/>
      <c r="L100" s="75"/>
      <c r="M100" s="75"/>
      <c r="N100" s="75"/>
      <c r="O100" s="75"/>
      <c r="P100" s="75"/>
      <c r="Q100" s="1573" t="s">
        <v>1205</v>
      </c>
      <c r="R100" s="1574"/>
      <c r="S100" s="1574"/>
      <c r="T100" s="1574"/>
      <c r="U100" s="1575">
        <f>K90-O90-U92-U96</f>
        <v>1962544.8773390695</v>
      </c>
      <c r="V100" s="1"/>
      <c r="W100" s="1"/>
      <c r="X100" s="1"/>
      <c r="Y100" s="1"/>
      <c r="Z100" s="1"/>
    </row>
    <row r="101" spans="1:26" ht="15.75" customHeight="1">
      <c r="A101" s="1"/>
      <c r="B101" s="1"/>
      <c r="C101" s="1"/>
      <c r="D101" s="1"/>
      <c r="E101" s="1"/>
      <c r="F101" s="1"/>
      <c r="G101" s="376"/>
      <c r="H101" s="75"/>
      <c r="I101" s="75"/>
      <c r="J101" s="75"/>
      <c r="K101" s="75"/>
      <c r="L101" s="75"/>
      <c r="M101" s="75"/>
      <c r="N101" s="75"/>
      <c r="O101" s="75"/>
      <c r="P101" s="75"/>
      <c r="Q101" s="75"/>
      <c r="R101" s="75"/>
      <c r="S101" s="75"/>
      <c r="T101" s="75"/>
      <c r="U101" s="1223"/>
      <c r="V101" s="1"/>
      <c r="W101" s="1"/>
      <c r="X101" s="1"/>
      <c r="Y101" s="1"/>
      <c r="Z101" s="1"/>
    </row>
    <row r="102" spans="1:26" ht="15.75" customHeight="1">
      <c r="A102" s="1"/>
      <c r="B102" s="1"/>
      <c r="C102" s="1"/>
      <c r="D102" s="1"/>
      <c r="E102" s="1"/>
      <c r="F102" s="1"/>
      <c r="G102" s="376"/>
      <c r="H102" s="75"/>
      <c r="I102" s="75"/>
      <c r="J102" s="75"/>
      <c r="K102" s="75"/>
      <c r="L102" s="75"/>
      <c r="M102" s="75"/>
      <c r="N102" s="75"/>
      <c r="O102" s="75"/>
      <c r="P102" s="75"/>
      <c r="Q102" s="1576" t="s">
        <v>1206</v>
      </c>
      <c r="R102" s="1577"/>
      <c r="S102" s="1577"/>
      <c r="T102" s="1577"/>
      <c r="U102" s="1578">
        <f>P80*0.907184</f>
        <v>158316.06853601782</v>
      </c>
      <c r="V102" s="1"/>
      <c r="W102" s="1"/>
      <c r="X102" s="1"/>
      <c r="Y102" s="1"/>
      <c r="Z102" s="1"/>
    </row>
    <row r="103" spans="1:26" ht="15.75" customHeight="1">
      <c r="A103" s="1"/>
      <c r="B103" s="1"/>
      <c r="C103" s="1"/>
      <c r="D103" s="1"/>
      <c r="E103" s="1"/>
      <c r="F103" s="1"/>
      <c r="G103" s="376"/>
      <c r="H103" s="75"/>
      <c r="I103" s="75"/>
      <c r="J103" s="75"/>
      <c r="K103" s="75"/>
      <c r="L103" s="75"/>
      <c r="M103" s="75"/>
      <c r="N103" s="75"/>
      <c r="O103" s="75"/>
      <c r="P103" s="75"/>
      <c r="Q103" s="1576"/>
      <c r="R103" s="1577"/>
      <c r="S103" s="1577"/>
      <c r="T103" s="1577"/>
      <c r="U103" s="1578"/>
      <c r="V103" s="1"/>
      <c r="W103" s="1"/>
      <c r="X103" s="1"/>
      <c r="Y103" s="1"/>
      <c r="Z103" s="1"/>
    </row>
    <row r="104" spans="1:26" ht="15.75" customHeight="1">
      <c r="A104" s="1"/>
      <c r="B104" s="1"/>
      <c r="C104" s="1"/>
      <c r="D104" s="1"/>
      <c r="E104" s="1"/>
      <c r="F104" s="1"/>
      <c r="G104" s="376"/>
      <c r="H104" s="75"/>
      <c r="I104" s="75"/>
      <c r="J104" s="75"/>
      <c r="K104" s="75"/>
      <c r="L104" s="75"/>
      <c r="M104" s="75"/>
      <c r="N104" s="75"/>
      <c r="O104" s="75"/>
      <c r="P104" s="75"/>
      <c r="Q104" s="260" t="s">
        <v>1207</v>
      </c>
      <c r="R104" s="75"/>
      <c r="S104" s="75"/>
      <c r="T104" s="75"/>
      <c r="U104" s="1264">
        <f>U102/1000000</f>
        <v>0.15831606853601782</v>
      </c>
      <c r="V104" s="1"/>
      <c r="W104" s="1"/>
      <c r="X104" s="1"/>
      <c r="Y104" s="1"/>
      <c r="Z104" s="1"/>
    </row>
    <row r="105" spans="1:26" ht="15.75" customHeight="1">
      <c r="A105" s="1"/>
      <c r="B105" s="1"/>
      <c r="C105" s="1"/>
      <c r="D105" s="1"/>
      <c r="E105" s="1"/>
      <c r="F105" s="1"/>
      <c r="G105" s="376"/>
      <c r="H105" s="75"/>
      <c r="I105" s="75"/>
      <c r="J105" s="75"/>
      <c r="K105" s="75"/>
      <c r="L105" s="75"/>
      <c r="M105" s="75"/>
      <c r="N105" s="75"/>
      <c r="O105" s="75"/>
      <c r="P105" s="75"/>
      <c r="Q105" s="1576"/>
      <c r="R105" s="1577"/>
      <c r="S105" s="1577"/>
      <c r="T105" s="1577"/>
      <c r="U105" s="1578"/>
      <c r="V105" s="1"/>
      <c r="W105" s="1"/>
      <c r="X105" s="1"/>
      <c r="Y105" s="1"/>
      <c r="Z105" s="1"/>
    </row>
    <row r="106" spans="1:26" ht="18" customHeight="1">
      <c r="A106" s="1"/>
      <c r="B106" s="1"/>
      <c r="C106" s="1"/>
      <c r="D106" s="1"/>
      <c r="E106" s="1"/>
      <c r="F106" s="1"/>
      <c r="G106" s="376"/>
      <c r="H106" s="75"/>
      <c r="I106" s="75"/>
      <c r="J106" s="75"/>
      <c r="K106" s="75"/>
      <c r="L106" s="75"/>
      <c r="M106" s="75"/>
      <c r="N106" s="75"/>
      <c r="O106" s="75"/>
      <c r="P106" s="75"/>
      <c r="Q106" s="1576" t="s">
        <v>1208</v>
      </c>
      <c r="R106" s="1577"/>
      <c r="S106" s="1577"/>
      <c r="T106" s="1577"/>
      <c r="U106" s="1578">
        <f>J80*0.907184</f>
        <v>336903.83512852195</v>
      </c>
      <c r="V106" s="1"/>
      <c r="W106" s="1"/>
      <c r="X106" s="1"/>
      <c r="Y106" s="1"/>
      <c r="Z106" s="1"/>
    </row>
    <row r="107" spans="1:26" ht="15.75" customHeight="1">
      <c r="A107" s="1"/>
      <c r="B107" s="1"/>
      <c r="C107" s="1"/>
      <c r="D107" s="1"/>
      <c r="E107" s="1"/>
      <c r="F107" s="1"/>
      <c r="G107" s="376"/>
      <c r="H107" s="75"/>
      <c r="I107" s="75"/>
      <c r="J107" s="75"/>
      <c r="K107" s="75"/>
      <c r="L107" s="75"/>
      <c r="M107" s="75"/>
      <c r="N107" s="75"/>
      <c r="O107" s="75"/>
      <c r="P107" s="75"/>
      <c r="Q107" s="1576"/>
      <c r="R107" s="1577"/>
      <c r="S107" s="1577"/>
      <c r="T107" s="1577"/>
      <c r="U107" s="1578"/>
      <c r="V107" s="1"/>
      <c r="W107" s="1"/>
      <c r="X107" s="1"/>
      <c r="Y107" s="1"/>
      <c r="Z107" s="1"/>
    </row>
    <row r="108" spans="1:26" ht="18" customHeight="1">
      <c r="A108" s="1"/>
      <c r="B108" s="1"/>
      <c r="C108" s="1"/>
      <c r="D108" s="1"/>
      <c r="E108" s="1"/>
      <c r="F108" s="1"/>
      <c r="G108" s="376"/>
      <c r="H108" s="75"/>
      <c r="I108" s="75"/>
      <c r="J108" s="75"/>
      <c r="K108" s="75"/>
      <c r="L108" s="75"/>
      <c r="M108" s="75"/>
      <c r="N108" s="75"/>
      <c r="O108" s="75"/>
      <c r="P108" s="75"/>
      <c r="Q108" s="260" t="s">
        <v>1209</v>
      </c>
      <c r="R108" s="75"/>
      <c r="S108" s="75"/>
      <c r="T108" s="75"/>
      <c r="U108" s="1264">
        <f>U106/1000000</f>
        <v>0.33690383512852196</v>
      </c>
      <c r="V108" s="1"/>
      <c r="W108" s="1"/>
      <c r="X108" s="1"/>
      <c r="Y108" s="1"/>
      <c r="Z108" s="1"/>
    </row>
    <row r="109" spans="1:26" ht="15.75" customHeight="1">
      <c r="A109" s="1"/>
      <c r="B109" s="1"/>
      <c r="C109" s="1"/>
      <c r="D109" s="1"/>
      <c r="E109" s="1"/>
      <c r="F109" s="1"/>
      <c r="G109" s="376"/>
      <c r="H109" s="75"/>
      <c r="I109" s="75"/>
      <c r="J109" s="75"/>
      <c r="K109" s="75"/>
      <c r="L109" s="75"/>
      <c r="M109" s="75"/>
      <c r="N109" s="75"/>
      <c r="O109" s="75"/>
      <c r="P109" s="75"/>
      <c r="Q109" s="1576"/>
      <c r="R109" s="1577"/>
      <c r="S109" s="1577"/>
      <c r="T109" s="1577"/>
      <c r="U109" s="1578"/>
      <c r="V109" s="1"/>
      <c r="W109" s="1"/>
      <c r="X109" s="1"/>
      <c r="Y109" s="1"/>
      <c r="Z109" s="1"/>
    </row>
    <row r="110" spans="1:26" ht="15.75" customHeight="1">
      <c r="A110" s="1"/>
      <c r="B110" s="1"/>
      <c r="C110" s="1"/>
      <c r="D110" s="1"/>
      <c r="E110" s="1"/>
      <c r="F110" s="1"/>
      <c r="G110" s="376"/>
      <c r="H110" s="75"/>
      <c r="I110" s="75"/>
      <c r="J110" s="75"/>
      <c r="K110" s="75"/>
      <c r="L110" s="75"/>
      <c r="M110" s="75"/>
      <c r="N110" s="75"/>
      <c r="O110" s="75"/>
      <c r="P110" s="75"/>
      <c r="Q110" s="75"/>
      <c r="R110" s="75"/>
      <c r="S110" s="75"/>
      <c r="T110" s="75"/>
      <c r="U110" s="1223"/>
      <c r="V110" s="1"/>
      <c r="W110" s="1"/>
      <c r="X110" s="1"/>
      <c r="Y110" s="1"/>
      <c r="Z110" s="1"/>
    </row>
    <row r="111" spans="1:26" ht="15.75" customHeight="1">
      <c r="A111" s="1"/>
      <c r="B111" s="1"/>
      <c r="C111" s="1"/>
      <c r="D111" s="1"/>
      <c r="E111" s="1"/>
      <c r="F111" s="1"/>
      <c r="G111" s="376"/>
      <c r="H111" s="75"/>
      <c r="I111" s="75"/>
      <c r="J111" s="75"/>
      <c r="K111" s="75"/>
      <c r="L111" s="75"/>
      <c r="M111" s="75"/>
      <c r="N111" s="75"/>
      <c r="O111" s="75"/>
      <c r="P111" s="75"/>
      <c r="Q111" s="260" t="s">
        <v>1210</v>
      </c>
      <c r="R111" s="75"/>
      <c r="S111" s="75"/>
      <c r="T111" s="75"/>
      <c r="U111" s="1264">
        <f>U100/1000000</f>
        <v>1.9625448773390695</v>
      </c>
      <c r="V111" s="1"/>
      <c r="W111" s="1"/>
      <c r="X111" s="1"/>
      <c r="Y111" s="1"/>
      <c r="Z111" s="1"/>
    </row>
    <row r="112" spans="1:26" ht="15.75" customHeight="1">
      <c r="A112" s="1"/>
      <c r="B112" s="1"/>
      <c r="C112" s="1"/>
      <c r="D112" s="1"/>
      <c r="E112" s="1"/>
      <c r="F112" s="1"/>
      <c r="G112" s="1258"/>
      <c r="H112" s="1259"/>
      <c r="I112" s="1259"/>
      <c r="J112" s="1259"/>
      <c r="K112" s="1259"/>
      <c r="L112" s="1259"/>
      <c r="M112" s="1259"/>
      <c r="N112" s="1259"/>
      <c r="O112" s="1259"/>
      <c r="P112" s="1259"/>
      <c r="Q112" s="1259"/>
      <c r="R112" s="1259"/>
      <c r="S112" s="1259"/>
      <c r="T112" s="1259"/>
      <c r="U112" s="1265"/>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M90:N90"/>
    <mergeCell ref="M92:N92"/>
    <mergeCell ref="Q84:S84"/>
    <mergeCell ref="C85:D85"/>
    <mergeCell ref="G86:I86"/>
    <mergeCell ref="M86:N86"/>
    <mergeCell ref="G87:I87"/>
    <mergeCell ref="G90:I90"/>
    <mergeCell ref="G92:I92"/>
  </mergeCells>
  <pageMargins left="0.7" right="0.7" top="0.75" bottom="0.75" header="0" footer="0"/>
  <pageSetup orientation="landscape"/>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1000"/>
  <sheetViews>
    <sheetView workbookViewId="0"/>
  </sheetViews>
  <sheetFormatPr defaultColWidth="16.85546875" defaultRowHeight="15" customHeight="1"/>
  <cols>
    <col min="1" max="1" width="3.85546875" customWidth="1"/>
    <col min="2" max="2" width="23" customWidth="1"/>
    <col min="3" max="3" width="12.42578125" customWidth="1"/>
    <col min="4" max="4" width="10.7109375" customWidth="1"/>
    <col min="5" max="5" width="11.85546875" customWidth="1"/>
    <col min="6" max="6" width="9.28515625" customWidth="1"/>
    <col min="7" max="7" width="16.42578125" customWidth="1"/>
    <col min="8" max="8" width="9.28515625" customWidth="1"/>
    <col min="9" max="9" width="13.28515625" customWidth="1"/>
    <col min="10" max="10" width="9.28515625" customWidth="1"/>
    <col min="11" max="11" width="11.140625" customWidth="1"/>
    <col min="12" max="12" width="9.28515625" customWidth="1"/>
    <col min="13" max="13" width="12.28515625" customWidth="1"/>
    <col min="14" max="14" width="9.28515625" customWidth="1"/>
    <col min="15" max="15" width="15.7109375" customWidth="1"/>
    <col min="16" max="18" width="9.28515625" customWidth="1"/>
    <col min="19" max="19" width="14" customWidth="1"/>
    <col min="20" max="20" width="9.28515625" customWidth="1"/>
    <col min="21" max="21" width="12.42578125" customWidth="1"/>
    <col min="22" max="24" width="9.28515625" customWidth="1"/>
    <col min="25" max="25" width="11.28515625" customWidth="1"/>
    <col min="26" max="26" width="9.28515625" customWidth="1"/>
    <col min="27" max="27" width="10.7109375" customWidth="1"/>
    <col min="28" max="28" width="9.28515625" customWidth="1"/>
    <col min="29" max="29" width="11.28515625" customWidth="1"/>
    <col min="30" max="32" width="9.28515625" customWidth="1"/>
    <col min="33" max="33" width="10.28515625" customWidth="1"/>
    <col min="34" max="34" width="9.28515625" customWidth="1"/>
    <col min="35" max="35" width="10.140625" customWidth="1"/>
    <col min="36" max="36" width="9.28515625" customWidth="1"/>
    <col min="37" max="37" width="10.7109375" customWidth="1"/>
    <col min="38" max="38" width="9.28515625" customWidth="1"/>
    <col min="39" max="39" width="12" customWidth="1"/>
  </cols>
  <sheetData>
    <row r="1" spans="1:39" ht="14.4">
      <c r="A1" s="1"/>
      <c r="B1" s="1682" t="s">
        <v>1411</v>
      </c>
      <c r="C1" s="1706"/>
      <c r="D1" s="1"/>
      <c r="E1" s="1"/>
      <c r="F1" s="1"/>
      <c r="G1" s="42"/>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ht="293.2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ht="14.4">
      <c r="A3" s="1"/>
      <c r="B3" s="2304" t="s">
        <v>1412</v>
      </c>
      <c r="C3" s="2305"/>
      <c r="D3" s="2305"/>
      <c r="E3" s="2305"/>
      <c r="F3" s="2305"/>
      <c r="G3" s="2305"/>
      <c r="H3" s="2305"/>
      <c r="I3" s="2306"/>
      <c r="J3" s="1048"/>
      <c r="K3" s="1048"/>
      <c r="L3" s="1048"/>
      <c r="M3" s="1048"/>
      <c r="N3" s="1048"/>
      <c r="O3" s="1048"/>
      <c r="P3" s="1048"/>
      <c r="Q3" s="1048"/>
      <c r="R3" s="1048"/>
      <c r="S3" s="1048"/>
      <c r="T3" s="1048"/>
      <c r="U3" s="1048"/>
      <c r="V3" s="1048"/>
      <c r="W3" s="1048"/>
      <c r="X3" s="1048"/>
      <c r="Y3" s="1049"/>
      <c r="Z3" s="1"/>
      <c r="AA3" s="1"/>
      <c r="AB3" s="1"/>
      <c r="AC3" s="2237" t="s">
        <v>1</v>
      </c>
      <c r="AD3" s="2238"/>
      <c r="AE3" s="1"/>
      <c r="AF3" s="1"/>
      <c r="AG3" s="1"/>
      <c r="AH3" s="1"/>
      <c r="AI3" s="1"/>
      <c r="AJ3" s="1"/>
      <c r="AK3" s="1"/>
      <c r="AL3" s="1"/>
      <c r="AM3" s="1"/>
    </row>
    <row r="4" spans="1:39" ht="70.5" customHeight="1">
      <c r="A4" s="1"/>
      <c r="B4" s="1707" t="s">
        <v>92</v>
      </c>
      <c r="C4" s="47" t="s">
        <v>109</v>
      </c>
      <c r="D4" s="47"/>
      <c r="E4" s="47" t="s">
        <v>1413</v>
      </c>
      <c r="F4" s="1620"/>
      <c r="G4" s="47" t="s">
        <v>1414</v>
      </c>
      <c r="H4" s="1620"/>
      <c r="I4" s="47" t="s">
        <v>1415</v>
      </c>
      <c r="J4" s="1620"/>
      <c r="K4" s="47" t="s">
        <v>1416</v>
      </c>
      <c r="L4" s="1620"/>
      <c r="M4" s="47" t="s">
        <v>1417</v>
      </c>
      <c r="N4" s="1620"/>
      <c r="O4" s="47" t="s">
        <v>1418</v>
      </c>
      <c r="P4" s="1620"/>
      <c r="Q4" s="47" t="s">
        <v>1419</v>
      </c>
      <c r="R4" s="1620"/>
      <c r="S4" s="47" t="s">
        <v>1420</v>
      </c>
      <c r="T4" s="47"/>
      <c r="U4" s="47" t="s">
        <v>1421</v>
      </c>
      <c r="V4" s="1620"/>
      <c r="W4" s="47" t="s">
        <v>1422</v>
      </c>
      <c r="X4" s="1"/>
      <c r="Y4" s="1708" t="s">
        <v>1423</v>
      </c>
      <c r="Z4" s="1"/>
      <c r="AA4" s="1"/>
      <c r="AB4" s="1"/>
      <c r="AC4" s="52"/>
      <c r="AD4" s="52"/>
      <c r="AE4" s="1"/>
      <c r="AF4" s="1"/>
      <c r="AG4" s="1"/>
      <c r="AH4" s="1"/>
      <c r="AI4" s="1"/>
      <c r="AJ4" s="1"/>
      <c r="AK4" s="1"/>
      <c r="AL4" s="1"/>
      <c r="AM4" s="1"/>
    </row>
    <row r="5" spans="1:39" ht="14.4">
      <c r="A5" s="41"/>
      <c r="B5" s="1709">
        <v>2011</v>
      </c>
      <c r="C5" s="683">
        <v>5828289</v>
      </c>
      <c r="D5" s="46" t="s">
        <v>77</v>
      </c>
      <c r="E5" s="1184">
        <v>0.09</v>
      </c>
      <c r="F5" s="46" t="s">
        <v>77</v>
      </c>
      <c r="G5" s="1710">
        <v>365</v>
      </c>
      <c r="H5" s="46" t="s">
        <v>77</v>
      </c>
      <c r="I5" s="1711">
        <v>1E-3</v>
      </c>
      <c r="J5" s="46" t="s">
        <v>77</v>
      </c>
      <c r="K5" s="1449">
        <v>0.6</v>
      </c>
      <c r="L5" s="46" t="s">
        <v>77</v>
      </c>
      <c r="M5" s="1712">
        <v>0.16250000000000001</v>
      </c>
      <c r="N5" s="46" t="s">
        <v>78</v>
      </c>
      <c r="O5" s="1449">
        <f>C5*$E$5*$G$5*$M$5*$K$5*$I$5</f>
        <v>18667.281130874999</v>
      </c>
      <c r="P5" s="46" t="s">
        <v>77</v>
      </c>
      <c r="Q5" s="683">
        <f>$AD$6</f>
        <v>28</v>
      </c>
      <c r="R5" s="46" t="s">
        <v>77</v>
      </c>
      <c r="S5" s="1713">
        <v>9.9999999999999995E-7</v>
      </c>
      <c r="T5" s="46" t="s">
        <v>77</v>
      </c>
      <c r="U5" s="1449">
        <f>12/44</f>
        <v>0.27272727272727271</v>
      </c>
      <c r="V5" s="46" t="s">
        <v>78</v>
      </c>
      <c r="W5" s="41">
        <f>O5*Q$5*S$5*U$5</f>
        <v>0.14255014681759087</v>
      </c>
      <c r="X5" s="46" t="s">
        <v>78</v>
      </c>
      <c r="Y5" s="1714">
        <f>W5*44/12</f>
        <v>0.52268387166449981</v>
      </c>
      <c r="Z5" s="41"/>
      <c r="AA5" s="41"/>
      <c r="AB5" s="41"/>
      <c r="AC5" s="53" t="s">
        <v>80</v>
      </c>
      <c r="AD5" s="54">
        <f>Summary!E4</f>
        <v>1</v>
      </c>
      <c r="AE5" s="41"/>
      <c r="AF5" s="41"/>
      <c r="AG5" s="41"/>
      <c r="AH5" s="41"/>
      <c r="AI5" s="41"/>
      <c r="AJ5" s="41"/>
      <c r="AK5" s="41"/>
      <c r="AL5" s="41"/>
      <c r="AM5" s="41"/>
    </row>
    <row r="6" spans="1:39" ht="14.4">
      <c r="A6" s="1"/>
      <c r="B6" s="1117"/>
      <c r="C6" s="663"/>
      <c r="D6" s="663"/>
      <c r="E6" s="663"/>
      <c r="F6" s="663"/>
      <c r="G6" s="663"/>
      <c r="H6" s="663"/>
      <c r="I6" s="663"/>
      <c r="J6" s="663"/>
      <c r="K6" s="663"/>
      <c r="L6" s="663"/>
      <c r="M6" s="663"/>
      <c r="N6" s="663"/>
      <c r="O6" s="663"/>
      <c r="P6" s="663"/>
      <c r="Q6" s="663"/>
      <c r="R6" s="663"/>
      <c r="S6" s="663"/>
      <c r="T6" s="663"/>
      <c r="U6" s="663"/>
      <c r="V6" s="663"/>
      <c r="W6" s="663"/>
      <c r="X6" s="663"/>
      <c r="Y6" s="1118"/>
      <c r="Z6" s="1"/>
      <c r="AA6" s="1"/>
      <c r="AB6" s="1"/>
      <c r="AC6" s="53" t="s">
        <v>82</v>
      </c>
      <c r="AD6" s="54">
        <f>Summary!E5</f>
        <v>28</v>
      </c>
      <c r="AE6" s="1"/>
      <c r="AF6" s="1"/>
      <c r="AG6" s="1"/>
      <c r="AH6" s="1"/>
      <c r="AI6" s="1"/>
      <c r="AJ6" s="1"/>
      <c r="AK6" s="1"/>
      <c r="AL6" s="1"/>
      <c r="AM6" s="1"/>
    </row>
    <row r="7" spans="1:39" ht="14.4">
      <c r="A7" s="1"/>
      <c r="B7" s="1"/>
      <c r="C7" s="1"/>
      <c r="D7" s="1"/>
      <c r="E7" s="1"/>
      <c r="F7" s="1"/>
      <c r="G7" s="1"/>
      <c r="H7" s="1"/>
      <c r="I7" s="1"/>
      <c r="J7" s="1"/>
      <c r="K7" s="1"/>
      <c r="L7" s="1"/>
      <c r="M7" s="1"/>
      <c r="N7" s="1"/>
      <c r="O7" s="1"/>
      <c r="P7" s="1"/>
      <c r="Q7" s="1"/>
      <c r="R7" s="1"/>
      <c r="S7" s="1"/>
      <c r="T7" s="1"/>
      <c r="U7" s="1"/>
      <c r="V7" s="1"/>
      <c r="W7" s="1"/>
      <c r="X7" s="1"/>
      <c r="Y7" s="1"/>
      <c r="Z7" s="1"/>
      <c r="AA7" s="1"/>
      <c r="AB7" s="1"/>
      <c r="AC7" s="53" t="s">
        <v>83</v>
      </c>
      <c r="AD7" s="54">
        <f>Summary!E6</f>
        <v>265</v>
      </c>
      <c r="AE7" s="1"/>
      <c r="AF7" s="1"/>
      <c r="AG7" s="1"/>
      <c r="AH7" s="1"/>
      <c r="AI7" s="1"/>
      <c r="AJ7" s="1"/>
      <c r="AK7" s="1"/>
      <c r="AL7" s="1"/>
      <c r="AM7" s="1"/>
    </row>
    <row r="8" spans="1:39" ht="14.4">
      <c r="A8" s="1"/>
      <c r="B8" s="1715" t="s">
        <v>1424</v>
      </c>
      <c r="C8" s="1716"/>
      <c r="D8" s="1716"/>
      <c r="E8" s="1716"/>
      <c r="F8" s="1716"/>
      <c r="G8" s="1716"/>
      <c r="H8" s="1716"/>
      <c r="I8" s="1716"/>
      <c r="J8" s="1048"/>
      <c r="K8" s="1048"/>
      <c r="L8" s="1048"/>
      <c r="M8" s="1048"/>
      <c r="N8" s="1048"/>
      <c r="O8" s="1048"/>
      <c r="P8" s="1048"/>
      <c r="Q8" s="1048"/>
      <c r="R8" s="1048"/>
      <c r="S8" s="1048"/>
      <c r="T8" s="1048"/>
      <c r="U8" s="1048"/>
      <c r="V8" s="1048"/>
      <c r="W8" s="1048"/>
      <c r="X8" s="1048"/>
      <c r="Y8" s="1049"/>
      <c r="Z8" s="1"/>
      <c r="AA8" s="1"/>
      <c r="AB8" s="1"/>
      <c r="AC8" s="53" t="s">
        <v>85</v>
      </c>
      <c r="AD8" s="54">
        <f>Summary!E7</f>
        <v>23500</v>
      </c>
      <c r="AE8" s="1"/>
      <c r="AF8" s="1"/>
      <c r="AG8" s="1"/>
      <c r="AH8" s="1"/>
      <c r="AI8" s="1"/>
      <c r="AJ8" s="1"/>
      <c r="AK8" s="1"/>
      <c r="AL8" s="1"/>
      <c r="AM8" s="1"/>
    </row>
    <row r="9" spans="1:39" ht="75" customHeight="1">
      <c r="A9" s="1"/>
      <c r="B9" s="1707" t="s">
        <v>92</v>
      </c>
      <c r="C9" s="47" t="s">
        <v>109</v>
      </c>
      <c r="D9" s="1"/>
      <c r="E9" s="47" t="s">
        <v>1425</v>
      </c>
      <c r="F9" s="1620"/>
      <c r="G9" s="47" t="s">
        <v>1426</v>
      </c>
      <c r="H9" s="1620"/>
      <c r="I9" s="47" t="s">
        <v>1427</v>
      </c>
      <c r="J9" s="47"/>
      <c r="K9" s="47" t="s">
        <v>1428</v>
      </c>
      <c r="L9" s="1620"/>
      <c r="M9" s="47" t="s">
        <v>1429</v>
      </c>
      <c r="N9" s="1620"/>
      <c r="O9" s="47" t="s">
        <v>1430</v>
      </c>
      <c r="P9" s="47"/>
      <c r="Q9" s="47" t="s">
        <v>1431</v>
      </c>
      <c r="R9" s="1620"/>
      <c r="S9" s="47" t="s">
        <v>1422</v>
      </c>
      <c r="T9" s="1"/>
      <c r="U9" s="47" t="s">
        <v>1432</v>
      </c>
      <c r="V9" s="1"/>
      <c r="W9" s="1"/>
      <c r="X9" s="1"/>
      <c r="Y9" s="1052"/>
      <c r="Z9" s="1"/>
      <c r="AA9" s="1"/>
      <c r="AB9" s="1"/>
      <c r="AC9" s="53"/>
      <c r="AD9" s="54"/>
      <c r="AE9" s="1"/>
      <c r="AF9" s="1"/>
      <c r="AG9" s="1"/>
      <c r="AH9" s="1"/>
      <c r="AI9" s="1"/>
      <c r="AJ9" s="1"/>
      <c r="AK9" s="1"/>
      <c r="AL9" s="1"/>
      <c r="AM9" s="1"/>
    </row>
    <row r="10" spans="1:39" ht="14.4">
      <c r="A10" s="41"/>
      <c r="B10" s="1709">
        <v>2011</v>
      </c>
      <c r="C10" s="683">
        <v>5828289</v>
      </c>
      <c r="D10" s="46" t="s">
        <v>77</v>
      </c>
      <c r="E10" s="1717">
        <v>0.81169999999999998</v>
      </c>
      <c r="F10" s="46" t="s">
        <v>77</v>
      </c>
      <c r="G10" s="1718">
        <v>4</v>
      </c>
      <c r="H10" s="46" t="s">
        <v>77</v>
      </c>
      <c r="I10" s="1719">
        <v>9.9999999999999995E-7</v>
      </c>
      <c r="J10" s="46" t="s">
        <v>78</v>
      </c>
      <c r="K10" s="1720">
        <f>C10*E10*G10*I10</f>
        <v>18.923288725199999</v>
      </c>
      <c r="L10" s="46" t="s">
        <v>77</v>
      </c>
      <c r="M10" s="683">
        <f>$AD$7</f>
        <v>265</v>
      </c>
      <c r="N10" s="46" t="s">
        <v>77</v>
      </c>
      <c r="O10" s="1713">
        <f>1/1000000</f>
        <v>9.9999999999999995E-7</v>
      </c>
      <c r="P10" s="46" t="s">
        <v>77</v>
      </c>
      <c r="Q10" s="1449">
        <f>12/44</f>
        <v>0.27272727272727271</v>
      </c>
      <c r="R10" s="46" t="s">
        <v>78</v>
      </c>
      <c r="S10" s="1183">
        <f>K10*M10*O10*Q10</f>
        <v>1.3676376851394544E-3</v>
      </c>
      <c r="T10" s="46" t="s">
        <v>78</v>
      </c>
      <c r="U10" s="1183">
        <f>S10*44/12</f>
        <v>5.0146715121779997E-3</v>
      </c>
      <c r="V10" s="41"/>
      <c r="W10" s="41"/>
      <c r="X10" s="41"/>
      <c r="Y10" s="1721"/>
      <c r="Z10" s="41"/>
      <c r="AA10" s="41"/>
      <c r="AB10" s="41"/>
      <c r="AC10" s="41"/>
      <c r="AD10" s="41"/>
      <c r="AE10" s="41"/>
      <c r="AF10" s="41"/>
      <c r="AG10" s="41"/>
      <c r="AH10" s="41"/>
      <c r="AI10" s="41"/>
      <c r="AJ10" s="41"/>
      <c r="AK10" s="41"/>
      <c r="AL10" s="41"/>
      <c r="AM10" s="41"/>
    </row>
    <row r="11" spans="1:39" ht="14.4">
      <c r="A11" s="1"/>
      <c r="B11" s="1117"/>
      <c r="C11" s="663"/>
      <c r="D11" s="663"/>
      <c r="E11" s="663"/>
      <c r="F11" s="663"/>
      <c r="G11" s="663"/>
      <c r="H11" s="663"/>
      <c r="I11" s="663"/>
      <c r="J11" s="663"/>
      <c r="K11" s="663"/>
      <c r="L11" s="663"/>
      <c r="M11" s="663"/>
      <c r="N11" s="663"/>
      <c r="O11" s="663"/>
      <c r="P11" s="663"/>
      <c r="Q11" s="663"/>
      <c r="R11" s="663"/>
      <c r="S11" s="663"/>
      <c r="T11" s="663"/>
      <c r="U11" s="663"/>
      <c r="V11" s="663"/>
      <c r="W11" s="663"/>
      <c r="X11" s="663"/>
      <c r="Y11" s="1118"/>
      <c r="Z11" s="1"/>
      <c r="AA11" s="1"/>
      <c r="AB11" s="1"/>
      <c r="AC11" s="1"/>
      <c r="AD11" s="1"/>
      <c r="AE11" s="1"/>
      <c r="AF11" s="1"/>
      <c r="AG11" s="1"/>
      <c r="AH11" s="1"/>
      <c r="AI11" s="1"/>
      <c r="AJ11" s="1"/>
      <c r="AK11" s="1"/>
      <c r="AL11" s="1"/>
      <c r="AM11" s="1"/>
    </row>
    <row r="12" spans="1:39" ht="14.4">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ht="14.4">
      <c r="A13" s="1"/>
      <c r="B13" s="1715" t="s">
        <v>1433</v>
      </c>
      <c r="C13" s="1716"/>
      <c r="D13" s="1716"/>
      <c r="E13" s="1716"/>
      <c r="F13" s="1716"/>
      <c r="G13" s="1716"/>
      <c r="H13" s="1716"/>
      <c r="I13" s="1716"/>
      <c r="J13" s="1048"/>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48"/>
      <c r="AI13" s="1048"/>
      <c r="AJ13" s="1048"/>
      <c r="AK13" s="1048"/>
      <c r="AL13" s="1048"/>
      <c r="AM13" s="1049"/>
    </row>
    <row r="14" spans="1:39" ht="90" customHeight="1">
      <c r="A14" s="1"/>
      <c r="B14" s="1707" t="s">
        <v>92</v>
      </c>
      <c r="C14" s="47" t="s">
        <v>109</v>
      </c>
      <c r="D14" s="1"/>
      <c r="E14" s="47" t="s">
        <v>1434</v>
      </c>
      <c r="F14" s="1620"/>
      <c r="G14" s="47" t="s">
        <v>1435</v>
      </c>
      <c r="H14" s="1620"/>
      <c r="I14" s="47" t="s">
        <v>1436</v>
      </c>
      <c r="J14" s="1620"/>
      <c r="K14" s="47" t="s">
        <v>1415</v>
      </c>
      <c r="L14" s="47"/>
      <c r="M14" s="47" t="s">
        <v>1437</v>
      </c>
      <c r="N14" s="47"/>
      <c r="O14" s="47" t="s">
        <v>1438</v>
      </c>
      <c r="P14" s="1"/>
      <c r="Q14" s="47" t="s">
        <v>1439</v>
      </c>
      <c r="R14" s="47"/>
      <c r="S14" s="47" t="s">
        <v>1440</v>
      </c>
      <c r="T14" s="47"/>
      <c r="U14" s="47" t="s">
        <v>1441</v>
      </c>
      <c r="V14" s="1620"/>
      <c r="W14" s="47" t="s">
        <v>1442</v>
      </c>
      <c r="X14" s="1620"/>
      <c r="Y14" s="47" t="s">
        <v>1443</v>
      </c>
      <c r="Z14" s="1620"/>
      <c r="AA14" s="47" t="s">
        <v>1444</v>
      </c>
      <c r="AB14" s="1620"/>
      <c r="AC14" s="47" t="s">
        <v>1420</v>
      </c>
      <c r="AD14" s="47"/>
      <c r="AE14" s="47" t="s">
        <v>1445</v>
      </c>
      <c r="AF14" s="1620"/>
      <c r="AG14" s="47" t="s">
        <v>1446</v>
      </c>
      <c r="AH14" s="47"/>
      <c r="AI14" s="47" t="s">
        <v>1447</v>
      </c>
      <c r="AJ14" s="47"/>
      <c r="AK14" s="47" t="s">
        <v>1448</v>
      </c>
      <c r="AL14" s="1"/>
      <c r="AM14" s="1708" t="s">
        <v>1449</v>
      </c>
    </row>
    <row r="15" spans="1:39" ht="14.4">
      <c r="A15" s="1"/>
      <c r="B15" s="1098"/>
      <c r="C15" s="50"/>
      <c r="D15" s="50"/>
      <c r="E15" s="1722"/>
      <c r="F15" s="1723"/>
      <c r="G15" s="1722"/>
      <c r="H15" s="1723"/>
      <c r="I15" s="1723"/>
      <c r="J15" s="1723"/>
      <c r="K15" s="1723"/>
      <c r="L15" s="1723"/>
      <c r="M15" s="1723"/>
      <c r="N15" s="1723"/>
      <c r="O15" s="1723"/>
      <c r="P15" s="1723"/>
      <c r="Q15" s="1723"/>
      <c r="R15" s="1723"/>
      <c r="S15" s="1723"/>
      <c r="T15" s="1723"/>
      <c r="U15" s="1722"/>
      <c r="V15" s="1723"/>
      <c r="W15" s="1723"/>
      <c r="X15" s="1723"/>
      <c r="Y15" s="1723"/>
      <c r="Z15" s="1723"/>
      <c r="AA15" s="1723"/>
      <c r="AB15" s="1723"/>
      <c r="AC15" s="1723" t="s">
        <v>1450</v>
      </c>
      <c r="AD15" s="50"/>
      <c r="AE15" s="50"/>
      <c r="AF15" s="50"/>
      <c r="AG15" s="1723"/>
      <c r="AH15" s="1723"/>
      <c r="AI15" s="1723"/>
      <c r="AJ15" s="1723"/>
      <c r="AK15" s="1723"/>
      <c r="AL15" s="50"/>
      <c r="AM15" s="1724"/>
    </row>
    <row r="16" spans="1:39" ht="14.4">
      <c r="A16" s="41"/>
      <c r="B16" s="1709">
        <v>2011</v>
      </c>
      <c r="C16" s="683">
        <v>5828289</v>
      </c>
      <c r="D16" s="46" t="s">
        <v>77</v>
      </c>
      <c r="E16" s="1449">
        <v>42.6</v>
      </c>
      <c r="F16" s="46" t="s">
        <v>77</v>
      </c>
      <c r="G16" s="1717">
        <v>0.16</v>
      </c>
      <c r="H16" s="46" t="s">
        <v>77</v>
      </c>
      <c r="I16" s="1720">
        <v>1.75</v>
      </c>
      <c r="J16" s="46" t="s">
        <v>77</v>
      </c>
      <c r="K16" s="1711">
        <v>1E-3</v>
      </c>
      <c r="L16" s="46" t="s">
        <v>78</v>
      </c>
      <c r="M16" s="683">
        <f>C16*E16*G16*I16*K16</f>
        <v>69519.831191999998</v>
      </c>
      <c r="N16" s="1643" t="s">
        <v>1371</v>
      </c>
      <c r="O16" s="683">
        <v>11.265631541818182</v>
      </c>
      <c r="P16" s="46" t="s">
        <v>78</v>
      </c>
      <c r="Q16" s="683">
        <f>M16-O16</f>
        <v>69508.565560458184</v>
      </c>
      <c r="R16" s="683" t="s">
        <v>77</v>
      </c>
      <c r="S16" s="1717">
        <v>0</v>
      </c>
      <c r="T16" s="46" t="s">
        <v>77</v>
      </c>
      <c r="U16" s="1720">
        <v>5.0000000000000001E-3</v>
      </c>
      <c r="V16" s="46" t="s">
        <v>77</v>
      </c>
      <c r="W16" s="1183">
        <f>44/28</f>
        <v>1.5714285714285714</v>
      </c>
      <c r="X16" s="46" t="s">
        <v>78</v>
      </c>
      <c r="Y16" s="1449">
        <f>Q16*(1-S16)*U16*W16</f>
        <v>546.1387294036</v>
      </c>
      <c r="Z16" s="46" t="s">
        <v>77</v>
      </c>
      <c r="AA16" s="683">
        <f>$AD$7</f>
        <v>265</v>
      </c>
      <c r="AB16" s="46" t="s">
        <v>77</v>
      </c>
      <c r="AC16" s="1713">
        <f>1/1000000</f>
        <v>9.9999999999999995E-7</v>
      </c>
      <c r="AD16" s="46" t="s">
        <v>77</v>
      </c>
      <c r="AE16" s="1449">
        <f>12/44</f>
        <v>0.27272727272727271</v>
      </c>
      <c r="AF16" s="46" t="s">
        <v>78</v>
      </c>
      <c r="AG16" s="1183">
        <f>Y16*AA$16*AC$16*AE$16</f>
        <v>3.9470935443260177E-2</v>
      </c>
      <c r="AH16" s="1725" t="s">
        <v>1370</v>
      </c>
      <c r="AI16" s="1183">
        <f>(0.00149671961912727)*(AD7/310)</f>
        <v>1.279453867963634E-3</v>
      </c>
      <c r="AJ16" s="1725" t="s">
        <v>78</v>
      </c>
      <c r="AK16" s="1183">
        <f>AG16+AI16</f>
        <v>4.0750389311223809E-2</v>
      </c>
      <c r="AL16" s="1725" t="s">
        <v>78</v>
      </c>
      <c r="AM16" s="1726">
        <f>AK16/AE16</f>
        <v>0.14941809414115398</v>
      </c>
    </row>
    <row r="17" spans="1:39" ht="14.4">
      <c r="A17" s="41"/>
      <c r="B17" s="1727"/>
      <c r="C17" s="1728"/>
      <c r="D17" s="1729"/>
      <c r="E17" s="1730"/>
      <c r="F17" s="1729"/>
      <c r="G17" s="1731"/>
      <c r="H17" s="1729"/>
      <c r="I17" s="1732"/>
      <c r="J17" s="1729"/>
      <c r="K17" s="1733"/>
      <c r="L17" s="1729"/>
      <c r="M17" s="1728"/>
      <c r="N17" s="1734"/>
      <c r="O17" s="1728"/>
      <c r="P17" s="1729"/>
      <c r="Q17" s="1728"/>
      <c r="R17" s="1728"/>
      <c r="S17" s="1731"/>
      <c r="T17" s="1729"/>
      <c r="U17" s="1732"/>
      <c r="V17" s="1729"/>
      <c r="W17" s="1735"/>
      <c r="X17" s="1729"/>
      <c r="Y17" s="1730"/>
      <c r="Z17" s="1729"/>
      <c r="AA17" s="1728"/>
      <c r="AB17" s="1729"/>
      <c r="AC17" s="1736"/>
      <c r="AD17" s="1729"/>
      <c r="AE17" s="1730"/>
      <c r="AF17" s="1729"/>
      <c r="AG17" s="1735"/>
      <c r="AH17" s="1737"/>
      <c r="AI17" s="1735"/>
      <c r="AJ17" s="1737"/>
      <c r="AK17" s="1735"/>
      <c r="AL17" s="1737"/>
      <c r="AM17" s="1738"/>
    </row>
    <row r="18" spans="1:39" ht="14.4">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ht="19.5" customHeight="1">
      <c r="A19" s="1"/>
      <c r="B19" s="1715" t="s">
        <v>1451</v>
      </c>
      <c r="C19" s="1716"/>
      <c r="D19" s="1716"/>
      <c r="E19" s="1716"/>
      <c r="F19" s="1716"/>
      <c r="G19" s="1716"/>
      <c r="H19" s="1048"/>
      <c r="I19" s="1048"/>
      <c r="J19" s="1048"/>
      <c r="K19" s="1048"/>
      <c r="L19" s="1048"/>
      <c r="M19" s="1048"/>
      <c r="N19" s="1048"/>
      <c r="O19" s="1048"/>
      <c r="P19" s="1048"/>
      <c r="Q19" s="1048"/>
      <c r="R19" s="1048"/>
      <c r="S19" s="1048"/>
      <c r="T19" s="1048"/>
      <c r="U19" s="1048"/>
      <c r="V19" s="1048"/>
      <c r="W19" s="1048"/>
      <c r="X19" s="1048"/>
      <c r="Y19" s="1048"/>
      <c r="Z19" s="1048"/>
      <c r="AA19" s="1049"/>
      <c r="AB19" s="1"/>
      <c r="AC19" s="1"/>
      <c r="AD19" s="1"/>
      <c r="AE19" s="1"/>
      <c r="AF19" s="1"/>
      <c r="AG19" s="1"/>
      <c r="AH19" s="1"/>
      <c r="AI19" s="1"/>
      <c r="AJ19" s="1"/>
      <c r="AK19" s="1"/>
      <c r="AL19" s="1"/>
      <c r="AM19" s="1"/>
    </row>
    <row r="20" spans="1:39" ht="45" customHeight="1">
      <c r="A20" s="1"/>
      <c r="B20" s="1707" t="s">
        <v>92</v>
      </c>
      <c r="C20" s="47" t="s">
        <v>1452</v>
      </c>
      <c r="D20" s="47"/>
      <c r="E20" s="47" t="s">
        <v>1453</v>
      </c>
      <c r="F20" s="1620"/>
      <c r="G20" s="47" t="s">
        <v>1454</v>
      </c>
      <c r="H20" s="1620"/>
      <c r="I20" s="47" t="s">
        <v>1455</v>
      </c>
      <c r="J20" s="1620"/>
      <c r="K20" s="47" t="s">
        <v>881</v>
      </c>
      <c r="L20" s="1620"/>
      <c r="M20" s="47" t="s">
        <v>1456</v>
      </c>
      <c r="N20" s="1620"/>
      <c r="O20" s="47" t="s">
        <v>118</v>
      </c>
      <c r="P20" s="1620"/>
      <c r="Q20" s="47" t="s">
        <v>1454</v>
      </c>
      <c r="R20" s="1620"/>
      <c r="S20" s="47" t="s">
        <v>118</v>
      </c>
      <c r="T20" s="1620"/>
      <c r="U20" s="47" t="s">
        <v>1457</v>
      </c>
      <c r="V20" s="47"/>
      <c r="W20" s="47" t="s">
        <v>1458</v>
      </c>
      <c r="X20" s="1620"/>
      <c r="Y20" s="47" t="s">
        <v>118</v>
      </c>
      <c r="Z20" s="1"/>
      <c r="AA20" s="1708" t="s">
        <v>118</v>
      </c>
      <c r="AB20" s="1"/>
      <c r="AC20" s="1"/>
      <c r="AD20" s="1"/>
      <c r="AE20" s="1"/>
      <c r="AF20" s="1"/>
      <c r="AG20" s="1"/>
      <c r="AH20" s="1"/>
      <c r="AI20" s="1"/>
      <c r="AJ20" s="1"/>
      <c r="AK20" s="1"/>
      <c r="AL20" s="1"/>
      <c r="AM20" s="1"/>
    </row>
    <row r="21" spans="1:39" ht="15.75" customHeight="1">
      <c r="A21" s="1"/>
      <c r="B21" s="1098"/>
      <c r="C21" s="50" t="s">
        <v>291</v>
      </c>
      <c r="D21" s="1"/>
      <c r="E21" s="50" t="s">
        <v>1459</v>
      </c>
      <c r="F21" s="50"/>
      <c r="G21" s="50" t="s">
        <v>1460</v>
      </c>
      <c r="H21" s="50"/>
      <c r="I21" s="50" t="s">
        <v>1461</v>
      </c>
      <c r="J21" s="50"/>
      <c r="K21" s="50" t="s">
        <v>1462</v>
      </c>
      <c r="L21" s="50"/>
      <c r="M21" s="50" t="s">
        <v>1463</v>
      </c>
      <c r="N21" s="50"/>
      <c r="O21" s="50" t="s">
        <v>1464</v>
      </c>
      <c r="P21" s="50"/>
      <c r="Q21" s="50" t="s">
        <v>1465</v>
      </c>
      <c r="R21" s="50"/>
      <c r="S21" s="50" t="s">
        <v>1466</v>
      </c>
      <c r="T21" s="50"/>
      <c r="U21" s="50" t="s">
        <v>1467</v>
      </c>
      <c r="V21" s="50"/>
      <c r="W21" s="50"/>
      <c r="X21" s="50"/>
      <c r="Y21" s="50" t="s">
        <v>888</v>
      </c>
      <c r="Z21" s="1"/>
      <c r="AA21" s="1739" t="s">
        <v>1468</v>
      </c>
      <c r="AB21" s="1"/>
      <c r="AC21" s="1"/>
      <c r="AD21" s="1"/>
      <c r="AE21" s="1"/>
      <c r="AF21" s="1"/>
      <c r="AG21" s="1"/>
      <c r="AH21" s="1"/>
      <c r="AI21" s="1"/>
      <c r="AJ21" s="1"/>
      <c r="AK21" s="1"/>
      <c r="AL21" s="1"/>
      <c r="AM21" s="1"/>
    </row>
    <row r="22" spans="1:39" ht="15.75" customHeight="1">
      <c r="A22" s="41"/>
      <c r="B22" s="1709">
        <v>2011</v>
      </c>
      <c r="C22" s="1449">
        <v>8618.4</v>
      </c>
      <c r="D22" s="46" t="s">
        <v>77</v>
      </c>
      <c r="E22" s="1710">
        <v>7.9</v>
      </c>
      <c r="F22" s="46" t="s">
        <v>77</v>
      </c>
      <c r="G22" s="683">
        <v>1000</v>
      </c>
      <c r="H22" s="46" t="s">
        <v>77</v>
      </c>
      <c r="I22" s="1740">
        <v>4.0999999999999996</v>
      </c>
      <c r="J22" s="46" t="s">
        <v>77</v>
      </c>
      <c r="K22" s="1449">
        <v>0.25</v>
      </c>
      <c r="L22" s="46" t="s">
        <v>77</v>
      </c>
      <c r="M22" s="1717">
        <v>0.33</v>
      </c>
      <c r="N22" s="46" t="s">
        <v>78</v>
      </c>
      <c r="O22" s="1741">
        <f>C22*$E$22*$I$22*$M$22*$K$22*$G$22</f>
        <v>23029873.02</v>
      </c>
      <c r="P22" s="46" t="s">
        <v>77</v>
      </c>
      <c r="Q22" s="1742">
        <v>9.9999999999999998E-13</v>
      </c>
      <c r="R22" s="46" t="s">
        <v>78</v>
      </c>
      <c r="S22" s="1449">
        <f>O22*Q22</f>
        <v>2.302987302E-5</v>
      </c>
      <c r="T22" s="46" t="s">
        <v>77</v>
      </c>
      <c r="U22" s="683">
        <f>$AD$6</f>
        <v>28</v>
      </c>
      <c r="V22" s="46" t="s">
        <v>77</v>
      </c>
      <c r="W22" s="1449">
        <f>12/44</f>
        <v>0.27272727272727271</v>
      </c>
      <c r="X22" s="46" t="s">
        <v>78</v>
      </c>
      <c r="Y22" s="1183">
        <f>S22*U$22*W$22</f>
        <v>1.7586448488E-4</v>
      </c>
      <c r="Z22" s="46" t="s">
        <v>78</v>
      </c>
      <c r="AA22" s="1743">
        <f>Y22*44/12</f>
        <v>6.4483644456000001E-4</v>
      </c>
      <c r="AB22" s="1"/>
      <c r="AC22" s="1"/>
      <c r="AD22" s="1"/>
      <c r="AE22" s="1"/>
      <c r="AF22" s="1"/>
      <c r="AG22" s="1"/>
      <c r="AH22" s="1"/>
      <c r="AI22" s="1"/>
      <c r="AJ22" s="1"/>
      <c r="AK22" s="1"/>
      <c r="AL22" s="1"/>
      <c r="AM22" s="1"/>
    </row>
    <row r="23" spans="1:39" ht="15.75" customHeight="1">
      <c r="A23" s="1"/>
      <c r="B23" s="1117"/>
      <c r="C23" s="663"/>
      <c r="D23" s="663"/>
      <c r="E23" s="663"/>
      <c r="F23" s="663"/>
      <c r="G23" s="663"/>
      <c r="H23" s="663"/>
      <c r="I23" s="663"/>
      <c r="J23" s="663"/>
      <c r="K23" s="663"/>
      <c r="L23" s="663"/>
      <c r="M23" s="663"/>
      <c r="N23" s="663"/>
      <c r="O23" s="663"/>
      <c r="P23" s="663"/>
      <c r="Q23" s="663"/>
      <c r="R23" s="663"/>
      <c r="S23" s="663"/>
      <c r="T23" s="663"/>
      <c r="U23" s="663"/>
      <c r="V23" s="663"/>
      <c r="W23" s="663"/>
      <c r="X23" s="663"/>
      <c r="Y23" s="663"/>
      <c r="Z23" s="663"/>
      <c r="AA23" s="1118"/>
      <c r="AB23" s="1"/>
      <c r="AC23" s="1"/>
      <c r="AD23" s="1"/>
      <c r="AE23" s="1"/>
      <c r="AF23" s="1"/>
      <c r="AG23" s="1"/>
      <c r="AH23" s="1"/>
      <c r="AI23" s="1"/>
      <c r="AJ23" s="1"/>
      <c r="AK23" s="1"/>
      <c r="AL23" s="1"/>
      <c r="AM23" s="1"/>
    </row>
    <row r="24" spans="1:39"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ht="12.75" customHeight="1">
      <c r="A26" s="1"/>
      <c r="B26" s="2307" t="s">
        <v>1469</v>
      </c>
      <c r="C26" s="2243"/>
      <c r="D26" s="2243"/>
      <c r="E26" s="2243"/>
      <c r="F26" s="2243"/>
      <c r="G26" s="2243"/>
      <c r="H26" s="2243"/>
      <c r="I26" s="2243"/>
      <c r="J26" s="2243"/>
      <c r="K26" s="2243"/>
      <c r="L26" s="2243"/>
      <c r="M26" s="2243"/>
      <c r="N26" s="2243"/>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ht="15.75" customHeight="1">
      <c r="A28" s="1"/>
      <c r="B28" s="1744" t="s">
        <v>1470</v>
      </c>
      <c r="C28" s="1744">
        <v>2011</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ht="18" customHeight="1">
      <c r="A29" s="1"/>
      <c r="B29" s="1" t="s">
        <v>1471</v>
      </c>
      <c r="C29" s="1090">
        <f>Y5</f>
        <v>0.52268387166449981</v>
      </c>
      <c r="D29" s="1090"/>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ht="18" customHeight="1">
      <c r="A30" s="1"/>
      <c r="B30" s="1" t="s">
        <v>1472</v>
      </c>
      <c r="C30" s="1745">
        <f>AM16</f>
        <v>0.14941809414115398</v>
      </c>
      <c r="D30" s="1090"/>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ht="18" customHeight="1">
      <c r="A31" s="1"/>
      <c r="B31" s="1" t="s">
        <v>1473</v>
      </c>
      <c r="C31" s="1090">
        <f>SUM(C32:C35)</f>
        <v>6.4483644456000001E-4</v>
      </c>
      <c r="D31" s="1090"/>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ht="15.75" customHeight="1">
      <c r="A32" s="1"/>
      <c r="B32" s="1746" t="s">
        <v>1474</v>
      </c>
      <c r="C32" s="1090">
        <v>0</v>
      </c>
      <c r="D32" s="1090"/>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1:39" ht="15.75" customHeight="1">
      <c r="A33" s="1"/>
      <c r="B33" s="1746" t="s">
        <v>1475</v>
      </c>
      <c r="C33" s="1090">
        <f>AA22</f>
        <v>6.4483644456000001E-4</v>
      </c>
      <c r="D33" s="1090"/>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1:39" ht="15.75" customHeight="1">
      <c r="A34" s="1"/>
      <c r="B34" s="1746" t="s">
        <v>1476</v>
      </c>
      <c r="C34" s="1090">
        <v>0</v>
      </c>
      <c r="D34" s="1090"/>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ht="15.75" customHeight="1">
      <c r="A35" s="1"/>
      <c r="B35" s="1746" t="s">
        <v>1477</v>
      </c>
      <c r="C35" s="1090">
        <v>0</v>
      </c>
      <c r="D35" s="1090"/>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1:39" ht="15.75" customHeight="1">
      <c r="A36" s="1"/>
      <c r="B36" s="1644" t="s">
        <v>140</v>
      </c>
      <c r="C36" s="1747">
        <f>SUM(C29:C31)</f>
        <v>0.67274680225021377</v>
      </c>
      <c r="D36" s="1090"/>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ht="15.75" customHeight="1">
      <c r="A37" s="1"/>
      <c r="B37" s="1"/>
      <c r="C37" s="1"/>
      <c r="D37" s="1"/>
      <c r="E37" s="1"/>
      <c r="F37" s="1"/>
      <c r="G37" s="1"/>
      <c r="H37" s="1"/>
      <c r="I37" s="1"/>
      <c r="J37" s="1"/>
      <c r="K37" s="1"/>
      <c r="L37" s="1"/>
      <c r="M37" s="1"/>
      <c r="N37" s="1"/>
      <c r="O37" s="1"/>
      <c r="P37" s="1"/>
      <c r="Q37" s="1"/>
      <c r="R37" s="1"/>
      <c r="S37" s="1748">
        <f>SUM(C29:C31)</f>
        <v>0.67274680225021377</v>
      </c>
      <c r="T37" s="1"/>
      <c r="U37" s="1"/>
      <c r="V37" s="1"/>
      <c r="W37" s="1"/>
      <c r="X37" s="1"/>
      <c r="Y37" s="1"/>
      <c r="Z37" s="1"/>
      <c r="AA37" s="1"/>
      <c r="AB37" s="1"/>
      <c r="AC37" s="1"/>
      <c r="AD37" s="1"/>
      <c r="AE37" s="1"/>
      <c r="AF37" s="1"/>
      <c r="AG37" s="1"/>
      <c r="AH37" s="1"/>
      <c r="AI37" s="1"/>
      <c r="AJ37" s="1"/>
      <c r="AK37" s="1"/>
      <c r="AL37" s="1"/>
      <c r="AM37" s="1"/>
    </row>
    <row r="38" spans="1:3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1:3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1:3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1:3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3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1:3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1:3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1:3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1:3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1:3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1:3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1:3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1:3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1:3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3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1:3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1:3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1:3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1:3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1:3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1:3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3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1:3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1:3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1:3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1:3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1:3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1:3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1:3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1:3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1:3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1:3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1:3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1:3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1:3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1:3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1:3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1:3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1:3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row>
    <row r="86" spans="1:3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row>
    <row r="87" spans="1:3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row>
    <row r="88" spans="1:3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row>
    <row r="89" spans="1:3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row>
    <row r="90" spans="1:3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row>
    <row r="91" spans="1:3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row>
    <row r="92" spans="1:3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row>
    <row r="93" spans="1:3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row>
    <row r="94" spans="1:3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row>
    <row r="95" spans="1:3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row>
    <row r="96" spans="1:3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row>
    <row r="97" spans="1:3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row>
    <row r="98" spans="1:3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row>
    <row r="99" spans="1:3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row>
    <row r="100" spans="1:3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row>
    <row r="101" spans="1:3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row>
    <row r="102" spans="1:3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row>
    <row r="103" spans="1:3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row>
    <row r="104" spans="1:3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row>
    <row r="105" spans="1:3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row>
    <row r="106" spans="1:3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row>
    <row r="107" spans="1:3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row>
    <row r="108" spans="1:3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row>
    <row r="109" spans="1:3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row>
    <row r="110" spans="1:3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row>
    <row r="111" spans="1:3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row>
    <row r="112" spans="1:3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row>
    <row r="113" spans="1:3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row>
    <row r="114" spans="1:3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row>
    <row r="115" spans="1:3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row>
    <row r="116" spans="1:3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row>
    <row r="117" spans="1:3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row>
    <row r="118" spans="1:3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row>
    <row r="119" spans="1:3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row>
    <row r="120" spans="1:3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row>
    <row r="121" spans="1:3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row>
    <row r="122" spans="1:3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row>
    <row r="123" spans="1:3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row>
    <row r="124" spans="1:3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row>
    <row r="125" spans="1:3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row>
    <row r="126" spans="1:3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row>
    <row r="127" spans="1:3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row>
    <row r="128" spans="1:3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row>
    <row r="129" spans="1:3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row>
    <row r="130" spans="1:3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row>
    <row r="131" spans="1:3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row>
    <row r="132" spans="1:3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row>
    <row r="133" spans="1:3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row>
    <row r="134" spans="1:3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row>
    <row r="135" spans="1:3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row>
    <row r="136" spans="1:3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row>
    <row r="137" spans="1:3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row>
    <row r="138" spans="1:3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row>
    <row r="139" spans="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row>
    <row r="140" spans="1:3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row>
    <row r="141" spans="1:3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row>
    <row r="142" spans="1:3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row>
    <row r="143" spans="1:3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row>
    <row r="144" spans="1:3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row>
    <row r="145" spans="1:3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row>
    <row r="146" spans="1:3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row>
    <row r="147" spans="1:3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row>
    <row r="148" spans="1:3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row>
    <row r="149" spans="1:3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row>
    <row r="150" spans="1:3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row>
    <row r="151" spans="1:3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row>
    <row r="152" spans="1:3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row>
    <row r="153" spans="1:3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row>
    <row r="154" spans="1:3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row>
    <row r="155" spans="1:3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row>
    <row r="156" spans="1:3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row>
    <row r="157" spans="1:3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row>
    <row r="158" spans="1:3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row>
    <row r="159" spans="1:3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row>
    <row r="160" spans="1:3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row>
    <row r="161" spans="1:3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row>
    <row r="162" spans="1:3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row>
    <row r="163" spans="1:3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row>
    <row r="164" spans="1:3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row>
    <row r="165" spans="1:3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row>
    <row r="166" spans="1:3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row>
    <row r="167" spans="1:3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row>
    <row r="168" spans="1:3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row>
    <row r="169" spans="1:3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row>
    <row r="170" spans="1:3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row>
    <row r="171" spans="1:3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row>
    <row r="172" spans="1:3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row>
    <row r="173" spans="1:3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row>
    <row r="174" spans="1:3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row>
    <row r="175" spans="1:3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row>
    <row r="176" spans="1:3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row>
    <row r="177" spans="1:3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row>
    <row r="178" spans="1:3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row>
    <row r="179" spans="1:3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row>
    <row r="180" spans="1:3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row>
    <row r="181" spans="1:3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row>
    <row r="182" spans="1:3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row>
    <row r="183" spans="1:3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row>
    <row r="184" spans="1:3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row>
    <row r="185" spans="1:3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row>
    <row r="186" spans="1:3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row>
    <row r="187" spans="1:3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row>
    <row r="188" spans="1:3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row>
    <row r="189" spans="1:3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row>
    <row r="190" spans="1:3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row>
    <row r="191" spans="1:3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row>
    <row r="192" spans="1:3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row>
    <row r="193" spans="1:3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row>
    <row r="194" spans="1:3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row>
    <row r="195" spans="1:3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row>
    <row r="196" spans="1:3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row>
    <row r="197" spans="1:3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row>
    <row r="198" spans="1:3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row>
    <row r="199" spans="1:3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row>
    <row r="200" spans="1:3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row>
    <row r="201" spans="1:3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row>
    <row r="202" spans="1:3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row>
    <row r="203" spans="1:3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row>
    <row r="204" spans="1:3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row>
    <row r="205" spans="1:3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1:3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row>
    <row r="207" spans="1:3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row>
    <row r="208" spans="1:3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row>
    <row r="209" spans="1:3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row>
    <row r="210" spans="1:3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row>
    <row r="211" spans="1:3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row>
    <row r="212" spans="1:3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row>
    <row r="213" spans="1:3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row>
    <row r="214" spans="1:3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row>
    <row r="215" spans="1:3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row>
    <row r="216" spans="1:39"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row>
    <row r="217" spans="1:39"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row>
    <row r="218" spans="1:39"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row>
    <row r="219" spans="1:3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row>
    <row r="220" spans="1:39"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row>
    <row r="221" spans="1:39"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row>
    <row r="222" spans="1:39"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row>
    <row r="223" spans="1:39"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row>
    <row r="224" spans="1:39"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row>
    <row r="225" spans="1:39"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row>
    <row r="226" spans="1:39"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row>
    <row r="227" spans="1:39"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row>
    <row r="228" spans="1:39"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row>
    <row r="229" spans="1:3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row>
    <row r="230" spans="1:39"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row>
    <row r="231" spans="1:39"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row>
    <row r="232" spans="1:39"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row>
    <row r="233" spans="1:39"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row>
    <row r="234" spans="1:39"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row>
    <row r="235" spans="1:39"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row>
    <row r="236" spans="1:39"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row>
    <row r="237" spans="1:39"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row>
    <row r="238" spans="1:39" ht="15.75" customHeight="1"/>
    <row r="239" spans="1:39" ht="15.75" customHeight="1"/>
    <row r="240" spans="1:3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3:I3"/>
    <mergeCell ref="AC3:AD3"/>
    <mergeCell ref="B26:N26"/>
  </mergeCells>
  <conditionalFormatting sqref="B26:N26">
    <cfRule type="cellIs" dxfId="1" priority="1" operator="equal">
      <formula>0</formula>
    </cfRule>
  </conditionalFormatting>
  <conditionalFormatting sqref="B26:N26">
    <cfRule type="cellIs" dxfId="0" priority="2" operator="notEqual">
      <formula>0</formula>
    </cfRule>
  </conditionalFormatting>
  <pageMargins left="0.7" right="0.7" top="0.75" bottom="0.75" header="0" footer="0"/>
  <pageSetup orientation="landscape"/>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defaultColWidth="16.85546875" defaultRowHeight="15" customHeight="1"/>
  <cols>
    <col min="1" max="2" width="9.28515625" customWidth="1"/>
    <col min="3" max="3" width="20.85546875" customWidth="1"/>
    <col min="4" max="4" width="15.42578125" customWidth="1"/>
    <col min="5" max="5" width="12.7109375" customWidth="1"/>
    <col min="6" max="6" width="9.28515625" customWidth="1"/>
    <col min="7" max="7" width="18.28515625" customWidth="1"/>
    <col min="8" max="8" width="9.28515625" customWidth="1"/>
    <col min="9" max="9" width="11" customWidth="1"/>
    <col min="10" max="10" width="12.7109375" customWidth="1"/>
    <col min="11" max="19" width="9.28515625" customWidth="1"/>
    <col min="20" max="26" width="8" customWidth="1"/>
  </cols>
  <sheetData>
    <row r="1" spans="1:26" ht="14.4">
      <c r="A1" s="1" t="s">
        <v>1288</v>
      </c>
      <c r="B1" s="403"/>
      <c r="C1" s="1"/>
      <c r="D1" s="1"/>
      <c r="E1" s="1"/>
      <c r="F1" s="1"/>
      <c r="G1" s="42"/>
      <c r="H1" s="1"/>
      <c r="I1" s="1"/>
      <c r="J1" s="1"/>
      <c r="K1" s="1"/>
      <c r="L1" s="1"/>
      <c r="M1" s="1"/>
      <c r="N1" s="1"/>
      <c r="O1" s="1"/>
      <c r="P1" s="1"/>
      <c r="Q1" s="1"/>
      <c r="R1" s="1"/>
      <c r="S1" s="1"/>
      <c r="T1" s="1"/>
      <c r="U1" s="1"/>
      <c r="V1" s="1"/>
      <c r="W1" s="1"/>
      <c r="X1" s="1"/>
      <c r="Y1" s="1"/>
      <c r="Z1" s="1"/>
    </row>
    <row r="2" spans="1:26" ht="125.25" customHeight="1">
      <c r="A2" s="1"/>
      <c r="B2" s="1450"/>
      <c r="C2" s="1450"/>
      <c r="D2" s="1238"/>
      <c r="E2" s="1238"/>
      <c r="F2" s="1238"/>
      <c r="G2" s="1238"/>
      <c r="H2" s="1451"/>
      <c r="I2" s="1"/>
      <c r="J2" s="1451"/>
      <c r="K2" s="1451"/>
      <c r="L2" s="1451"/>
      <c r="M2" s="1"/>
      <c r="N2" s="1"/>
      <c r="O2" s="1"/>
      <c r="P2" s="1"/>
      <c r="Q2" s="1"/>
      <c r="R2" s="1"/>
      <c r="S2" s="1"/>
      <c r="T2" s="1"/>
      <c r="U2" s="1"/>
      <c r="V2" s="1"/>
      <c r="W2" s="1"/>
      <c r="X2" s="1"/>
      <c r="Y2" s="1"/>
      <c r="Z2" s="1"/>
    </row>
    <row r="3" spans="1:26" ht="14.4">
      <c r="A3" s="1"/>
      <c r="B3" s="1452"/>
      <c r="C3" s="1453"/>
      <c r="D3" s="1455" t="s">
        <v>118</v>
      </c>
      <c r="E3" s="1"/>
      <c r="F3" s="1"/>
      <c r="G3" s="1"/>
      <c r="H3" s="1"/>
      <c r="I3" s="1"/>
      <c r="J3" s="1"/>
      <c r="K3" s="1"/>
      <c r="L3" s="1"/>
      <c r="M3" s="1"/>
      <c r="N3" s="1"/>
      <c r="O3" s="1"/>
      <c r="P3" s="1"/>
      <c r="Q3" s="1"/>
      <c r="R3" s="1"/>
      <c r="S3" s="1"/>
      <c r="T3" s="1"/>
      <c r="U3" s="1"/>
      <c r="V3" s="1"/>
      <c r="W3" s="1"/>
      <c r="X3" s="1"/>
      <c r="Y3" s="1"/>
      <c r="Z3" s="1"/>
    </row>
    <row r="4" spans="1:26" ht="18" customHeight="1">
      <c r="A4" s="1"/>
      <c r="B4" s="1456"/>
      <c r="C4" s="75"/>
      <c r="D4" s="1457" t="s">
        <v>1289</v>
      </c>
      <c r="E4" s="1"/>
      <c r="F4" s="1"/>
      <c r="G4" s="1"/>
      <c r="H4" s="1"/>
      <c r="I4" s="1"/>
      <c r="J4" s="1"/>
      <c r="K4" s="1"/>
      <c r="L4" s="1"/>
      <c r="M4" s="1"/>
      <c r="N4" s="1"/>
      <c r="O4" s="1"/>
      <c r="P4" s="1"/>
      <c r="Q4" s="1"/>
      <c r="R4" s="1"/>
      <c r="S4" s="1"/>
      <c r="T4" s="1"/>
      <c r="U4" s="1"/>
      <c r="V4" s="1"/>
      <c r="W4" s="1"/>
      <c r="X4" s="1"/>
      <c r="Y4" s="1"/>
      <c r="Z4" s="1"/>
    </row>
    <row r="5" spans="1:26" ht="14.4">
      <c r="A5" s="1"/>
      <c r="B5" s="1456"/>
      <c r="C5" s="260"/>
      <c r="D5" s="1458"/>
      <c r="E5" s="1"/>
      <c r="F5" s="1"/>
      <c r="G5" s="1"/>
      <c r="H5" s="1"/>
      <c r="I5" s="1"/>
      <c r="J5" s="1"/>
      <c r="K5" s="1"/>
      <c r="L5" s="1"/>
      <c r="M5" s="1"/>
      <c r="N5" s="1"/>
      <c r="O5" s="1"/>
      <c r="P5" s="1"/>
      <c r="Q5" s="1"/>
      <c r="R5" s="1"/>
      <c r="S5" s="1"/>
      <c r="T5" s="1"/>
      <c r="U5" s="1"/>
      <c r="V5" s="1"/>
      <c r="W5" s="1"/>
      <c r="X5" s="1"/>
      <c r="Y5" s="1"/>
      <c r="Z5" s="1"/>
    </row>
    <row r="6" spans="1:26" ht="14.4">
      <c r="A6" s="1"/>
      <c r="B6" s="1459"/>
      <c r="C6" s="261"/>
      <c r="D6" s="1458"/>
      <c r="E6" s="1"/>
      <c r="F6" s="1"/>
      <c r="G6" s="1"/>
      <c r="H6" s="1"/>
      <c r="I6" s="1"/>
      <c r="J6" s="1"/>
      <c r="K6" s="1"/>
      <c r="L6" s="1"/>
      <c r="M6" s="1"/>
      <c r="N6" s="1"/>
      <c r="O6" s="1"/>
      <c r="P6" s="1"/>
      <c r="Q6" s="1"/>
      <c r="R6" s="1"/>
      <c r="S6" s="1"/>
      <c r="T6" s="1"/>
      <c r="U6" s="1"/>
      <c r="V6" s="1"/>
      <c r="W6" s="1"/>
      <c r="X6" s="1"/>
      <c r="Y6" s="1"/>
      <c r="Z6" s="1"/>
    </row>
    <row r="7" spans="1:26" ht="14.4">
      <c r="A7" s="1"/>
      <c r="B7" s="1461">
        <v>2011</v>
      </c>
      <c r="C7" s="1462" t="s">
        <v>1290</v>
      </c>
      <c r="D7" s="1458">
        <v>3.3000000000000002E-2</v>
      </c>
      <c r="E7" s="254"/>
      <c r="F7" s="1"/>
      <c r="G7" s="1"/>
      <c r="H7" s="1"/>
      <c r="I7" s="1"/>
      <c r="J7" s="1"/>
      <c r="K7" s="1"/>
      <c r="L7" s="1"/>
      <c r="M7" s="1"/>
      <c r="N7" s="1"/>
      <c r="O7" s="1"/>
      <c r="P7" s="1"/>
      <c r="Q7" s="1"/>
      <c r="R7" s="1"/>
      <c r="S7" s="1"/>
      <c r="T7" s="1"/>
      <c r="U7" s="1"/>
      <c r="V7" s="1"/>
      <c r="W7" s="1"/>
      <c r="X7" s="1"/>
      <c r="Y7" s="1"/>
      <c r="Z7" s="1"/>
    </row>
    <row r="8" spans="1:26" ht="14.4">
      <c r="A8" s="1"/>
      <c r="B8" s="1467"/>
      <c r="C8" s="1468"/>
      <c r="D8" s="1470"/>
      <c r="E8" s="1"/>
      <c r="F8" s="1"/>
      <c r="G8" s="1"/>
      <c r="H8" s="1"/>
      <c r="I8" s="1"/>
      <c r="J8" s="1"/>
      <c r="K8" s="1"/>
      <c r="L8" s="1"/>
      <c r="M8" s="1"/>
      <c r="N8" s="1"/>
      <c r="O8" s="1"/>
      <c r="P8" s="1"/>
      <c r="Q8" s="1"/>
      <c r="R8" s="1"/>
      <c r="S8" s="1"/>
      <c r="T8" s="1"/>
      <c r="U8" s="1"/>
      <c r="V8" s="1"/>
      <c r="W8" s="1"/>
      <c r="X8" s="1"/>
      <c r="Y8" s="1"/>
      <c r="Z8" s="1"/>
    </row>
    <row r="9" spans="1:26" ht="14.4">
      <c r="A9" s="1"/>
      <c r="B9" s="1"/>
      <c r="C9" s="1"/>
      <c r="D9" s="1"/>
      <c r="E9" s="1"/>
      <c r="F9" s="1"/>
      <c r="G9" s="1"/>
      <c r="H9" s="1"/>
      <c r="I9" s="1"/>
      <c r="J9" s="1"/>
      <c r="K9" s="1"/>
      <c r="L9" s="1"/>
      <c r="M9" s="1"/>
      <c r="N9" s="1"/>
      <c r="O9" s="1"/>
      <c r="P9" s="1"/>
      <c r="Q9" s="1"/>
      <c r="R9" s="1"/>
      <c r="S9" s="1"/>
      <c r="T9" s="1"/>
      <c r="U9" s="1"/>
      <c r="V9" s="1"/>
      <c r="W9" s="1"/>
      <c r="X9" s="1"/>
      <c r="Y9" s="1"/>
      <c r="Z9" s="1"/>
    </row>
    <row r="10" spans="1:26" ht="14.4">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4">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4">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4">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4">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4">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4">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4">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4">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4">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4">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F1203"/>
  <sheetViews>
    <sheetView workbookViewId="0"/>
  </sheetViews>
  <sheetFormatPr defaultColWidth="16.85546875" defaultRowHeight="15" customHeight="1"/>
  <cols>
    <col min="1" max="1" width="7.7109375" customWidth="1"/>
    <col min="2" max="2" width="48.42578125" customWidth="1"/>
    <col min="3" max="3" width="23.42578125" customWidth="1"/>
    <col min="4" max="4" width="24.28515625" customWidth="1"/>
  </cols>
  <sheetData>
    <row r="1" spans="1:32" ht="15" customHeight="1">
      <c r="A1" s="73"/>
      <c r="B1" s="59"/>
      <c r="C1" s="59"/>
      <c r="D1" s="59"/>
      <c r="E1" s="59"/>
      <c r="F1" s="59"/>
      <c r="G1" s="59"/>
      <c r="H1" s="59"/>
      <c r="I1" s="73"/>
      <c r="J1" s="59"/>
      <c r="K1" s="59"/>
      <c r="L1" s="73"/>
      <c r="M1" s="73"/>
      <c r="N1" s="73"/>
      <c r="O1" s="73"/>
      <c r="P1" s="73"/>
      <c r="Q1" s="73"/>
      <c r="R1" s="73"/>
      <c r="S1" s="73"/>
      <c r="T1" s="73"/>
      <c r="U1" s="73"/>
      <c r="V1" s="73"/>
      <c r="W1" s="73"/>
      <c r="X1" s="73"/>
      <c r="Y1" s="73"/>
      <c r="Z1" s="73"/>
      <c r="AA1" s="73"/>
      <c r="AB1" s="73"/>
      <c r="AC1" s="73"/>
      <c r="AD1" s="73"/>
      <c r="AE1" s="73"/>
      <c r="AF1" s="73"/>
    </row>
    <row r="2" spans="1:32" ht="18">
      <c r="A2" s="2"/>
      <c r="B2" s="2322" t="s">
        <v>141</v>
      </c>
      <c r="C2" s="2323"/>
      <c r="D2" s="2323"/>
      <c r="E2" s="2323"/>
      <c r="F2" s="2323"/>
      <c r="G2" s="2323"/>
      <c r="H2" s="2324"/>
      <c r="I2" s="2"/>
      <c r="J2" s="2325" t="s">
        <v>1</v>
      </c>
      <c r="K2" s="2312"/>
      <c r="L2" s="73"/>
      <c r="M2" s="73"/>
      <c r="N2" s="73"/>
      <c r="O2" s="73"/>
      <c r="P2" s="73"/>
      <c r="Q2" s="73"/>
      <c r="R2" s="73"/>
      <c r="S2" s="73"/>
      <c r="T2" s="73"/>
      <c r="U2" s="73"/>
      <c r="V2" s="73"/>
      <c r="W2" s="73"/>
      <c r="X2" s="73"/>
      <c r="Y2" s="73"/>
      <c r="Z2" s="73"/>
      <c r="AA2" s="73"/>
      <c r="AB2" s="73"/>
      <c r="AC2" s="73"/>
      <c r="AD2" s="73"/>
      <c r="AE2" s="73"/>
      <c r="AF2" s="73"/>
    </row>
    <row r="3" spans="1:32" ht="15" customHeight="1">
      <c r="A3" s="73"/>
      <c r="B3" s="73"/>
      <c r="C3" s="73"/>
      <c r="D3" s="73"/>
      <c r="E3" s="73"/>
      <c r="F3" s="73"/>
      <c r="G3" s="73"/>
      <c r="H3" s="73"/>
      <c r="I3" s="2"/>
      <c r="J3" s="103"/>
      <c r="K3" s="104" t="str">
        <f>Summary!E3</f>
        <v>AR5 100-yr GWP</v>
      </c>
      <c r="L3" s="73"/>
      <c r="M3" s="73"/>
      <c r="N3" s="73"/>
      <c r="O3" s="73"/>
      <c r="P3" s="73"/>
      <c r="Q3" s="73"/>
      <c r="R3" s="73"/>
      <c r="S3" s="73"/>
      <c r="T3" s="73"/>
      <c r="U3" s="73"/>
      <c r="V3" s="73"/>
      <c r="W3" s="73"/>
      <c r="X3" s="73"/>
      <c r="Y3" s="73"/>
      <c r="Z3" s="73"/>
      <c r="AA3" s="73"/>
      <c r="AB3" s="73"/>
      <c r="AC3" s="73"/>
      <c r="AD3" s="73"/>
      <c r="AE3" s="73"/>
      <c r="AF3" s="73"/>
    </row>
    <row r="4" spans="1:32" ht="15" customHeight="1">
      <c r="A4" s="73"/>
      <c r="B4" s="73"/>
      <c r="C4" s="73"/>
      <c r="D4" s="73"/>
      <c r="E4" s="73"/>
      <c r="F4" s="73"/>
      <c r="G4" s="73"/>
      <c r="H4" s="73"/>
      <c r="I4" s="2"/>
      <c r="J4" s="103" t="s">
        <v>4</v>
      </c>
      <c r="K4" s="105">
        <f>Summary!E4</f>
        <v>1</v>
      </c>
      <c r="L4" s="73"/>
      <c r="M4" s="73"/>
      <c r="N4" s="73"/>
      <c r="O4" s="73"/>
      <c r="P4" s="73"/>
      <c r="Q4" s="73"/>
      <c r="R4" s="73"/>
      <c r="S4" s="73"/>
      <c r="T4" s="73"/>
      <c r="U4" s="73"/>
      <c r="V4" s="73"/>
      <c r="W4" s="73"/>
      <c r="X4" s="73"/>
      <c r="Y4" s="73"/>
      <c r="Z4" s="73"/>
      <c r="AA4" s="73"/>
      <c r="AB4" s="73"/>
      <c r="AC4" s="73"/>
      <c r="AD4" s="73"/>
      <c r="AE4" s="73"/>
      <c r="AF4" s="73"/>
    </row>
    <row r="5" spans="1:32" ht="15" customHeight="1">
      <c r="A5" s="73"/>
      <c r="B5" s="73"/>
      <c r="C5" s="73"/>
      <c r="D5" s="73"/>
      <c r="E5" s="73"/>
      <c r="F5" s="73"/>
      <c r="G5" s="73"/>
      <c r="H5" s="73"/>
      <c r="I5" s="2"/>
      <c r="J5" s="103" t="s">
        <v>5</v>
      </c>
      <c r="K5" s="105">
        <f>Summary!E5</f>
        <v>28</v>
      </c>
      <c r="L5" s="73"/>
      <c r="M5" s="73"/>
      <c r="N5" s="73"/>
      <c r="O5" s="73"/>
      <c r="P5" s="73"/>
      <c r="Q5" s="73"/>
      <c r="R5" s="73"/>
      <c r="S5" s="73"/>
      <c r="T5" s="73"/>
      <c r="U5" s="73"/>
      <c r="V5" s="73"/>
      <c r="W5" s="73"/>
      <c r="X5" s="73"/>
      <c r="Y5" s="73"/>
      <c r="Z5" s="73"/>
      <c r="AA5" s="73"/>
      <c r="AB5" s="73"/>
      <c r="AC5" s="73"/>
      <c r="AD5" s="73"/>
      <c r="AE5" s="73"/>
      <c r="AF5" s="73"/>
    </row>
    <row r="6" spans="1:32" ht="15" customHeight="1">
      <c r="A6" s="73"/>
      <c r="B6" s="73"/>
      <c r="C6" s="73"/>
      <c r="D6" s="73"/>
      <c r="E6" s="73"/>
      <c r="F6" s="73"/>
      <c r="G6" s="73"/>
      <c r="H6" s="73"/>
      <c r="I6" s="2"/>
      <c r="J6" s="103" t="s">
        <v>6</v>
      </c>
      <c r="K6" s="105">
        <f>Summary!E6</f>
        <v>265</v>
      </c>
      <c r="L6" s="73"/>
      <c r="M6" s="73"/>
      <c r="N6" s="73"/>
      <c r="O6" s="73"/>
      <c r="P6" s="73"/>
      <c r="Q6" s="73"/>
      <c r="R6" s="73"/>
      <c r="S6" s="73"/>
      <c r="T6" s="73"/>
      <c r="U6" s="73"/>
      <c r="V6" s="73"/>
      <c r="W6" s="73"/>
      <c r="X6" s="73"/>
      <c r="Y6" s="73"/>
      <c r="Z6" s="73"/>
      <c r="AA6" s="73"/>
      <c r="AB6" s="73"/>
      <c r="AC6" s="73"/>
      <c r="AD6" s="73"/>
      <c r="AE6" s="73"/>
      <c r="AF6" s="73"/>
    </row>
    <row r="7" spans="1:32" ht="15" customHeight="1">
      <c r="A7" s="73"/>
      <c r="B7" s="73"/>
      <c r="C7" s="73"/>
      <c r="D7" s="73"/>
      <c r="E7" s="73"/>
      <c r="F7" s="73"/>
      <c r="G7" s="73"/>
      <c r="H7" s="73"/>
      <c r="I7" s="2"/>
      <c r="J7" s="103" t="s">
        <v>7</v>
      </c>
      <c r="K7" s="105">
        <f>Summary!E7</f>
        <v>23500</v>
      </c>
      <c r="L7" s="73"/>
      <c r="M7" s="73"/>
      <c r="N7" s="73"/>
      <c r="O7" s="73"/>
      <c r="P7" s="73"/>
      <c r="Q7" s="73"/>
      <c r="R7" s="73"/>
      <c r="S7" s="73"/>
      <c r="T7" s="73"/>
      <c r="U7" s="73"/>
      <c r="V7" s="73"/>
      <c r="W7" s="73"/>
      <c r="X7" s="73"/>
      <c r="Y7" s="73"/>
      <c r="Z7" s="73"/>
      <c r="AA7" s="73"/>
      <c r="AB7" s="73"/>
      <c r="AC7" s="73"/>
      <c r="AD7" s="73"/>
      <c r="AE7" s="73"/>
      <c r="AF7" s="73"/>
    </row>
    <row r="8" spans="1:32" ht="15" customHeight="1">
      <c r="A8" s="73"/>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row>
    <row r="9" spans="1:32" ht="14.4">
      <c r="A9" s="73"/>
      <c r="B9" s="106" t="s">
        <v>58</v>
      </c>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row>
    <row r="10" spans="1:32" ht="15" customHeight="1">
      <c r="A10" s="73"/>
      <c r="B10" s="73"/>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row>
    <row r="11" spans="1:32" ht="14.4">
      <c r="A11" s="73"/>
      <c r="B11" s="108" t="s">
        <v>142</v>
      </c>
      <c r="C11" s="59"/>
      <c r="D11" s="59"/>
      <c r="E11" s="59"/>
      <c r="F11" s="59"/>
      <c r="G11" s="59"/>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row>
    <row r="12" spans="1:32" ht="15" customHeight="1">
      <c r="A12" s="2149"/>
      <c r="B12" s="2157" t="s">
        <v>92</v>
      </c>
      <c r="C12" s="109" t="s">
        <v>143</v>
      </c>
      <c r="D12" s="109" t="s">
        <v>144</v>
      </c>
      <c r="E12" s="109" t="s">
        <v>145</v>
      </c>
      <c r="F12" s="109" t="s">
        <v>146</v>
      </c>
      <c r="G12" s="109" t="s">
        <v>147</v>
      </c>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row>
    <row r="13" spans="1:32" ht="15" customHeight="1">
      <c r="A13" s="2"/>
      <c r="B13" s="110">
        <v>1990</v>
      </c>
      <c r="C13" s="110">
        <v>77.749999999999986</v>
      </c>
      <c r="D13" s="110">
        <v>1.7749999999999999</v>
      </c>
      <c r="E13" s="110">
        <v>2.17</v>
      </c>
      <c r="F13" s="110">
        <v>-0.48599999999999999</v>
      </c>
      <c r="G13" s="110">
        <v>9.0999999999999998E-2</v>
      </c>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row>
    <row r="14" spans="1:32" ht="15" customHeight="1">
      <c r="A14" s="2"/>
      <c r="B14" s="110">
        <v>1991</v>
      </c>
      <c r="C14" s="110">
        <v>77.325999999999979</v>
      </c>
      <c r="D14" s="110">
        <v>-0.42399999999999999</v>
      </c>
      <c r="E14" s="110">
        <v>0.13900000000000001</v>
      </c>
      <c r="F14" s="110">
        <v>-0.629</v>
      </c>
      <c r="G14" s="110">
        <v>6.6000000000000003E-2</v>
      </c>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row>
    <row r="15" spans="1:32" ht="15" customHeight="1">
      <c r="A15" s="2"/>
      <c r="B15" s="110">
        <v>1992</v>
      </c>
      <c r="C15" s="110">
        <v>78.787999999999982</v>
      </c>
      <c r="D15" s="110">
        <v>1.462</v>
      </c>
      <c r="E15" s="110">
        <v>1.992</v>
      </c>
      <c r="F15" s="110">
        <v>-0.57499999999999996</v>
      </c>
      <c r="G15" s="110">
        <v>4.4999999999999998E-2</v>
      </c>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row>
    <row r="16" spans="1:32" ht="15" customHeight="1">
      <c r="A16" s="2"/>
      <c r="B16" s="110">
        <v>1993</v>
      </c>
      <c r="C16" s="110">
        <v>79.950999999999979</v>
      </c>
      <c r="D16" s="110">
        <v>1.163</v>
      </c>
      <c r="E16" s="110">
        <v>1.665</v>
      </c>
      <c r="F16" s="110">
        <v>-0.53500000000000003</v>
      </c>
      <c r="G16" s="110">
        <v>3.3000000000000002E-2</v>
      </c>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row>
    <row r="17" spans="1:32" ht="15" customHeight="1">
      <c r="A17" s="2"/>
      <c r="B17" s="110">
        <v>1994</v>
      </c>
      <c r="C17" s="110">
        <v>81.604999999999976</v>
      </c>
      <c r="D17" s="110">
        <v>1.6539999999999999</v>
      </c>
      <c r="E17" s="110">
        <v>2.0619999999999998</v>
      </c>
      <c r="F17" s="110">
        <v>-0.45500000000000002</v>
      </c>
      <c r="G17" s="110">
        <v>4.7E-2</v>
      </c>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row>
    <row r="18" spans="1:32" ht="15" customHeight="1">
      <c r="A18" s="2"/>
      <c r="B18" s="110">
        <v>1995</v>
      </c>
      <c r="C18" s="110">
        <v>82.650999999999982</v>
      </c>
      <c r="D18" s="110">
        <v>1.046</v>
      </c>
      <c r="E18" s="110">
        <v>1.4339999999999999</v>
      </c>
      <c r="F18" s="110">
        <v>-0.42299999999999999</v>
      </c>
      <c r="G18" s="110">
        <v>3.5000000000000003E-2</v>
      </c>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row>
    <row r="19" spans="1:32" ht="15" customHeight="1">
      <c r="A19" s="2"/>
      <c r="B19" s="110">
        <v>1996</v>
      </c>
      <c r="C19" s="110">
        <v>84.711999999999989</v>
      </c>
      <c r="D19" s="110">
        <v>2.0609999999999999</v>
      </c>
      <c r="E19" s="110">
        <v>2.38</v>
      </c>
      <c r="F19" s="110">
        <v>-0.38500000000000001</v>
      </c>
      <c r="G19" s="110">
        <v>6.6000000000000003E-2</v>
      </c>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row>
    <row r="20" spans="1:32" ht="15" customHeight="1">
      <c r="A20" s="2"/>
      <c r="B20" s="110">
        <v>1997</v>
      </c>
      <c r="C20" s="110">
        <v>86.071999999999989</v>
      </c>
      <c r="D20" s="110">
        <v>1.36</v>
      </c>
      <c r="E20" s="110">
        <v>1.9039999999999999</v>
      </c>
      <c r="F20" s="110">
        <v>-0.56299999999999994</v>
      </c>
      <c r="G20" s="110">
        <v>1.9E-2</v>
      </c>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row>
    <row r="21" spans="1:32" ht="15" customHeight="1">
      <c r="A21" s="2"/>
      <c r="B21" s="110">
        <v>1998</v>
      </c>
      <c r="C21" s="110">
        <v>87.058999999999983</v>
      </c>
      <c r="D21" s="110">
        <v>0.98699999999999999</v>
      </c>
      <c r="E21" s="110">
        <v>1.6160000000000001</v>
      </c>
      <c r="F21" s="110">
        <v>-0.64500000000000002</v>
      </c>
      <c r="G21" s="110">
        <v>1.6E-2</v>
      </c>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row>
    <row r="22" spans="1:32" ht="15" customHeight="1">
      <c r="A22" s="2"/>
      <c r="B22" s="110">
        <v>1999</v>
      </c>
      <c r="C22" s="110">
        <v>87.842999999999989</v>
      </c>
      <c r="D22" s="110">
        <v>0.78400000000000003</v>
      </c>
      <c r="E22" s="110">
        <v>1.2929999999999999</v>
      </c>
      <c r="F22" s="110">
        <v>-0.52900000000000003</v>
      </c>
      <c r="G22" s="110">
        <v>0.02</v>
      </c>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row>
    <row r="23" spans="1:32" ht="15" customHeight="1">
      <c r="A23" s="2"/>
      <c r="B23" s="110">
        <v>2000</v>
      </c>
      <c r="C23" s="110">
        <v>90.038999999999987</v>
      </c>
      <c r="D23" s="110">
        <v>2.1960000000000002</v>
      </c>
      <c r="E23" s="110">
        <v>2.645</v>
      </c>
      <c r="F23" s="110">
        <v>-0.50600000000000001</v>
      </c>
      <c r="G23" s="110">
        <v>5.7000000000000002E-2</v>
      </c>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row>
    <row r="24" spans="1:32" ht="15" customHeight="1">
      <c r="A24" s="2"/>
      <c r="B24" s="110">
        <v>2001</v>
      </c>
      <c r="C24" s="110">
        <v>92.091999999999985</v>
      </c>
      <c r="D24" s="110">
        <v>2.0529999999999999</v>
      </c>
      <c r="E24" s="110">
        <v>2.6379999999999999</v>
      </c>
      <c r="F24" s="110">
        <v>-0.60399999999999998</v>
      </c>
      <c r="G24" s="110">
        <v>1.9E-2</v>
      </c>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row>
    <row r="25" spans="1:32" ht="15" customHeight="1">
      <c r="A25" s="2"/>
      <c r="B25" s="110">
        <v>2002</v>
      </c>
      <c r="C25" s="110">
        <v>92.387999999999991</v>
      </c>
      <c r="D25" s="110">
        <v>0.29599999999999999</v>
      </c>
      <c r="E25" s="110">
        <v>1.038</v>
      </c>
      <c r="F25" s="110">
        <v>-0.75700000000000001</v>
      </c>
      <c r="G25" s="110">
        <v>1.4999999999999999E-2</v>
      </c>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row>
    <row r="26" spans="1:32" ht="15" customHeight="1">
      <c r="A26" s="2"/>
      <c r="B26" s="110">
        <v>2003</v>
      </c>
      <c r="C26" s="110">
        <v>94.254999999999995</v>
      </c>
      <c r="D26" s="110">
        <v>1.867</v>
      </c>
      <c r="E26" s="110">
        <v>2.5139999999999998</v>
      </c>
      <c r="F26" s="110">
        <v>-0.68899999999999995</v>
      </c>
      <c r="G26" s="110">
        <v>4.2000000000000003E-2</v>
      </c>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row>
    <row r="27" spans="1:32" ht="15" customHeight="1">
      <c r="A27" s="2"/>
      <c r="B27" s="110">
        <v>2004</v>
      </c>
      <c r="C27" s="110">
        <v>96.039000000000001</v>
      </c>
      <c r="D27" s="110">
        <v>1.784</v>
      </c>
      <c r="E27" s="110">
        <v>2.3090000000000002</v>
      </c>
      <c r="F27" s="110">
        <v>-0.54600000000000004</v>
      </c>
      <c r="G27" s="110">
        <v>2.1000000000000001E-2</v>
      </c>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row>
    <row r="28" spans="1:32" ht="15" customHeight="1">
      <c r="A28" s="2"/>
      <c r="B28" s="110">
        <v>2005</v>
      </c>
      <c r="C28" s="110">
        <v>97.454000000000008</v>
      </c>
      <c r="D28" s="110">
        <v>1.415</v>
      </c>
      <c r="E28" s="110">
        <v>1.8480000000000001</v>
      </c>
      <c r="F28" s="110">
        <v>-0.46400000000000002</v>
      </c>
      <c r="G28" s="110">
        <v>3.1E-2</v>
      </c>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row>
    <row r="29" spans="1:32" ht="15" customHeight="1">
      <c r="A29" s="2"/>
      <c r="B29" s="110">
        <v>2006</v>
      </c>
      <c r="C29" s="110">
        <v>99.016000000000005</v>
      </c>
      <c r="D29" s="110">
        <v>1.5620000000000001</v>
      </c>
      <c r="E29" s="110">
        <v>1.95</v>
      </c>
      <c r="F29" s="110">
        <v>-0.41599999999999998</v>
      </c>
      <c r="G29" s="110">
        <v>2.8000000000000001E-2</v>
      </c>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row>
    <row r="30" spans="1:32" ht="15" customHeight="1">
      <c r="A30" s="2"/>
      <c r="B30" s="110">
        <v>2007</v>
      </c>
      <c r="C30" s="110">
        <v>99.903000000000006</v>
      </c>
      <c r="D30" s="110">
        <v>0.88700000000000001</v>
      </c>
      <c r="E30" s="110">
        <v>1.2729999999999999</v>
      </c>
      <c r="F30" s="110">
        <v>-0.40500000000000003</v>
      </c>
      <c r="G30" s="110">
        <v>1.9E-2</v>
      </c>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row>
    <row r="31" spans="1:32" ht="15" customHeight="1">
      <c r="A31" s="2"/>
      <c r="B31" s="110">
        <v>2008</v>
      </c>
      <c r="C31" s="110">
        <v>101.996</v>
      </c>
      <c r="D31" s="110">
        <v>2.093</v>
      </c>
      <c r="E31" s="110">
        <v>2.2850000000000001</v>
      </c>
      <c r="F31" s="110">
        <v>-0.214</v>
      </c>
      <c r="G31" s="110">
        <v>2.3E-2</v>
      </c>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row>
    <row r="32" spans="1:32" ht="15" customHeight="1">
      <c r="A32" s="2"/>
      <c r="B32" s="110">
        <v>2009</v>
      </c>
      <c r="C32" s="110">
        <v>104.76900000000001</v>
      </c>
      <c r="D32" s="110">
        <v>2.7730000000000001</v>
      </c>
      <c r="E32" s="110">
        <v>2.99</v>
      </c>
      <c r="F32" s="110">
        <v>-0.25</v>
      </c>
      <c r="G32" s="110">
        <v>3.3000000000000002E-2</v>
      </c>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row>
    <row r="33" spans="1:32" ht="15" customHeight="1">
      <c r="A33" s="2"/>
      <c r="B33" s="110">
        <v>2010</v>
      </c>
      <c r="C33" s="110">
        <v>105.93300000000001</v>
      </c>
      <c r="D33" s="110">
        <v>1.1639999999999999</v>
      </c>
      <c r="E33" s="110">
        <v>1.351</v>
      </c>
      <c r="F33" s="110">
        <v>-0.215</v>
      </c>
      <c r="G33" s="110">
        <v>2.8000000000000001E-2</v>
      </c>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row>
    <row r="34" spans="1:32" ht="15" customHeight="1">
      <c r="A34" s="2"/>
      <c r="B34" s="110">
        <v>2011</v>
      </c>
      <c r="C34" s="110">
        <v>107.676</v>
      </c>
      <c r="D34" s="110">
        <v>1.7430000000000001</v>
      </c>
      <c r="E34" s="110">
        <v>1.893</v>
      </c>
      <c r="F34" s="110">
        <v>-0.19700000000000001</v>
      </c>
      <c r="G34" s="110">
        <v>4.7E-2</v>
      </c>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row>
    <row r="35" spans="1:32" ht="15"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row>
    <row r="36" spans="1:32" ht="15"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row>
    <row r="37" spans="1:32" ht="14.4">
      <c r="A37" s="73"/>
      <c r="B37" s="108" t="s">
        <v>148</v>
      </c>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row>
    <row r="38" spans="1:32" ht="14.4">
      <c r="A38" s="73"/>
      <c r="B38" s="2326" t="s">
        <v>149</v>
      </c>
      <c r="C38" s="2243"/>
      <c r="D38" s="2243"/>
      <c r="E38" s="224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row>
    <row r="39" spans="1:32" ht="14.4">
      <c r="A39" s="73"/>
      <c r="B39" s="2326" t="s">
        <v>150</v>
      </c>
      <c r="C39" s="2243"/>
      <c r="D39" s="2243"/>
      <c r="E39" s="224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row>
    <row r="40" spans="1:32" ht="14.4">
      <c r="A40" s="73"/>
      <c r="B40" s="2327" t="s">
        <v>151</v>
      </c>
      <c r="C40" s="2243"/>
      <c r="D40" s="2243"/>
      <c r="E40" s="224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row>
    <row r="41" spans="1:32" ht="15"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row>
    <row r="42" spans="1:32" ht="15" customHeight="1">
      <c r="A42" s="73"/>
      <c r="B42" s="2318" t="s">
        <v>152</v>
      </c>
      <c r="C42" s="2310"/>
      <c r="D42" s="2310"/>
      <c r="E42" s="2310"/>
      <c r="F42" s="59"/>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row>
    <row r="43" spans="1:32" ht="15" customHeight="1">
      <c r="A43" s="2"/>
      <c r="B43" s="111" t="s">
        <v>153</v>
      </c>
      <c r="C43" s="2321" t="s">
        <v>154</v>
      </c>
      <c r="D43" s="2312"/>
      <c r="E43" s="113">
        <v>2006</v>
      </c>
      <c r="F43" s="114">
        <v>2011</v>
      </c>
      <c r="G43" s="2158"/>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row>
    <row r="44" spans="1:32" ht="15" customHeight="1">
      <c r="A44" s="2"/>
      <c r="B44" s="115" t="s">
        <v>155</v>
      </c>
      <c r="C44" s="2317" t="s">
        <v>156</v>
      </c>
      <c r="D44" s="2312"/>
      <c r="E44" s="3">
        <v>-0.53</v>
      </c>
      <c r="F44" s="80">
        <v>-0.55000000000000004</v>
      </c>
      <c r="G44" s="2159"/>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row>
    <row r="45" spans="1:32" ht="15" customHeight="1">
      <c r="A45" s="2"/>
      <c r="B45" s="115" t="s">
        <v>155</v>
      </c>
      <c r="C45" s="2317" t="s">
        <v>157</v>
      </c>
      <c r="D45" s="2312"/>
      <c r="E45" s="3">
        <v>-0.03</v>
      </c>
      <c r="F45" s="80">
        <v>-0.02</v>
      </c>
      <c r="G45" s="2159"/>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row>
    <row r="46" spans="1:32" ht="15" customHeight="1">
      <c r="A46" s="2"/>
      <c r="B46" s="115" t="s">
        <v>155</v>
      </c>
      <c r="C46" s="2317" t="s">
        <v>158</v>
      </c>
      <c r="D46" s="2312"/>
      <c r="E46" s="3">
        <v>0.16</v>
      </c>
      <c r="F46" s="80">
        <v>0.11</v>
      </c>
      <c r="G46" s="2159"/>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r="47" spans="1:32" ht="15" customHeight="1">
      <c r="A47" s="2"/>
      <c r="B47" s="115" t="s">
        <v>155</v>
      </c>
      <c r="C47" s="2317" t="s">
        <v>159</v>
      </c>
      <c r="D47" s="2312"/>
      <c r="E47" s="3">
        <v>0</v>
      </c>
      <c r="F47" s="80">
        <v>0</v>
      </c>
      <c r="G47" s="2159"/>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r="48" spans="1:32" ht="15"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r="49" spans="1:32" ht="15" customHeight="1">
      <c r="A49" s="73"/>
      <c r="B49" s="2318" t="s">
        <v>160</v>
      </c>
      <c r="C49" s="2310"/>
      <c r="D49" s="2310"/>
      <c r="E49" s="2310"/>
      <c r="F49" s="2310"/>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r="50" spans="1:32" ht="15" customHeight="1">
      <c r="A50" s="2"/>
      <c r="B50" s="111" t="s">
        <v>153</v>
      </c>
      <c r="C50" s="111" t="s">
        <v>161</v>
      </c>
      <c r="D50" s="111" t="s">
        <v>162</v>
      </c>
      <c r="E50" s="113">
        <v>2006</v>
      </c>
      <c r="F50" s="114">
        <v>2011</v>
      </c>
      <c r="G50" s="2158"/>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r="51" spans="1:32" ht="15" customHeight="1">
      <c r="A51" s="2"/>
      <c r="B51" s="115" t="s">
        <v>155</v>
      </c>
      <c r="C51" s="115" t="s">
        <v>163</v>
      </c>
      <c r="D51" s="115" t="s">
        <v>164</v>
      </c>
      <c r="E51" s="3">
        <v>-0.04</v>
      </c>
      <c r="F51" s="80">
        <v>-0.04</v>
      </c>
      <c r="G51" s="2159"/>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r="52" spans="1:32" ht="15" customHeight="1">
      <c r="A52" s="2"/>
      <c r="B52" s="115" t="s">
        <v>155</v>
      </c>
      <c r="C52" s="115" t="s">
        <v>163</v>
      </c>
      <c r="D52" s="115" t="s">
        <v>165</v>
      </c>
      <c r="E52" s="3">
        <v>-0.11</v>
      </c>
      <c r="F52" s="80">
        <v>-0.1</v>
      </c>
      <c r="G52" s="2159"/>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r="53" spans="1:32" ht="15" customHeight="1">
      <c r="A53" s="2"/>
      <c r="B53" s="115" t="s">
        <v>155</v>
      </c>
      <c r="C53" s="115" t="s">
        <v>163</v>
      </c>
      <c r="D53" s="115" t="s">
        <v>166</v>
      </c>
      <c r="E53" s="3">
        <v>0</v>
      </c>
      <c r="F53" s="80">
        <v>0</v>
      </c>
      <c r="G53" s="2159"/>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r="54" spans="1:32" ht="15"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r="55" spans="1:32" ht="15" customHeight="1">
      <c r="A55" s="73"/>
      <c r="B55" s="2318" t="s">
        <v>167</v>
      </c>
      <c r="C55" s="2310"/>
      <c r="D55" s="2310"/>
      <c r="E55" s="2310"/>
      <c r="F55" s="2310"/>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r="56" spans="1:32" ht="15" customHeight="1">
      <c r="A56" s="2"/>
      <c r="B56" s="111" t="s">
        <v>153</v>
      </c>
      <c r="C56" s="111" t="s">
        <v>161</v>
      </c>
      <c r="D56" s="111" t="s">
        <v>162</v>
      </c>
      <c r="E56" s="113">
        <v>2006</v>
      </c>
      <c r="F56" s="114">
        <v>2011</v>
      </c>
      <c r="G56" s="2158"/>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r="57" spans="1:32" ht="12">
      <c r="A57" s="2"/>
      <c r="B57" s="115" t="s">
        <v>155</v>
      </c>
      <c r="C57" s="115" t="s">
        <v>163</v>
      </c>
      <c r="D57" s="115" t="s">
        <v>164</v>
      </c>
      <c r="E57" s="3">
        <v>0.09</v>
      </c>
      <c r="F57" s="80">
        <v>0.09</v>
      </c>
      <c r="G57" s="2159"/>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r="58" spans="1:32" ht="12">
      <c r="A58" s="2"/>
      <c r="B58" s="115" t="s">
        <v>155</v>
      </c>
      <c r="C58" s="115" t="s">
        <v>163</v>
      </c>
      <c r="D58" s="115" t="s">
        <v>165</v>
      </c>
      <c r="E58" s="3">
        <v>0.22</v>
      </c>
      <c r="F58" s="80">
        <v>0.22</v>
      </c>
      <c r="G58" s="2159"/>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r="59" spans="1:32" ht="12">
      <c r="A59" s="2"/>
      <c r="B59" s="115" t="s">
        <v>155</v>
      </c>
      <c r="C59" s="115" t="s">
        <v>163</v>
      </c>
      <c r="D59" s="115" t="s">
        <v>166</v>
      </c>
      <c r="E59" s="3">
        <v>0.02</v>
      </c>
      <c r="F59" s="80">
        <v>0.02</v>
      </c>
      <c r="G59" s="2159"/>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r="60" spans="1:32" ht="10.199999999999999">
      <c r="A60" s="73"/>
      <c r="B60" s="73" t="s">
        <v>168</v>
      </c>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r="61" spans="1:32" ht="14.4">
      <c r="A61" s="73"/>
      <c r="B61" s="108"/>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r="62" spans="1:32" ht="14.4">
      <c r="A62" s="73"/>
      <c r="B62" s="118" t="s">
        <v>169</v>
      </c>
      <c r="C62" s="118"/>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r="63" spans="1:32" ht="12">
      <c r="A63" s="2"/>
      <c r="B63" s="111" t="s">
        <v>170</v>
      </c>
      <c r="C63" s="116">
        <v>2011</v>
      </c>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r="64" spans="1:32" ht="12">
      <c r="A64" s="2"/>
      <c r="B64" s="115" t="s">
        <v>171</v>
      </c>
      <c r="C64" s="117">
        <f>-D34*(44/12)</f>
        <v>-6.391</v>
      </c>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r="65" spans="1:32" ht="12">
      <c r="A65" s="2"/>
      <c r="B65" s="115" t="s">
        <v>172</v>
      </c>
      <c r="C65" s="117">
        <f>C64*0.196</f>
        <v>-1.2526360000000001</v>
      </c>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row>
    <row r="66" spans="1:32" ht="12">
      <c r="A66" s="2"/>
      <c r="B66" s="115" t="s">
        <v>173</v>
      </c>
      <c r="C66" s="117">
        <f t="shared" ref="C66:C68" si="0">F44+F51+F57</f>
        <v>-0.50000000000000011</v>
      </c>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row>
    <row r="67" spans="1:32" ht="12">
      <c r="A67" s="2"/>
      <c r="B67" s="115" t="s">
        <v>174</v>
      </c>
      <c r="C67" s="117">
        <f t="shared" si="0"/>
        <v>9.9999999999999992E-2</v>
      </c>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row>
    <row r="68" spans="1:32" ht="12">
      <c r="A68" s="2"/>
      <c r="B68" s="115" t="s">
        <v>175</v>
      </c>
      <c r="C68" s="117">
        <f t="shared" si="0"/>
        <v>0.13</v>
      </c>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row>
    <row r="69" spans="1:32" ht="12">
      <c r="A69" s="2"/>
      <c r="B69" s="115" t="s">
        <v>176</v>
      </c>
      <c r="C69" s="117">
        <f>F47</f>
        <v>0</v>
      </c>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row>
    <row r="70" spans="1:32" ht="12">
      <c r="A70" s="2"/>
      <c r="B70" s="111" t="s">
        <v>177</v>
      </c>
      <c r="C70" s="117">
        <f>SUM(C64:C69)</f>
        <v>-7.9136360000000012</v>
      </c>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row>
    <row r="71" spans="1:32" ht="10.199999999999999">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row>
    <row r="72" spans="1:32" ht="10.199999999999999">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row>
    <row r="73" spans="1:32" ht="14.4">
      <c r="A73" s="73"/>
      <c r="B73" s="106" t="s">
        <v>59</v>
      </c>
      <c r="C73" s="107"/>
      <c r="D73" s="107"/>
      <c r="E73" s="107"/>
      <c r="F73" s="107"/>
      <c r="G73" s="107"/>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row>
    <row r="74" spans="1:32" ht="10.199999999999999">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row>
    <row r="75" spans="1:32" ht="14.4">
      <c r="A75" s="73"/>
      <c r="B75" s="118" t="s">
        <v>178</v>
      </c>
      <c r="C75" s="59"/>
      <c r="D75" s="59"/>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row>
    <row r="76" spans="1:32" ht="14.4">
      <c r="A76" s="2"/>
      <c r="B76" s="119" t="s">
        <v>179</v>
      </c>
      <c r="C76" s="120">
        <v>2006</v>
      </c>
      <c r="D76" s="121">
        <v>2011</v>
      </c>
      <c r="E76" s="2158"/>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row>
    <row r="77" spans="1:32" ht="12">
      <c r="A77" s="2"/>
      <c r="B77" s="122" t="s">
        <v>178</v>
      </c>
      <c r="C77" s="123">
        <v>-0.18467683894012488</v>
      </c>
      <c r="D77" s="124">
        <v>-0.21822819744427552</v>
      </c>
      <c r="E77" s="2160"/>
      <c r="F77" s="2161"/>
      <c r="G77" s="2161"/>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row>
    <row r="78" spans="1:32" ht="12">
      <c r="A78" s="2"/>
      <c r="B78" s="125" t="s">
        <v>180</v>
      </c>
      <c r="C78" s="126">
        <v>-8.4802520728281365E-3</v>
      </c>
      <c r="D78" s="127">
        <v>-1.2684842167839765E-2</v>
      </c>
      <c r="E78" s="2162"/>
      <c r="F78" s="2161"/>
      <c r="G78" s="2161"/>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row>
    <row r="79" spans="1:32" ht="12">
      <c r="A79" s="2"/>
      <c r="B79" s="125" t="s">
        <v>181</v>
      </c>
      <c r="C79" s="126">
        <v>-6.1942198859260007E-2</v>
      </c>
      <c r="D79" s="127">
        <v>-7.0873721137987705E-2</v>
      </c>
      <c r="E79" s="2162"/>
      <c r="F79" s="2161"/>
      <c r="G79" s="2161"/>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row>
    <row r="80" spans="1:32" ht="12">
      <c r="A80" s="2"/>
      <c r="B80" s="125" t="s">
        <v>182</v>
      </c>
      <c r="C80" s="126">
        <v>-5.6039595623909609E-2</v>
      </c>
      <c r="D80" s="127">
        <v>-6.4577261430635649E-2</v>
      </c>
      <c r="E80" s="2162"/>
      <c r="F80" s="2161"/>
      <c r="G80" s="2161"/>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row>
    <row r="81" spans="1:32" ht="12">
      <c r="A81" s="2"/>
      <c r="B81" s="125" t="s">
        <v>183</v>
      </c>
      <c r="C81" s="126">
        <v>-5.821479238412712E-2</v>
      </c>
      <c r="D81" s="127">
        <v>-7.0092372707812392E-2</v>
      </c>
      <c r="E81" s="2162"/>
      <c r="F81" s="2161"/>
      <c r="G81" s="2161"/>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row>
    <row r="82" spans="1:32" ht="10.199999999999999">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row>
    <row r="83" spans="1:32" ht="14.4">
      <c r="A83" s="73"/>
      <c r="B83" s="108" t="s">
        <v>184</v>
      </c>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row>
    <row r="84" spans="1:32" ht="10.199999999999999">
      <c r="A84" s="73"/>
      <c r="B84" s="2319" t="s">
        <v>185</v>
      </c>
      <c r="C84" s="2310"/>
      <c r="D84" s="2310"/>
      <c r="E84" s="216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row>
    <row r="85" spans="1:32" ht="10.199999999999999">
      <c r="A85" s="2"/>
      <c r="B85" s="70"/>
      <c r="C85" s="128">
        <v>2006</v>
      </c>
      <c r="D85" s="129">
        <v>2011</v>
      </c>
      <c r="E85" s="2164"/>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row>
    <row r="86" spans="1:32" ht="10.199999999999999">
      <c r="A86" s="2"/>
      <c r="B86" s="130" t="s">
        <v>186</v>
      </c>
      <c r="C86" s="131">
        <v>-0.72</v>
      </c>
      <c r="D86" s="132">
        <v>-0.72</v>
      </c>
      <c r="E86" s="2165"/>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row>
    <row r="87" spans="1:32" ht="10.199999999999999">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row>
    <row r="88" spans="1:32" ht="10.199999999999999">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row>
    <row r="89" spans="1:32" ht="10.199999999999999">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row>
    <row r="90" spans="1:32" ht="14.4">
      <c r="A90" s="73"/>
      <c r="B90" s="106" t="s">
        <v>60</v>
      </c>
      <c r="C90" s="107"/>
      <c r="D90" s="107"/>
      <c r="E90" s="107"/>
      <c r="F90" s="107"/>
      <c r="G90" s="107"/>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row>
    <row r="91" spans="1:32" ht="10.199999999999999">
      <c r="A91" s="73"/>
      <c r="B91" s="59"/>
      <c r="C91" s="59"/>
      <c r="D91" s="59"/>
      <c r="E91" s="59"/>
      <c r="F91" s="59"/>
      <c r="G91" s="59"/>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row>
    <row r="92" spans="1:32" ht="36">
      <c r="A92" s="2"/>
      <c r="B92" s="110" t="s">
        <v>92</v>
      </c>
      <c r="C92" s="110" t="s">
        <v>187</v>
      </c>
      <c r="D92" s="110" t="s">
        <v>188</v>
      </c>
      <c r="E92" s="110" t="s">
        <v>189</v>
      </c>
      <c r="F92" s="110" t="s">
        <v>190</v>
      </c>
      <c r="G92" s="110" t="s">
        <v>191</v>
      </c>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row>
    <row r="93" spans="1:32" ht="12">
      <c r="A93" s="2"/>
      <c r="B93" s="110">
        <v>2011</v>
      </c>
      <c r="C93" s="133">
        <v>3993</v>
      </c>
      <c r="D93" s="134">
        <v>0.01</v>
      </c>
      <c r="E93" s="110">
        <v>1.57</v>
      </c>
      <c r="F93" s="133">
        <f t="shared" ref="F93:F94" si="1">K$6</f>
        <v>265</v>
      </c>
      <c r="G93" s="135">
        <f t="shared" ref="G93:G94" si="2">C93*D93*E93*F93/1000000</f>
        <v>1.6612876499999998E-2</v>
      </c>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row>
    <row r="94" spans="1:32" ht="12">
      <c r="A94" s="2"/>
      <c r="B94" s="110">
        <v>2006</v>
      </c>
      <c r="C94" s="133">
        <v>4686</v>
      </c>
      <c r="D94" s="134">
        <v>0.01</v>
      </c>
      <c r="E94" s="110">
        <v>1.57</v>
      </c>
      <c r="F94" s="133">
        <f t="shared" si="1"/>
        <v>265</v>
      </c>
      <c r="G94" s="135">
        <f t="shared" si="2"/>
        <v>1.9496103000000001E-2</v>
      </c>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row>
    <row r="95" spans="1:32" ht="10.199999999999999">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row>
    <row r="96" spans="1:32" ht="10.199999999999999">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row>
    <row r="97" spans="1:32" ht="10.199999999999999">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row>
    <row r="98" spans="1:32" ht="14.4">
      <c r="A98" s="73"/>
      <c r="B98" s="106" t="s">
        <v>61</v>
      </c>
      <c r="C98" s="107"/>
      <c r="D98" s="107"/>
      <c r="E98" s="107"/>
      <c r="F98" s="107"/>
      <c r="G98" s="107"/>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row>
    <row r="99" spans="1:32" ht="10.199999999999999">
      <c r="A99" s="73"/>
      <c r="B99" s="73"/>
      <c r="C99" s="59"/>
      <c r="D99" s="59"/>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row>
    <row r="100" spans="1:32" ht="10.199999999999999">
      <c r="A100" s="73"/>
      <c r="B100" s="70"/>
      <c r="C100" s="2320" t="s">
        <v>192</v>
      </c>
      <c r="D100" s="2287"/>
      <c r="E100" s="2166"/>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row>
    <row r="101" spans="1:32" ht="10.199999999999999">
      <c r="A101" s="2"/>
      <c r="B101" s="70"/>
      <c r="C101" s="136">
        <v>2006</v>
      </c>
      <c r="D101" s="137">
        <v>2011</v>
      </c>
      <c r="E101" s="2166"/>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row>
    <row r="102" spans="1:32" ht="10.199999999999999">
      <c r="A102" s="2"/>
      <c r="B102" s="138" t="s">
        <v>193</v>
      </c>
      <c r="C102" s="139">
        <v>2458</v>
      </c>
      <c r="D102" s="140">
        <v>3363</v>
      </c>
      <c r="E102" s="2167"/>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row>
    <row r="103" spans="1:32" ht="10.199999999999999">
      <c r="A103" s="2"/>
      <c r="B103" s="141" t="s">
        <v>194</v>
      </c>
      <c r="C103" s="142">
        <v>152440</v>
      </c>
      <c r="D103" s="143">
        <v>152440</v>
      </c>
      <c r="E103" s="2168"/>
      <c r="F103" s="189"/>
      <c r="G103" s="189"/>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row>
    <row r="104" spans="1:32" ht="10.199999999999999">
      <c r="A104" s="2"/>
      <c r="B104" s="141" t="s">
        <v>195</v>
      </c>
      <c r="C104" s="144">
        <v>0.45</v>
      </c>
      <c r="D104" s="145">
        <v>0.45</v>
      </c>
      <c r="E104" s="2169"/>
      <c r="F104" s="2170"/>
      <c r="G104" s="2170"/>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row>
    <row r="105" spans="1:32" ht="10.199999999999999">
      <c r="A105" s="2"/>
      <c r="B105" s="141"/>
      <c r="C105" s="139"/>
      <c r="D105" s="140"/>
      <c r="E105" s="2167"/>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row>
    <row r="106" spans="1:32" ht="10.199999999999999">
      <c r="A106" s="2"/>
      <c r="B106" s="141" t="s">
        <v>196</v>
      </c>
      <c r="C106" s="139">
        <v>0.11</v>
      </c>
      <c r="D106" s="140">
        <v>0.11</v>
      </c>
      <c r="E106" s="2167"/>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row>
    <row r="107" spans="1:32" ht="10.199999999999999">
      <c r="A107" s="2"/>
      <c r="B107" s="138" t="s">
        <v>197</v>
      </c>
      <c r="C107" s="146">
        <f t="shared" ref="C107:D107" si="3">C102*C103*C104*C106/1000000</f>
        <v>18.547527239999997</v>
      </c>
      <c r="D107" s="147">
        <f t="shared" si="3"/>
        <v>25.37645814</v>
      </c>
      <c r="E107" s="2171"/>
      <c r="F107" s="2172"/>
      <c r="G107" s="2172"/>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row>
    <row r="108" spans="1:32" ht="10.199999999999999">
      <c r="A108" s="2"/>
      <c r="B108" s="70"/>
      <c r="C108" s="148"/>
      <c r="D108" s="149"/>
      <c r="E108" s="189"/>
      <c r="F108" s="189"/>
      <c r="G108" s="189"/>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row>
    <row r="109" spans="1:32" ht="10.199999999999999">
      <c r="A109" s="2"/>
      <c r="B109" s="141" t="s">
        <v>196</v>
      </c>
      <c r="C109" s="139">
        <v>8.1</v>
      </c>
      <c r="D109" s="140">
        <v>8.1</v>
      </c>
      <c r="E109" s="2167"/>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row>
    <row r="110" spans="1:32" ht="10.199999999999999">
      <c r="A110" s="2"/>
      <c r="B110" s="138" t="s">
        <v>198</v>
      </c>
      <c r="C110" s="150">
        <f t="shared" ref="C110:D110" si="4">(C102*C103*C104*C109)/1000000</f>
        <v>1365.7724603999998</v>
      </c>
      <c r="D110" s="151">
        <f t="shared" si="4"/>
        <v>1868.6300993999998</v>
      </c>
      <c r="E110" s="2173"/>
      <c r="F110" s="2174"/>
      <c r="G110" s="2174"/>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row>
    <row r="111" spans="1:32" ht="10.199999999999999">
      <c r="A111" s="73"/>
      <c r="B111" s="59"/>
      <c r="C111" s="59"/>
      <c r="D111" s="59"/>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row>
    <row r="112" spans="1:32" ht="10.199999999999999">
      <c r="A112" s="2"/>
      <c r="B112" s="70"/>
      <c r="C112" s="2320" t="s">
        <v>199</v>
      </c>
      <c r="D112" s="2287"/>
      <c r="E112" s="2166"/>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row>
    <row r="113" spans="1:32" ht="10.199999999999999">
      <c r="A113" s="2"/>
      <c r="B113" s="70"/>
      <c r="C113" s="136">
        <v>2006</v>
      </c>
      <c r="D113" s="137">
        <v>2011</v>
      </c>
      <c r="E113" s="2166"/>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row>
    <row r="114" spans="1:32" ht="10.199999999999999">
      <c r="A114" s="2"/>
      <c r="B114" s="138" t="s">
        <v>193</v>
      </c>
      <c r="C114" s="139">
        <v>202.7</v>
      </c>
      <c r="D114" s="140">
        <v>295.2</v>
      </c>
      <c r="E114" s="2167"/>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row>
    <row r="115" spans="1:32" ht="10.199999999999999">
      <c r="A115" s="2"/>
      <c r="B115" s="141" t="s">
        <v>194</v>
      </c>
      <c r="C115" s="142">
        <v>152440</v>
      </c>
      <c r="D115" s="143">
        <v>152440</v>
      </c>
      <c r="E115" s="2168"/>
      <c r="F115" s="189"/>
      <c r="G115" s="189"/>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row>
    <row r="116" spans="1:32" ht="10.199999999999999">
      <c r="A116" s="2"/>
      <c r="B116" s="141" t="s">
        <v>195</v>
      </c>
      <c r="C116" s="144">
        <v>0.72</v>
      </c>
      <c r="D116" s="145">
        <v>0.72</v>
      </c>
      <c r="E116" s="2169"/>
      <c r="F116" s="2170"/>
      <c r="G116" s="2170"/>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row>
    <row r="117" spans="1:32" ht="10.199999999999999">
      <c r="A117" s="2"/>
      <c r="B117" s="141"/>
      <c r="C117" s="139"/>
      <c r="D117" s="140"/>
      <c r="E117" s="2167"/>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row>
    <row r="118" spans="1:32" ht="10.199999999999999">
      <c r="A118" s="2"/>
      <c r="B118" s="141" t="s">
        <v>196</v>
      </c>
      <c r="C118" s="139">
        <v>0.11</v>
      </c>
      <c r="D118" s="140">
        <v>0.11</v>
      </c>
      <c r="E118" s="2167"/>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row>
    <row r="119" spans="1:32" ht="10.199999999999999">
      <c r="A119" s="2"/>
      <c r="B119" s="138" t="s">
        <v>197</v>
      </c>
      <c r="C119" s="146">
        <f t="shared" ref="C119:D119" si="5">C114*C115*C116*C118/1000000</f>
        <v>2.4472473695999999</v>
      </c>
      <c r="D119" s="147">
        <f t="shared" si="5"/>
        <v>3.5640228096</v>
      </c>
      <c r="E119" s="2171"/>
      <c r="F119" s="2172"/>
      <c r="G119" s="2172"/>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row>
    <row r="120" spans="1:32" ht="10.199999999999999">
      <c r="A120" s="2"/>
      <c r="B120" s="70"/>
      <c r="C120" s="148"/>
      <c r="D120" s="149"/>
      <c r="E120" s="189"/>
      <c r="F120" s="189"/>
      <c r="G120" s="189"/>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row>
    <row r="121" spans="1:32" ht="10.199999999999999">
      <c r="A121" s="2"/>
      <c r="B121" s="141" t="s">
        <v>196</v>
      </c>
      <c r="C121" s="139">
        <v>8.1</v>
      </c>
      <c r="D121" s="140">
        <v>8.1</v>
      </c>
      <c r="E121" s="2167"/>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row>
    <row r="122" spans="1:32" ht="10.199999999999999">
      <c r="A122" s="2"/>
      <c r="B122" s="138" t="s">
        <v>198</v>
      </c>
      <c r="C122" s="150">
        <f t="shared" ref="C122:D122" si="6">(C114*C115*C116*C121)/1000000</f>
        <v>180.206397216</v>
      </c>
      <c r="D122" s="151">
        <f t="shared" si="6"/>
        <v>262.44167961599999</v>
      </c>
      <c r="E122" s="2173"/>
      <c r="F122" s="2174"/>
      <c r="G122" s="2174"/>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row>
    <row r="123" spans="1:32" ht="10.199999999999999">
      <c r="A123" s="73"/>
      <c r="B123" s="59"/>
      <c r="C123" s="59"/>
      <c r="D123" s="59"/>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row>
    <row r="124" spans="1:32" ht="10.199999999999999">
      <c r="A124" s="2"/>
      <c r="B124" s="70"/>
      <c r="C124" s="136">
        <v>2006</v>
      </c>
      <c r="D124" s="137">
        <v>2011</v>
      </c>
      <c r="E124" s="2166"/>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row>
    <row r="125" spans="1:32" ht="10.199999999999999">
      <c r="A125" s="2"/>
      <c r="B125" s="138" t="s">
        <v>198</v>
      </c>
      <c r="C125" s="152">
        <f t="shared" ref="C125:D125" si="7">C122+C110</f>
        <v>1545.9788576159997</v>
      </c>
      <c r="D125" s="153">
        <f t="shared" si="7"/>
        <v>2131.0717790159997</v>
      </c>
      <c r="E125" s="2175"/>
      <c r="F125" s="2174"/>
      <c r="G125" s="2174"/>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row>
    <row r="126" spans="1:32" ht="10.199999999999999">
      <c r="A126" s="2"/>
      <c r="B126" s="138" t="s">
        <v>200</v>
      </c>
      <c r="C126" s="2183">
        <f>$K$5</f>
        <v>28</v>
      </c>
      <c r="D126" s="2183">
        <f>$K$5</f>
        <v>28</v>
      </c>
      <c r="E126" s="2167"/>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row>
    <row r="127" spans="1:32" ht="10.199999999999999">
      <c r="A127" s="2"/>
      <c r="B127" s="138" t="s">
        <v>201</v>
      </c>
      <c r="C127" s="154">
        <f t="shared" ref="C127:D127" si="8">(C125*C126)/1000000</f>
        <v>4.3287408013247992E-2</v>
      </c>
      <c r="D127" s="155">
        <f t="shared" si="8"/>
        <v>5.9670009812447994E-2</v>
      </c>
      <c r="E127" s="2171"/>
      <c r="F127" s="2172"/>
      <c r="G127" s="2172"/>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row>
    <row r="128" spans="1:32" ht="10.199999999999999">
      <c r="A128" s="2"/>
      <c r="B128" s="138" t="s">
        <v>197</v>
      </c>
      <c r="C128" s="156">
        <f t="shared" ref="C128:D128" si="9">C107+C119</f>
        <v>20.994774609599997</v>
      </c>
      <c r="D128" s="157">
        <f t="shared" si="9"/>
        <v>28.940480949600001</v>
      </c>
      <c r="E128" s="2176"/>
      <c r="F128" s="2172"/>
      <c r="G128" s="2172"/>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row>
    <row r="129" spans="1:32" ht="10.199999999999999">
      <c r="A129" s="2"/>
      <c r="B129" s="138" t="s">
        <v>190</v>
      </c>
      <c r="C129" s="2183">
        <f>$K$6</f>
        <v>265</v>
      </c>
      <c r="D129" s="2183">
        <f>$K$6</f>
        <v>265</v>
      </c>
      <c r="E129" s="2167"/>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row>
    <row r="130" spans="1:32" ht="10.199999999999999">
      <c r="A130" s="2"/>
      <c r="B130" s="138" t="s">
        <v>201</v>
      </c>
      <c r="C130" s="154">
        <f t="shared" ref="C130:D130" si="10">(C128*C129)/1000000</f>
        <v>5.5636152715439991E-3</v>
      </c>
      <c r="D130" s="155">
        <f t="shared" si="10"/>
        <v>7.6692274516439998E-3</v>
      </c>
      <c r="E130" s="2171"/>
      <c r="F130" s="2172"/>
      <c r="G130" s="2172"/>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row>
    <row r="131" spans="1:32" ht="10.199999999999999">
      <c r="A131" s="2"/>
      <c r="B131" s="70"/>
      <c r="C131" s="139"/>
      <c r="D131" s="140"/>
      <c r="E131" s="2167"/>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row>
    <row r="132" spans="1:32" ht="10.199999999999999">
      <c r="A132" s="2"/>
      <c r="B132" s="70" t="s">
        <v>202</v>
      </c>
      <c r="C132" s="146">
        <f t="shared" ref="C132:D132" si="11">C127+C130</f>
        <v>4.8851023284791989E-2</v>
      </c>
      <c r="D132" s="147">
        <f t="shared" si="11"/>
        <v>6.7339237264091995E-2</v>
      </c>
      <c r="E132" s="2171"/>
      <c r="F132" s="2172"/>
      <c r="G132" s="2172"/>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row>
    <row r="133" spans="1:32" ht="10.199999999999999">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row>
    <row r="134" spans="1:32" ht="10.199999999999999">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row>
    <row r="135" spans="1:32" ht="14.4">
      <c r="A135" s="73"/>
      <c r="B135" s="106" t="s">
        <v>62</v>
      </c>
      <c r="C135" s="107"/>
      <c r="D135" s="107"/>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row>
    <row r="136" spans="1:32" ht="10.199999999999999">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row>
    <row r="137" spans="1:32" ht="12">
      <c r="A137" s="73"/>
      <c r="B137" s="112" t="s">
        <v>203</v>
      </c>
      <c r="C137" s="59"/>
      <c r="D137" s="59"/>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row>
    <row r="138" spans="1:32" ht="10.199999999999999">
      <c r="A138" s="2"/>
      <c r="B138" s="70"/>
      <c r="C138" s="158">
        <v>2006</v>
      </c>
      <c r="D138" s="159">
        <v>2011</v>
      </c>
      <c r="E138" s="2177"/>
      <c r="F138" s="73"/>
      <c r="G138" s="73"/>
      <c r="H138" s="2243"/>
      <c r="I138" s="2243"/>
      <c r="J138" s="2243"/>
      <c r="K138" s="73"/>
      <c r="L138" s="73"/>
      <c r="M138" s="73"/>
      <c r="N138" s="73"/>
      <c r="O138" s="73"/>
      <c r="P138" s="73"/>
      <c r="Q138" s="73"/>
      <c r="R138" s="73"/>
      <c r="S138" s="73"/>
      <c r="T138" s="73"/>
      <c r="U138" s="73"/>
      <c r="V138" s="73"/>
      <c r="W138" s="73"/>
      <c r="X138" s="73"/>
      <c r="Y138" s="73"/>
      <c r="Z138" s="73"/>
      <c r="AA138" s="73"/>
      <c r="AB138" s="73"/>
      <c r="AC138" s="73"/>
      <c r="AD138" s="73"/>
      <c r="AE138" s="73"/>
      <c r="AF138" s="73"/>
    </row>
    <row r="139" spans="1:32" ht="10.199999999999999">
      <c r="A139" s="2"/>
      <c r="B139" s="160" t="s">
        <v>177</v>
      </c>
      <c r="C139" s="161">
        <v>-0.39400000000000002</v>
      </c>
      <c r="D139" s="162">
        <v>-0.29799999999999999</v>
      </c>
      <c r="E139" s="2177"/>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row>
    <row r="140" spans="1:32" ht="10.199999999999999">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row>
    <row r="141" spans="1:32" ht="10.199999999999999">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row>
    <row r="142" spans="1:32" ht="10.199999999999999">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row>
    <row r="143" spans="1:32" ht="14.4">
      <c r="A143" s="73"/>
      <c r="B143" s="106" t="s">
        <v>204</v>
      </c>
      <c r="C143" s="107"/>
      <c r="D143" s="107"/>
      <c r="E143" s="73"/>
      <c r="F143" s="73"/>
      <c r="G143" s="73"/>
      <c r="H143" s="73"/>
      <c r="I143" s="73"/>
      <c r="J143" s="73"/>
      <c r="K143" s="73"/>
      <c r="L143" s="73"/>
      <c r="M143" s="4"/>
      <c r="N143" s="4"/>
      <c r="O143" s="4"/>
      <c r="P143" s="4"/>
      <c r="Q143" s="4"/>
      <c r="R143" s="4"/>
      <c r="S143" s="4"/>
      <c r="T143" s="73"/>
      <c r="U143" s="73"/>
      <c r="V143" s="73"/>
      <c r="W143" s="73"/>
      <c r="X143" s="73"/>
      <c r="Y143" s="73"/>
      <c r="Z143" s="73"/>
      <c r="AA143" s="73"/>
      <c r="AB143" s="73"/>
      <c r="AC143" s="73"/>
      <c r="AD143" s="73"/>
      <c r="AE143" s="73"/>
      <c r="AF143" s="73"/>
    </row>
    <row r="144" spans="1:32" ht="10.199999999999999">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row>
    <row r="145" spans="1:32" ht="14.4">
      <c r="A145" s="73"/>
      <c r="B145" s="108" t="s">
        <v>205</v>
      </c>
      <c r="C145" s="73"/>
      <c r="D145" s="59"/>
      <c r="E145" s="59"/>
      <c r="F145" s="59"/>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row>
    <row r="146" spans="1:32" ht="12">
      <c r="A146" s="73"/>
      <c r="B146" s="59"/>
      <c r="C146" s="70"/>
      <c r="D146" s="2308" t="s">
        <v>206</v>
      </c>
      <c r="E146" s="2286"/>
      <c r="F146" s="2287"/>
      <c r="G146" s="2158"/>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row>
    <row r="147" spans="1:32" ht="12">
      <c r="A147" s="2"/>
      <c r="B147" s="163" t="s">
        <v>207</v>
      </c>
      <c r="C147" s="70"/>
      <c r="D147" s="116">
        <v>2006</v>
      </c>
      <c r="E147" s="116">
        <v>2010</v>
      </c>
      <c r="F147" s="116">
        <v>2011</v>
      </c>
      <c r="G147" s="2158"/>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row>
    <row r="148" spans="1:32" ht="12">
      <c r="A148" s="2"/>
      <c r="B148" s="115" t="s">
        <v>208</v>
      </c>
      <c r="C148" s="70"/>
      <c r="D148" s="164">
        <v>16412.714100000001</v>
      </c>
      <c r="E148" s="165">
        <v>16420.720301999998</v>
      </c>
      <c r="F148" s="165">
        <v>16418</v>
      </c>
      <c r="G148" s="164"/>
      <c r="H148" s="189"/>
      <c r="I148" s="189"/>
      <c r="J148" s="189"/>
      <c r="K148" s="73"/>
      <c r="L148" s="73"/>
      <c r="M148" s="73"/>
      <c r="N148" s="73"/>
      <c r="O148" s="73"/>
      <c r="P148" s="73"/>
      <c r="Q148" s="73"/>
      <c r="R148" s="73"/>
      <c r="S148" s="73"/>
      <c r="T148" s="73"/>
      <c r="U148" s="73"/>
      <c r="V148" s="73"/>
      <c r="W148" s="73"/>
      <c r="X148" s="73"/>
      <c r="Y148" s="73"/>
      <c r="Z148" s="73"/>
      <c r="AA148" s="73"/>
      <c r="AB148" s="73"/>
      <c r="AC148" s="73"/>
      <c r="AD148" s="73"/>
      <c r="AE148" s="73"/>
      <c r="AF148" s="73"/>
    </row>
    <row r="149" spans="1:32" ht="12">
      <c r="A149" s="2"/>
      <c r="B149" s="115" t="s">
        <v>209</v>
      </c>
      <c r="C149" s="70"/>
      <c r="D149" s="165">
        <v>181364.938719</v>
      </c>
      <c r="E149" s="165">
        <v>182982.636241</v>
      </c>
      <c r="F149" s="165">
        <v>182966.21611450001</v>
      </c>
      <c r="G149" s="164"/>
      <c r="H149" s="189"/>
      <c r="I149" s="189"/>
      <c r="J149" s="189"/>
      <c r="K149" s="73"/>
      <c r="L149" s="73"/>
      <c r="M149" s="73"/>
      <c r="N149" s="73"/>
      <c r="O149" s="73"/>
      <c r="P149" s="73"/>
      <c r="Q149" s="73"/>
      <c r="R149" s="73"/>
      <c r="S149" s="73"/>
      <c r="T149" s="73"/>
      <c r="U149" s="73"/>
      <c r="V149" s="73"/>
      <c r="W149" s="73"/>
      <c r="X149" s="73"/>
      <c r="Y149" s="73"/>
      <c r="Z149" s="73"/>
      <c r="AA149" s="73"/>
      <c r="AB149" s="73"/>
      <c r="AC149" s="73"/>
      <c r="AD149" s="73"/>
      <c r="AE149" s="73"/>
      <c r="AF149" s="73"/>
    </row>
    <row r="150" spans="1:32" ht="12">
      <c r="A150" s="2"/>
      <c r="B150" s="115" t="s">
        <v>210</v>
      </c>
      <c r="C150" s="70"/>
      <c r="D150" s="165">
        <f>5360.61*2.47105</f>
        <v>13246.3353405</v>
      </c>
      <c r="E150" s="165">
        <f>7147.89*2.47105</f>
        <v>17662.793584499999</v>
      </c>
      <c r="F150" s="165">
        <f>4150.79*2.47105</f>
        <v>10256.8096295</v>
      </c>
      <c r="G150" s="164"/>
      <c r="H150" s="189"/>
      <c r="I150" s="189"/>
      <c r="J150" s="189"/>
      <c r="K150" s="73"/>
      <c r="L150" s="73"/>
      <c r="M150" s="73"/>
      <c r="N150" s="73"/>
      <c r="O150" s="73"/>
      <c r="P150" s="73"/>
      <c r="Q150" s="73"/>
      <c r="R150" s="73"/>
      <c r="S150" s="73"/>
      <c r="T150" s="73"/>
      <c r="U150" s="73"/>
      <c r="V150" s="73"/>
      <c r="W150" s="73"/>
      <c r="X150" s="73"/>
      <c r="Y150" s="73"/>
      <c r="Z150" s="73"/>
      <c r="AA150" s="73"/>
      <c r="AB150" s="73"/>
      <c r="AC150" s="73"/>
      <c r="AD150" s="73"/>
      <c r="AE150" s="73"/>
      <c r="AF150" s="73"/>
    </row>
    <row r="151" spans="1:32" ht="12">
      <c r="A151" s="2"/>
      <c r="B151" s="115" t="s">
        <v>211</v>
      </c>
      <c r="C151" s="70"/>
      <c r="D151" s="165">
        <f>2929.88*2.47105</f>
        <v>7239.8799740000004</v>
      </c>
      <c r="E151" s="165">
        <f>3262.95*2.47105</f>
        <v>8062.9125974999997</v>
      </c>
      <c r="F151" s="165">
        <f>1270.81*2.47105</f>
        <v>3140.2350504999999</v>
      </c>
      <c r="G151" s="164"/>
      <c r="H151" s="189"/>
      <c r="I151" s="189"/>
      <c r="J151" s="189"/>
      <c r="K151" s="73"/>
      <c r="L151" s="73"/>
      <c r="M151" s="73"/>
      <c r="N151" s="73"/>
      <c r="O151" s="73"/>
      <c r="P151" s="73"/>
      <c r="Q151" s="73"/>
      <c r="R151" s="73"/>
      <c r="S151" s="73"/>
      <c r="T151" s="73"/>
      <c r="U151" s="73"/>
      <c r="V151" s="73"/>
      <c r="W151" s="73"/>
      <c r="X151" s="73"/>
      <c r="Y151" s="73"/>
      <c r="Z151" s="73"/>
      <c r="AA151" s="73"/>
      <c r="AB151" s="73"/>
      <c r="AC151" s="73"/>
      <c r="AD151" s="73"/>
      <c r="AE151" s="73"/>
      <c r="AF151" s="73"/>
    </row>
    <row r="152" spans="1:32" ht="12">
      <c r="A152" s="2"/>
      <c r="B152" s="115" t="s">
        <v>212</v>
      </c>
      <c r="C152" s="70"/>
      <c r="D152" s="165">
        <f>3889.93*2.47105</f>
        <v>9612.2115264999993</v>
      </c>
      <c r="E152" s="165">
        <f>4903.61*2.47105</f>
        <v>12117.065490499999</v>
      </c>
      <c r="F152" s="165">
        <f>6433.54*2.47105</f>
        <v>15897.599017</v>
      </c>
      <c r="G152" s="164"/>
      <c r="H152" s="189"/>
      <c r="I152" s="189"/>
      <c r="J152" s="189"/>
      <c r="K152" s="73"/>
      <c r="L152" s="73"/>
      <c r="M152" s="73"/>
      <c r="N152" s="73"/>
      <c r="O152" s="73"/>
      <c r="P152" s="73"/>
      <c r="Q152" s="73"/>
      <c r="R152" s="73"/>
      <c r="S152" s="73"/>
      <c r="T152" s="73"/>
      <c r="U152" s="73"/>
      <c r="V152" s="73"/>
      <c r="W152" s="73"/>
      <c r="X152" s="73"/>
      <c r="Y152" s="73"/>
      <c r="Z152" s="73"/>
      <c r="AA152" s="73"/>
      <c r="AB152" s="73"/>
      <c r="AC152" s="73"/>
      <c r="AD152" s="73"/>
      <c r="AE152" s="73"/>
      <c r="AF152" s="73"/>
    </row>
    <row r="153" spans="1:32" ht="12">
      <c r="A153" s="2"/>
      <c r="B153" s="115" t="s">
        <v>213</v>
      </c>
      <c r="C153" s="70"/>
      <c r="D153" s="166">
        <f>2981.61*2.47105</f>
        <v>7367.7073905000007</v>
      </c>
      <c r="E153" s="166">
        <f>3655.35*2.47105</f>
        <v>9032.5526174999995</v>
      </c>
      <c r="F153" s="166">
        <f>2295.63*2.47105</f>
        <v>5672.6165115000003</v>
      </c>
      <c r="G153" s="164"/>
      <c r="H153" s="189"/>
      <c r="I153" s="189"/>
      <c r="J153" s="189"/>
      <c r="K153" s="73"/>
      <c r="L153" s="73"/>
      <c r="M153" s="73"/>
      <c r="N153" s="73"/>
      <c r="O153" s="73"/>
      <c r="P153" s="73"/>
      <c r="Q153" s="73"/>
      <c r="R153" s="73"/>
      <c r="S153" s="73"/>
      <c r="T153" s="73"/>
      <c r="U153" s="73"/>
      <c r="V153" s="73"/>
      <c r="W153" s="73"/>
      <c r="X153" s="73"/>
      <c r="Y153" s="73"/>
      <c r="Z153" s="73"/>
      <c r="AA153" s="73"/>
      <c r="AB153" s="73"/>
      <c r="AC153" s="73"/>
      <c r="AD153" s="73"/>
      <c r="AE153" s="73"/>
      <c r="AF153" s="73"/>
    </row>
    <row r="154" spans="1:32" ht="12">
      <c r="A154" s="2"/>
      <c r="B154" s="115" t="s">
        <v>214</v>
      </c>
      <c r="C154" s="70"/>
      <c r="D154" s="165">
        <f t="shared" ref="D154:F154" si="12">D148+D149</f>
        <v>197777.65281900001</v>
      </c>
      <c r="E154" s="165">
        <f t="shared" si="12"/>
        <v>199403.356543</v>
      </c>
      <c r="F154" s="165">
        <f t="shared" si="12"/>
        <v>199384.21611450001</v>
      </c>
      <c r="G154" s="164"/>
      <c r="H154" s="189"/>
      <c r="I154" s="189"/>
      <c r="J154" s="189"/>
      <c r="K154" s="73"/>
      <c r="L154" s="73"/>
      <c r="M154" s="73"/>
      <c r="N154" s="73"/>
      <c r="O154" s="73"/>
      <c r="P154" s="73"/>
      <c r="Q154" s="73"/>
      <c r="R154" s="73"/>
      <c r="S154" s="73"/>
      <c r="T154" s="73"/>
      <c r="U154" s="73"/>
      <c r="V154" s="73"/>
      <c r="W154" s="73"/>
      <c r="X154" s="73"/>
      <c r="Y154" s="73"/>
      <c r="Z154" s="73"/>
      <c r="AA154" s="73"/>
      <c r="AB154" s="73"/>
      <c r="AC154" s="73"/>
      <c r="AD154" s="73"/>
      <c r="AE154" s="73"/>
      <c r="AF154" s="73"/>
    </row>
    <row r="155" spans="1:32" ht="12">
      <c r="A155" s="2"/>
      <c r="B155" s="115" t="s">
        <v>215</v>
      </c>
      <c r="C155" s="70"/>
      <c r="D155" s="165">
        <f t="shared" ref="D155:F155" si="13">SUM(D150:D153)</f>
        <v>37466.1342315</v>
      </c>
      <c r="E155" s="165">
        <f t="shared" si="13"/>
        <v>46875.324289999997</v>
      </c>
      <c r="F155" s="165">
        <f t="shared" si="13"/>
        <v>34967.260208499996</v>
      </c>
      <c r="G155" s="164"/>
      <c r="H155" s="189"/>
      <c r="I155" s="189"/>
      <c r="J155" s="189"/>
      <c r="K155" s="73"/>
      <c r="L155" s="73"/>
      <c r="M155" s="73"/>
      <c r="N155" s="73"/>
      <c r="O155" s="73"/>
      <c r="P155" s="73"/>
      <c r="Q155" s="73"/>
      <c r="R155" s="73"/>
      <c r="S155" s="73"/>
      <c r="T155" s="73"/>
      <c r="U155" s="73"/>
      <c r="V155" s="73"/>
      <c r="W155" s="73"/>
      <c r="X155" s="73"/>
      <c r="Y155" s="73"/>
      <c r="Z155" s="73"/>
      <c r="AA155" s="73"/>
      <c r="AB155" s="73"/>
      <c r="AC155" s="73"/>
      <c r="AD155" s="73"/>
      <c r="AE155" s="73"/>
      <c r="AF155" s="73"/>
    </row>
    <row r="156" spans="1:32" ht="10.199999999999999">
      <c r="A156" s="73"/>
      <c r="B156" s="73"/>
      <c r="C156" s="73"/>
      <c r="D156" s="59"/>
      <c r="E156" s="59"/>
      <c r="F156" s="59"/>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row>
    <row r="157" spans="1:32" ht="12">
      <c r="A157" s="73"/>
      <c r="B157" s="59"/>
      <c r="C157" s="70"/>
      <c r="D157" s="2308" t="s">
        <v>216</v>
      </c>
      <c r="E157" s="2286"/>
      <c r="F157" s="2287"/>
      <c r="G157" s="2158"/>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row>
    <row r="158" spans="1:32" ht="12">
      <c r="A158" s="2"/>
      <c r="B158" s="163" t="s">
        <v>207</v>
      </c>
      <c r="C158" s="167" t="s">
        <v>217</v>
      </c>
      <c r="D158" s="116">
        <v>2006</v>
      </c>
      <c r="E158" s="116">
        <v>2010</v>
      </c>
      <c r="F158" s="116">
        <v>2011</v>
      </c>
      <c r="G158" s="2158"/>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row>
    <row r="159" spans="1:32" ht="12">
      <c r="A159" s="2"/>
      <c r="B159" s="115" t="s">
        <v>208</v>
      </c>
      <c r="C159" s="168">
        <f t="shared" ref="C159:C160" si="14">-2.067/2.47105*44/12</f>
        <v>-3.0671172173772288</v>
      </c>
      <c r="D159" s="164">
        <f t="shared" ref="D159:F159" si="15">$C159*D148</f>
        <v>-50339.718000000008</v>
      </c>
      <c r="E159" s="165">
        <f t="shared" si="15"/>
        <v>-50364.273959999999</v>
      </c>
      <c r="F159" s="165">
        <f t="shared" si="15"/>
        <v>-50355.930474899338</v>
      </c>
      <c r="G159" s="164"/>
      <c r="H159" s="189"/>
      <c r="I159" s="189"/>
      <c r="J159" s="189"/>
      <c r="K159" s="73"/>
      <c r="L159" s="73"/>
      <c r="M159" s="73"/>
      <c r="N159" s="73"/>
      <c r="O159" s="73"/>
      <c r="P159" s="73"/>
      <c r="Q159" s="73"/>
      <c r="R159" s="73"/>
      <c r="S159" s="73"/>
      <c r="T159" s="73"/>
      <c r="U159" s="73"/>
      <c r="V159" s="73"/>
      <c r="W159" s="73"/>
      <c r="X159" s="73"/>
      <c r="Y159" s="73"/>
      <c r="Z159" s="73"/>
      <c r="AA159" s="73"/>
      <c r="AB159" s="73"/>
      <c r="AC159" s="73"/>
      <c r="AD159" s="73"/>
      <c r="AE159" s="73"/>
      <c r="AF159" s="73"/>
    </row>
    <row r="160" spans="1:32" ht="12">
      <c r="A160" s="2"/>
      <c r="B160" s="115" t="s">
        <v>209</v>
      </c>
      <c r="C160" s="168">
        <f t="shared" si="14"/>
        <v>-3.0671172173772288</v>
      </c>
      <c r="D160" s="165">
        <f t="shared" ref="D160:F160" si="16">$C160*D149</f>
        <v>-556267.52617361094</v>
      </c>
      <c r="E160" s="165">
        <f t="shared" si="16"/>
        <v>-561229.19409584557</v>
      </c>
      <c r="F160" s="165">
        <f t="shared" si="16"/>
        <v>-561178.831643146</v>
      </c>
      <c r="G160" s="164"/>
      <c r="H160" s="189"/>
      <c r="I160" s="189"/>
      <c r="J160" s="189"/>
      <c r="K160" s="73"/>
      <c r="L160" s="73"/>
      <c r="M160" s="73"/>
      <c r="N160" s="73"/>
      <c r="O160" s="73"/>
      <c r="P160" s="73"/>
      <c r="Q160" s="73"/>
      <c r="R160" s="73"/>
      <c r="S160" s="73"/>
      <c r="T160" s="73"/>
      <c r="U160" s="73"/>
      <c r="V160" s="73"/>
      <c r="W160" s="73"/>
      <c r="X160" s="73"/>
      <c r="Y160" s="73"/>
      <c r="Z160" s="73"/>
      <c r="AA160" s="73"/>
      <c r="AB160" s="73"/>
      <c r="AC160" s="73"/>
      <c r="AD160" s="73"/>
      <c r="AE160" s="73"/>
      <c r="AF160" s="73"/>
    </row>
    <row r="161" spans="1:32" ht="12">
      <c r="A161" s="2"/>
      <c r="B161" s="115" t="s">
        <v>210</v>
      </c>
      <c r="C161" s="168">
        <f>-1.111/2.47105</f>
        <v>-0.44960644260537019</v>
      </c>
      <c r="D161" s="165">
        <f t="shared" ref="D161:F161" si="17">$C161*D150</f>
        <v>-5955.63771</v>
      </c>
      <c r="E161" s="165">
        <f t="shared" si="17"/>
        <v>-7941.3057899999994</v>
      </c>
      <c r="F161" s="165">
        <f t="shared" si="17"/>
        <v>-4611.5276899999999</v>
      </c>
      <c r="G161" s="164"/>
      <c r="H161" s="189"/>
      <c r="I161" s="189"/>
      <c r="J161" s="189"/>
      <c r="K161" s="73"/>
      <c r="L161" s="73"/>
      <c r="M161" s="73"/>
      <c r="N161" s="73"/>
      <c r="O161" s="73"/>
      <c r="P161" s="73"/>
      <c r="Q161" s="73"/>
      <c r="R161" s="73"/>
      <c r="S161" s="73"/>
      <c r="T161" s="73"/>
      <c r="U161" s="73"/>
      <c r="V161" s="73"/>
      <c r="W161" s="73"/>
      <c r="X161" s="73"/>
      <c r="Y161" s="73"/>
      <c r="Z161" s="73"/>
      <c r="AA161" s="73"/>
      <c r="AB161" s="73"/>
      <c r="AC161" s="73"/>
      <c r="AD161" s="73"/>
      <c r="AE161" s="73"/>
      <c r="AF161" s="73"/>
    </row>
    <row r="162" spans="1:32" ht="12">
      <c r="A162" s="2"/>
      <c r="B162" s="115" t="s">
        <v>211</v>
      </c>
      <c r="C162" s="168">
        <f>-1.1/2.47105</f>
        <v>-0.44515489366868338</v>
      </c>
      <c r="D162" s="165">
        <f t="shared" ref="D162:F162" si="18">$C162*D151</f>
        <v>-3222.8680000000004</v>
      </c>
      <c r="E162" s="165">
        <f t="shared" si="18"/>
        <v>-3589.2449999999999</v>
      </c>
      <c r="F162" s="165">
        <f t="shared" si="18"/>
        <v>-1397.8910000000001</v>
      </c>
      <c r="G162" s="164"/>
      <c r="H162" s="189"/>
      <c r="I162" s="189"/>
      <c r="J162" s="189"/>
      <c r="K162" s="73"/>
      <c r="L162" s="73"/>
      <c r="M162" s="73"/>
      <c r="N162" s="73"/>
      <c r="O162" s="73"/>
      <c r="P162" s="73"/>
      <c r="Q162" s="73"/>
      <c r="R162" s="73"/>
      <c r="S162" s="73"/>
      <c r="T162" s="73"/>
      <c r="U162" s="73"/>
      <c r="V162" s="73"/>
      <c r="W162" s="73"/>
      <c r="X162" s="73"/>
      <c r="Y162" s="73"/>
      <c r="Z162" s="73"/>
      <c r="AA162" s="73"/>
      <c r="AB162" s="73"/>
      <c r="AC162" s="73"/>
      <c r="AD162" s="73"/>
      <c r="AE162" s="73"/>
      <c r="AF162" s="73"/>
    </row>
    <row r="163" spans="1:32" ht="12">
      <c r="A163" s="2"/>
      <c r="B163" s="115" t="s">
        <v>212</v>
      </c>
      <c r="C163" s="168">
        <f>-0.38/2.47105</f>
        <v>-0.15378078144918153</v>
      </c>
      <c r="D163" s="165">
        <f t="shared" ref="D163:F163" si="19">$C163*D152</f>
        <v>-1478.1733999999999</v>
      </c>
      <c r="E163" s="165">
        <f t="shared" si="19"/>
        <v>-1863.3717999999999</v>
      </c>
      <c r="F163" s="165">
        <f t="shared" si="19"/>
        <v>-2444.7452000000003</v>
      </c>
      <c r="G163" s="164"/>
      <c r="H163" s="189"/>
      <c r="I163" s="189"/>
      <c r="J163" s="189"/>
      <c r="K163" s="73"/>
      <c r="L163" s="73"/>
      <c r="M163" s="73"/>
      <c r="N163" s="73"/>
      <c r="O163" s="73"/>
      <c r="P163" s="73"/>
      <c r="Q163" s="73"/>
      <c r="R163" s="73"/>
      <c r="S163" s="73"/>
      <c r="T163" s="73"/>
      <c r="U163" s="73"/>
      <c r="V163" s="73"/>
      <c r="W163" s="73"/>
      <c r="X163" s="73"/>
      <c r="Y163" s="73"/>
      <c r="Z163" s="73"/>
      <c r="AA163" s="73"/>
      <c r="AB163" s="73"/>
      <c r="AC163" s="73"/>
      <c r="AD163" s="73"/>
      <c r="AE163" s="73"/>
      <c r="AF163" s="73"/>
    </row>
    <row r="164" spans="1:32" ht="12">
      <c r="A164" s="2"/>
      <c r="B164" s="169" t="s">
        <v>213</v>
      </c>
      <c r="C164" s="170">
        <f>-1.01/2.47105</f>
        <v>-0.40873312964124564</v>
      </c>
      <c r="D164" s="166">
        <f t="shared" ref="D164:F164" si="20">$C164*D153</f>
        <v>-3011.4261000000006</v>
      </c>
      <c r="E164" s="166">
        <f t="shared" si="20"/>
        <v>-3691.9034999999999</v>
      </c>
      <c r="F164" s="166">
        <f t="shared" si="20"/>
        <v>-2318.5863000000004</v>
      </c>
      <c r="G164" s="164"/>
      <c r="H164" s="189"/>
      <c r="I164" s="189"/>
      <c r="J164" s="189"/>
      <c r="K164" s="73"/>
      <c r="L164" s="73"/>
      <c r="M164" s="73"/>
      <c r="N164" s="73"/>
      <c r="O164" s="73"/>
      <c r="P164" s="73"/>
      <c r="Q164" s="73"/>
      <c r="R164" s="73"/>
      <c r="S164" s="73"/>
      <c r="T164" s="73"/>
      <c r="U164" s="73"/>
      <c r="V164" s="73"/>
      <c r="W164" s="73"/>
      <c r="X164" s="73"/>
      <c r="Y164" s="73"/>
      <c r="Z164" s="73"/>
      <c r="AA164" s="73"/>
      <c r="AB164" s="73"/>
      <c r="AC164" s="73"/>
      <c r="AD164" s="73"/>
      <c r="AE164" s="73"/>
      <c r="AF164" s="73"/>
    </row>
    <row r="165" spans="1:32" ht="12">
      <c r="A165" s="2"/>
      <c r="B165" s="115" t="s">
        <v>214</v>
      </c>
      <c r="C165" s="70"/>
      <c r="D165" s="165">
        <f t="shared" ref="D165:F165" si="21">SUM(D159:D160)</f>
        <v>-606607.24417361093</v>
      </c>
      <c r="E165" s="165">
        <f t="shared" si="21"/>
        <v>-611593.46805584559</v>
      </c>
      <c r="F165" s="165">
        <f t="shared" si="21"/>
        <v>-611534.76211804536</v>
      </c>
      <c r="G165" s="164"/>
      <c r="H165" s="189"/>
      <c r="I165" s="189"/>
      <c r="J165" s="189"/>
      <c r="K165" s="73"/>
      <c r="L165" s="73"/>
      <c r="M165" s="73"/>
      <c r="N165" s="73"/>
      <c r="O165" s="73"/>
      <c r="P165" s="73"/>
      <c r="Q165" s="73"/>
      <c r="R165" s="73"/>
      <c r="S165" s="73"/>
      <c r="T165" s="73"/>
      <c r="U165" s="73"/>
      <c r="V165" s="73"/>
      <c r="W165" s="73"/>
      <c r="X165" s="73"/>
      <c r="Y165" s="73"/>
      <c r="Z165" s="73"/>
      <c r="AA165" s="73"/>
      <c r="AB165" s="73"/>
      <c r="AC165" s="73"/>
      <c r="AD165" s="73"/>
      <c r="AE165" s="73"/>
      <c r="AF165" s="73"/>
    </row>
    <row r="166" spans="1:32" ht="12">
      <c r="A166" s="2"/>
      <c r="B166" s="115" t="s">
        <v>215</v>
      </c>
      <c r="C166" s="70"/>
      <c r="D166" s="165">
        <f t="shared" ref="D166:F166" si="22">SUM(D161:D164)</f>
        <v>-13668.105210000002</v>
      </c>
      <c r="E166" s="165">
        <f t="shared" si="22"/>
        <v>-17085.826089999999</v>
      </c>
      <c r="F166" s="165">
        <f t="shared" si="22"/>
        <v>-10772.750190000001</v>
      </c>
      <c r="G166" s="164"/>
      <c r="H166" s="189"/>
      <c r="I166" s="189"/>
      <c r="J166" s="189"/>
      <c r="K166" s="73"/>
      <c r="L166" s="73"/>
      <c r="M166" s="73"/>
      <c r="N166" s="73"/>
      <c r="O166" s="73"/>
      <c r="P166" s="73"/>
      <c r="Q166" s="73"/>
      <c r="R166" s="73"/>
      <c r="S166" s="73"/>
      <c r="T166" s="73"/>
      <c r="U166" s="73"/>
      <c r="V166" s="73"/>
      <c r="W166" s="73"/>
      <c r="X166" s="73"/>
      <c r="Y166" s="73"/>
      <c r="Z166" s="73"/>
      <c r="AA166" s="73"/>
      <c r="AB166" s="73"/>
      <c r="AC166" s="73"/>
      <c r="AD166" s="73"/>
      <c r="AE166" s="73"/>
      <c r="AF166" s="73"/>
    </row>
    <row r="167" spans="1:32" ht="10.199999999999999">
      <c r="A167" s="73"/>
      <c r="B167" s="73"/>
      <c r="C167" s="73"/>
      <c r="D167" s="59"/>
      <c r="E167" s="59"/>
      <c r="F167" s="59"/>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row>
    <row r="168" spans="1:32" ht="12">
      <c r="A168" s="73"/>
      <c r="B168" s="59"/>
      <c r="C168" s="70"/>
      <c r="D168" s="2308" t="s">
        <v>218</v>
      </c>
      <c r="E168" s="2286"/>
      <c r="F168" s="2287"/>
      <c r="G168" s="2158"/>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row>
    <row r="169" spans="1:32" ht="12">
      <c r="A169" s="2"/>
      <c r="B169" s="163" t="s">
        <v>207</v>
      </c>
      <c r="C169" s="167" t="s">
        <v>219</v>
      </c>
      <c r="D169" s="167">
        <v>2006</v>
      </c>
      <c r="E169" s="167">
        <v>2010</v>
      </c>
      <c r="F169" s="167">
        <v>2011</v>
      </c>
      <c r="G169" s="2158"/>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row>
    <row r="170" spans="1:32" ht="12">
      <c r="A170" s="2"/>
      <c r="B170" s="115" t="s">
        <v>208</v>
      </c>
      <c r="C170" s="171">
        <f>0.00747375141244849/2.47105</f>
        <v>3.0245245593769816E-3</v>
      </c>
      <c r="D170" s="164">
        <f t="shared" ref="D170:F170" si="23">$C170*D148</f>
        <v>49.640656881482876</v>
      </c>
      <c r="E170" s="165">
        <f t="shared" si="23"/>
        <v>49.664871836059199</v>
      </c>
      <c r="F170" s="165">
        <f t="shared" si="23"/>
        <v>49.656644215851287</v>
      </c>
      <c r="G170" s="164"/>
      <c r="H170" s="189"/>
      <c r="I170" s="189"/>
      <c r="J170" s="189"/>
      <c r="K170" s="73"/>
      <c r="L170" s="73"/>
      <c r="M170" s="73"/>
      <c r="N170" s="73"/>
      <c r="O170" s="73"/>
      <c r="P170" s="73"/>
      <c r="Q170" s="73"/>
      <c r="R170" s="73"/>
      <c r="S170" s="73"/>
      <c r="T170" s="73"/>
      <c r="U170" s="73"/>
      <c r="V170" s="73"/>
      <c r="W170" s="73"/>
      <c r="X170" s="73"/>
      <c r="Y170" s="73"/>
      <c r="Z170" s="73"/>
      <c r="AA170" s="73"/>
      <c r="AB170" s="73"/>
      <c r="AC170" s="73"/>
      <c r="AD170" s="73"/>
      <c r="AE170" s="73"/>
      <c r="AF170" s="73"/>
    </row>
    <row r="171" spans="1:32" ht="12">
      <c r="A171" s="2"/>
      <c r="B171" s="115" t="s">
        <v>209</v>
      </c>
      <c r="C171" s="171">
        <f>0.147994684096754/2.47105</f>
        <v>5.989141623874629E-2</v>
      </c>
      <c r="D171" s="165">
        <f t="shared" ref="D171:F171" si="24">$C171*D149</f>
        <v>10862.203035934343</v>
      </c>
      <c r="E171" s="165">
        <f t="shared" si="24"/>
        <v>10959.089231572832</v>
      </c>
      <c r="F171" s="165">
        <f t="shared" si="24"/>
        <v>10958.105806941929</v>
      </c>
      <c r="G171" s="164"/>
      <c r="H171" s="189"/>
      <c r="I171" s="189"/>
      <c r="J171" s="189"/>
      <c r="K171" s="73"/>
      <c r="L171" s="73"/>
      <c r="M171" s="73"/>
      <c r="N171" s="73"/>
      <c r="O171" s="73"/>
      <c r="P171" s="73"/>
      <c r="Q171" s="73"/>
      <c r="R171" s="73"/>
      <c r="S171" s="73"/>
      <c r="T171" s="73"/>
      <c r="U171" s="73"/>
      <c r="V171" s="73"/>
      <c r="W171" s="73"/>
      <c r="X171" s="73"/>
      <c r="Y171" s="73"/>
      <c r="Z171" s="73"/>
      <c r="AA171" s="73"/>
      <c r="AB171" s="73"/>
      <c r="AC171" s="73"/>
      <c r="AD171" s="73"/>
      <c r="AE171" s="73"/>
      <c r="AF171" s="73"/>
    </row>
    <row r="172" spans="1:32" ht="12">
      <c r="A172" s="2"/>
      <c r="B172" s="115" t="s">
        <v>210</v>
      </c>
      <c r="C172" s="171">
        <f t="shared" ref="C172:C175" si="25">0.008/2.47105</f>
        <v>3.2374901357722428E-3</v>
      </c>
      <c r="D172" s="165">
        <f t="shared" ref="D172:F172" si="26">$C172*D150</f>
        <v>42.884880000000003</v>
      </c>
      <c r="E172" s="165">
        <f t="shared" si="26"/>
        <v>57.183120000000002</v>
      </c>
      <c r="F172" s="165">
        <f t="shared" si="26"/>
        <v>33.206319999999998</v>
      </c>
      <c r="G172" s="164"/>
      <c r="H172" s="189"/>
      <c r="I172" s="189"/>
      <c r="J172" s="189"/>
      <c r="K172" s="73"/>
      <c r="L172" s="73"/>
      <c r="M172" s="73"/>
      <c r="N172" s="73"/>
      <c r="O172" s="73"/>
      <c r="P172" s="73"/>
      <c r="Q172" s="73"/>
      <c r="R172" s="73"/>
      <c r="S172" s="73"/>
      <c r="T172" s="73"/>
      <c r="U172" s="73"/>
      <c r="V172" s="73"/>
      <c r="W172" s="73"/>
      <c r="X172" s="73"/>
      <c r="Y172" s="73"/>
      <c r="Z172" s="73"/>
      <c r="AA172" s="73"/>
      <c r="AB172" s="73"/>
      <c r="AC172" s="73"/>
      <c r="AD172" s="73"/>
      <c r="AE172" s="73"/>
      <c r="AF172" s="73"/>
    </row>
    <row r="173" spans="1:32" ht="12">
      <c r="A173" s="2"/>
      <c r="B173" s="115" t="s">
        <v>211</v>
      </c>
      <c r="C173" s="171">
        <f t="shared" si="25"/>
        <v>3.2374901357722428E-3</v>
      </c>
      <c r="D173" s="165">
        <f t="shared" ref="D173:F173" si="27">$C173*D151</f>
        <v>23.439040000000002</v>
      </c>
      <c r="E173" s="165">
        <f t="shared" si="27"/>
        <v>26.1036</v>
      </c>
      <c r="F173" s="165">
        <f t="shared" si="27"/>
        <v>10.16648</v>
      </c>
      <c r="G173" s="164"/>
      <c r="H173" s="189"/>
      <c r="I173" s="189"/>
      <c r="J173" s="189"/>
      <c r="K173" s="73"/>
      <c r="L173" s="73"/>
      <c r="M173" s="73"/>
      <c r="N173" s="73"/>
      <c r="O173" s="73"/>
      <c r="P173" s="73"/>
      <c r="Q173" s="73"/>
      <c r="R173" s="73"/>
      <c r="S173" s="73"/>
      <c r="T173" s="73"/>
      <c r="U173" s="73"/>
      <c r="V173" s="73"/>
      <c r="W173" s="73"/>
      <c r="X173" s="73"/>
      <c r="Y173" s="73"/>
      <c r="Z173" s="73"/>
      <c r="AA173" s="73"/>
      <c r="AB173" s="73"/>
      <c r="AC173" s="73"/>
      <c r="AD173" s="73"/>
      <c r="AE173" s="73"/>
      <c r="AF173" s="73"/>
    </row>
    <row r="174" spans="1:32" ht="12">
      <c r="A174" s="2"/>
      <c r="B174" s="115" t="s">
        <v>212</v>
      </c>
      <c r="C174" s="171">
        <f t="shared" si="25"/>
        <v>3.2374901357722428E-3</v>
      </c>
      <c r="D174" s="165">
        <f t="shared" ref="D174:F174" si="28">$C174*D152</f>
        <v>31.119440000000001</v>
      </c>
      <c r="E174" s="165">
        <f t="shared" si="28"/>
        <v>39.228880000000004</v>
      </c>
      <c r="F174" s="165">
        <f t="shared" si="28"/>
        <v>51.468320000000006</v>
      </c>
      <c r="G174" s="164"/>
      <c r="H174" s="189"/>
      <c r="I174" s="189"/>
      <c r="J174" s="189"/>
      <c r="K174" s="73"/>
      <c r="L174" s="73"/>
      <c r="M174" s="73"/>
      <c r="N174" s="73"/>
      <c r="O174" s="73"/>
      <c r="P174" s="73"/>
      <c r="Q174" s="73"/>
      <c r="R174" s="73"/>
      <c r="S174" s="73"/>
      <c r="T174" s="73"/>
      <c r="U174" s="73"/>
      <c r="V174" s="73"/>
      <c r="W174" s="73"/>
      <c r="X174" s="73"/>
      <c r="Y174" s="73"/>
      <c r="Z174" s="73"/>
      <c r="AA174" s="73"/>
      <c r="AB174" s="73"/>
      <c r="AC174" s="73"/>
      <c r="AD174" s="73"/>
      <c r="AE174" s="73"/>
      <c r="AF174" s="73"/>
    </row>
    <row r="175" spans="1:32" ht="12">
      <c r="A175" s="2"/>
      <c r="B175" s="169" t="s">
        <v>213</v>
      </c>
      <c r="C175" s="172">
        <f t="shared" si="25"/>
        <v>3.2374901357722428E-3</v>
      </c>
      <c r="D175" s="166">
        <f t="shared" ref="D175:F175" si="29">$C175*D153</f>
        <v>23.852880000000003</v>
      </c>
      <c r="E175" s="166">
        <f t="shared" si="29"/>
        <v>29.242800000000003</v>
      </c>
      <c r="F175" s="166">
        <f t="shared" si="29"/>
        <v>18.365040000000004</v>
      </c>
      <c r="G175" s="164"/>
      <c r="H175" s="189"/>
      <c r="I175" s="189"/>
      <c r="J175" s="189"/>
      <c r="K175" s="73"/>
      <c r="L175" s="73"/>
      <c r="M175" s="73"/>
      <c r="N175" s="73"/>
      <c r="O175" s="73"/>
      <c r="P175" s="73"/>
      <c r="Q175" s="73"/>
      <c r="R175" s="73"/>
      <c r="S175" s="73"/>
      <c r="T175" s="73"/>
      <c r="U175" s="73"/>
      <c r="V175" s="73"/>
      <c r="W175" s="73"/>
      <c r="X175" s="73"/>
      <c r="Y175" s="73"/>
      <c r="Z175" s="73"/>
      <c r="AA175" s="73"/>
      <c r="AB175" s="73"/>
      <c r="AC175" s="73"/>
      <c r="AD175" s="73"/>
      <c r="AE175" s="73"/>
      <c r="AF175" s="73"/>
    </row>
    <row r="176" spans="1:32" ht="12">
      <c r="A176" s="2"/>
      <c r="B176" s="115" t="s">
        <v>214</v>
      </c>
      <c r="C176" s="70"/>
      <c r="D176" s="165">
        <f t="shared" ref="D176:F176" si="30">SUM(D170:D171)</f>
        <v>10911.843692815826</v>
      </c>
      <c r="E176" s="165">
        <f t="shared" si="30"/>
        <v>11008.754103408892</v>
      </c>
      <c r="F176" s="165">
        <f t="shared" si="30"/>
        <v>11007.76245115778</v>
      </c>
      <c r="G176" s="164"/>
      <c r="H176" s="189"/>
      <c r="I176" s="189"/>
      <c r="J176" s="189"/>
      <c r="K176" s="73"/>
      <c r="L176" s="73"/>
      <c r="M176" s="73"/>
      <c r="N176" s="73"/>
      <c r="O176" s="73"/>
      <c r="P176" s="73"/>
      <c r="Q176" s="73"/>
      <c r="R176" s="73"/>
      <c r="S176" s="73"/>
      <c r="T176" s="73"/>
      <c r="U176" s="73"/>
      <c r="V176" s="73"/>
      <c r="W176" s="73"/>
      <c r="X176" s="73"/>
      <c r="Y176" s="73"/>
      <c r="Z176" s="73"/>
      <c r="AA176" s="73"/>
      <c r="AB176" s="73"/>
      <c r="AC176" s="73"/>
      <c r="AD176" s="73"/>
      <c r="AE176" s="73"/>
      <c r="AF176" s="73"/>
    </row>
    <row r="177" spans="1:32" ht="12">
      <c r="A177" s="2"/>
      <c r="B177" s="115" t="s">
        <v>215</v>
      </c>
      <c r="C177" s="70"/>
      <c r="D177" s="165">
        <f t="shared" ref="D177:F177" si="31">SUM(D172:D175)</f>
        <v>121.29624</v>
      </c>
      <c r="E177" s="165">
        <f t="shared" si="31"/>
        <v>151.75839999999999</v>
      </c>
      <c r="F177" s="165">
        <f t="shared" si="31"/>
        <v>113.20616000000001</v>
      </c>
      <c r="G177" s="164"/>
      <c r="H177" s="189"/>
      <c r="I177" s="189"/>
      <c r="J177" s="189"/>
      <c r="K177" s="73"/>
      <c r="L177" s="73"/>
      <c r="M177" s="73"/>
      <c r="N177" s="73"/>
      <c r="O177" s="73"/>
      <c r="P177" s="73"/>
      <c r="Q177" s="73"/>
      <c r="R177" s="73"/>
      <c r="S177" s="73"/>
      <c r="T177" s="73"/>
      <c r="U177" s="73"/>
      <c r="V177" s="73"/>
      <c r="W177" s="73"/>
      <c r="X177" s="73"/>
      <c r="Y177" s="73"/>
      <c r="Z177" s="73"/>
      <c r="AA177" s="73"/>
      <c r="AB177" s="73"/>
      <c r="AC177" s="73"/>
      <c r="AD177" s="73"/>
      <c r="AE177" s="73"/>
      <c r="AF177" s="73"/>
    </row>
    <row r="178" spans="1:32" ht="10.199999999999999">
      <c r="A178" s="73"/>
      <c r="B178" s="73"/>
      <c r="C178" s="73"/>
      <c r="D178" s="59"/>
      <c r="E178" s="59"/>
      <c r="F178" s="59"/>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row>
    <row r="179" spans="1:32" ht="12">
      <c r="A179" s="73"/>
      <c r="B179" s="59"/>
      <c r="C179" s="70"/>
      <c r="D179" s="2308" t="s">
        <v>220</v>
      </c>
      <c r="E179" s="2286"/>
      <c r="F179" s="2287"/>
      <c r="G179" s="2158"/>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row>
    <row r="180" spans="1:32" ht="12">
      <c r="A180" s="2"/>
      <c r="B180" s="173" t="s">
        <v>221</v>
      </c>
      <c r="C180" s="70"/>
      <c r="D180" s="167">
        <v>2006</v>
      </c>
      <c r="E180" s="167">
        <v>2010</v>
      </c>
      <c r="F180" s="167">
        <v>2011</v>
      </c>
      <c r="G180" s="2158"/>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row>
    <row r="181" spans="1:32" ht="24">
      <c r="A181" s="2"/>
      <c r="B181" s="174" t="s">
        <v>222</v>
      </c>
      <c r="C181" s="70"/>
      <c r="D181" s="175">
        <f t="shared" ref="D181:E181" si="32">0.017961122569791*1000000</f>
        <v>17961.122569790998</v>
      </c>
      <c r="E181" s="176">
        <f t="shared" si="32"/>
        <v>17961.122569790998</v>
      </c>
      <c r="F181" s="176">
        <f>0.0123991749336441*1000000</f>
        <v>12399.174933644101</v>
      </c>
      <c r="G181" s="175"/>
      <c r="H181" s="189"/>
      <c r="I181" s="189"/>
      <c r="J181" s="189"/>
      <c r="K181" s="73"/>
      <c r="L181" s="73"/>
      <c r="M181" s="73"/>
      <c r="N181" s="73"/>
      <c r="O181" s="73"/>
      <c r="P181" s="73"/>
      <c r="Q181" s="73"/>
      <c r="R181" s="73"/>
      <c r="S181" s="73"/>
      <c r="T181" s="73"/>
      <c r="U181" s="73"/>
      <c r="V181" s="73"/>
      <c r="W181" s="73"/>
      <c r="X181" s="73"/>
      <c r="Y181" s="73"/>
      <c r="Z181" s="73"/>
      <c r="AA181" s="73"/>
      <c r="AB181" s="73"/>
      <c r="AC181" s="73"/>
      <c r="AD181" s="73"/>
      <c r="AE181" s="73"/>
      <c r="AF181" s="73"/>
    </row>
    <row r="182" spans="1:32" ht="12">
      <c r="A182" s="2"/>
      <c r="B182" s="115" t="s">
        <v>223</v>
      </c>
      <c r="C182" s="70"/>
      <c r="D182" s="177">
        <f t="shared" ref="D182:E182" si="33">0.000443677622843492*1000000</f>
        <v>443.67762284349203</v>
      </c>
      <c r="E182" s="177">
        <f t="shared" si="33"/>
        <v>443.67762284349203</v>
      </c>
      <c r="F182" s="177">
        <f>0.000406051384004542*1000000</f>
        <v>406.051384004542</v>
      </c>
      <c r="G182" s="2178"/>
      <c r="H182" s="189"/>
      <c r="I182" s="189"/>
      <c r="J182" s="189"/>
      <c r="K182" s="73"/>
      <c r="L182" s="73"/>
      <c r="M182" s="73"/>
      <c r="N182" s="73"/>
      <c r="O182" s="73"/>
      <c r="P182" s="73"/>
      <c r="Q182" s="73"/>
      <c r="R182" s="73"/>
      <c r="S182" s="73"/>
      <c r="T182" s="73"/>
      <c r="U182" s="73"/>
      <c r="V182" s="73"/>
      <c r="W182" s="73"/>
      <c r="X182" s="73"/>
      <c r="Y182" s="73"/>
      <c r="Z182" s="73"/>
      <c r="AA182" s="73"/>
      <c r="AB182" s="73"/>
      <c r="AC182" s="73"/>
      <c r="AD182" s="73"/>
      <c r="AE182" s="73"/>
      <c r="AF182" s="73"/>
    </row>
    <row r="183" spans="1:32" ht="12">
      <c r="A183" s="2"/>
      <c r="B183" s="115" t="s">
        <v>224</v>
      </c>
      <c r="C183" s="70"/>
      <c r="D183" s="177">
        <v>0</v>
      </c>
      <c r="E183" s="177">
        <v>0</v>
      </c>
      <c r="F183" s="177">
        <v>0</v>
      </c>
      <c r="G183" s="2178"/>
      <c r="H183" s="189"/>
      <c r="I183" s="189"/>
      <c r="J183" s="189"/>
      <c r="K183" s="73"/>
      <c r="L183" s="73"/>
      <c r="M183" s="73"/>
      <c r="N183" s="73"/>
      <c r="O183" s="73"/>
      <c r="P183" s="73"/>
      <c r="Q183" s="73"/>
      <c r="R183" s="73"/>
      <c r="S183" s="73"/>
      <c r="T183" s="73"/>
      <c r="U183" s="73"/>
      <c r="V183" s="73"/>
      <c r="W183" s="73"/>
      <c r="X183" s="73"/>
      <c r="Y183" s="73"/>
      <c r="Z183" s="73"/>
      <c r="AA183" s="73"/>
      <c r="AB183" s="73"/>
      <c r="AC183" s="73"/>
      <c r="AD183" s="73"/>
      <c r="AE183" s="73"/>
      <c r="AF183" s="73"/>
    </row>
    <row r="184" spans="1:32" ht="12">
      <c r="A184" s="2"/>
      <c r="B184" s="115" t="s">
        <v>225</v>
      </c>
      <c r="C184" s="70"/>
      <c r="D184" s="177">
        <f t="shared" ref="D184:E184" si="34">0.0175174449469475*1000000</f>
        <v>17517.4449469475</v>
      </c>
      <c r="E184" s="177">
        <f t="shared" si="34"/>
        <v>17517.4449469475</v>
      </c>
      <c r="F184" s="177">
        <f>0.0119931235496396*1000000</f>
        <v>11993.1235496396</v>
      </c>
      <c r="G184" s="2178"/>
      <c r="H184" s="189"/>
      <c r="I184" s="189"/>
      <c r="J184" s="189"/>
      <c r="K184" s="73"/>
      <c r="L184" s="73"/>
      <c r="M184" s="73"/>
      <c r="N184" s="73"/>
      <c r="O184" s="73"/>
      <c r="P184" s="73"/>
      <c r="Q184" s="73"/>
      <c r="R184" s="73"/>
      <c r="S184" s="73"/>
      <c r="T184" s="73"/>
      <c r="U184" s="73"/>
      <c r="V184" s="73"/>
      <c r="W184" s="73"/>
      <c r="X184" s="73"/>
      <c r="Y184" s="73"/>
      <c r="Z184" s="73"/>
      <c r="AA184" s="73"/>
      <c r="AB184" s="73"/>
      <c r="AC184" s="73"/>
      <c r="AD184" s="73"/>
      <c r="AE184" s="73"/>
      <c r="AF184" s="73"/>
    </row>
    <row r="185" spans="1:32" ht="24">
      <c r="A185" s="2"/>
      <c r="B185" s="174" t="s">
        <v>226</v>
      </c>
      <c r="C185" s="70"/>
      <c r="D185" s="178">
        <f>-0.00623927632943711*1000000</f>
        <v>-6239.2763294371098</v>
      </c>
      <c r="E185" s="178">
        <f>-0.00624327632943711*1000000</f>
        <v>-6243.2763294371107</v>
      </c>
      <c r="F185" s="178">
        <f>-0.00240616503570155*1000000</f>
        <v>-2406.1650357015496</v>
      </c>
      <c r="G185" s="2179"/>
      <c r="H185" s="2180"/>
      <c r="I185" s="2180"/>
      <c r="J185" s="2180"/>
      <c r="K185" s="73"/>
      <c r="L185" s="73"/>
      <c r="M185" s="73"/>
      <c r="N185" s="73"/>
      <c r="O185" s="73"/>
      <c r="P185" s="73"/>
      <c r="Q185" s="73"/>
      <c r="R185" s="73"/>
      <c r="S185" s="73"/>
      <c r="T185" s="73"/>
      <c r="U185" s="73"/>
      <c r="V185" s="73"/>
      <c r="W185" s="73"/>
      <c r="X185" s="73"/>
      <c r="Y185" s="73"/>
      <c r="Z185" s="73"/>
      <c r="AA185" s="73"/>
      <c r="AB185" s="73"/>
      <c r="AC185" s="73"/>
      <c r="AD185" s="73"/>
      <c r="AE185" s="73"/>
      <c r="AF185" s="73"/>
    </row>
    <row r="186" spans="1:32" ht="12">
      <c r="A186" s="2"/>
      <c r="B186" s="115" t="s">
        <v>223</v>
      </c>
      <c r="C186" s="70"/>
      <c r="D186" s="179">
        <v>-5.8802495598014046E-3</v>
      </c>
      <c r="E186" s="179">
        <f>-0.00588424955980141*1000000</f>
        <v>-5884.2495598014102</v>
      </c>
      <c r="F186" s="179">
        <f>-0.00233277934304636*1000000</f>
        <v>-2332.7793430463603</v>
      </c>
      <c r="G186" s="2181"/>
      <c r="H186" s="2180"/>
      <c r="I186" s="2180"/>
      <c r="J186" s="2180"/>
      <c r="K186" s="73"/>
      <c r="L186" s="73"/>
      <c r="M186" s="73"/>
      <c r="N186" s="73"/>
      <c r="O186" s="73"/>
      <c r="P186" s="73"/>
      <c r="Q186" s="73"/>
      <c r="R186" s="73"/>
      <c r="S186" s="73"/>
      <c r="T186" s="73"/>
      <c r="U186" s="73"/>
      <c r="V186" s="73"/>
      <c r="W186" s="73"/>
      <c r="X186" s="73"/>
      <c r="Y186" s="73"/>
      <c r="Z186" s="73"/>
      <c r="AA186" s="73"/>
      <c r="AB186" s="73"/>
      <c r="AC186" s="73"/>
      <c r="AD186" s="73"/>
      <c r="AE186" s="73"/>
      <c r="AF186" s="73"/>
    </row>
    <row r="187" spans="1:32" ht="12">
      <c r="A187" s="2"/>
      <c r="B187" s="115" t="s">
        <v>224</v>
      </c>
      <c r="C187" s="70"/>
      <c r="D187" s="179">
        <v>0</v>
      </c>
      <c r="E187" s="179">
        <v>0</v>
      </c>
      <c r="F187" s="179">
        <v>0</v>
      </c>
      <c r="G187" s="2181"/>
      <c r="H187" s="2180"/>
      <c r="I187" s="2180"/>
      <c r="J187" s="2180"/>
      <c r="K187" s="73"/>
      <c r="L187" s="73"/>
      <c r="M187" s="73"/>
      <c r="N187" s="73"/>
      <c r="O187" s="73"/>
      <c r="P187" s="73"/>
      <c r="Q187" s="73"/>
      <c r="R187" s="73"/>
      <c r="S187" s="73"/>
      <c r="T187" s="73"/>
      <c r="U187" s="73"/>
      <c r="V187" s="73"/>
      <c r="W187" s="73"/>
      <c r="X187" s="73"/>
      <c r="Y187" s="73"/>
      <c r="Z187" s="73"/>
      <c r="AA187" s="73"/>
      <c r="AB187" s="73"/>
      <c r="AC187" s="73"/>
      <c r="AD187" s="73"/>
      <c r="AE187" s="73"/>
      <c r="AF187" s="73"/>
    </row>
    <row r="188" spans="1:32" ht="12">
      <c r="A188" s="2"/>
      <c r="B188" s="169" t="s">
        <v>225</v>
      </c>
      <c r="C188" s="180"/>
      <c r="D188" s="181">
        <f t="shared" ref="D188:E188" si="35">-0.000359026769635702*1000000</f>
        <v>-359.02676963570201</v>
      </c>
      <c r="E188" s="181">
        <f t="shared" si="35"/>
        <v>-359.02676963570201</v>
      </c>
      <c r="F188" s="181">
        <f>-0.0000733856926551827*1000000</f>
        <v>-73.385692655182694</v>
      </c>
      <c r="G188" s="2181"/>
      <c r="H188" s="2180"/>
      <c r="I188" s="2180"/>
      <c r="J188" s="2180"/>
      <c r="K188" s="73"/>
      <c r="L188" s="73"/>
      <c r="M188" s="73"/>
      <c r="N188" s="73"/>
      <c r="O188" s="73"/>
      <c r="P188" s="73"/>
      <c r="Q188" s="73"/>
      <c r="R188" s="73"/>
      <c r="S188" s="73"/>
      <c r="T188" s="73"/>
      <c r="U188" s="73"/>
      <c r="V188" s="73"/>
      <c r="W188" s="73"/>
      <c r="X188" s="73"/>
      <c r="Y188" s="73"/>
      <c r="Z188" s="73"/>
      <c r="AA188" s="73"/>
      <c r="AB188" s="73"/>
      <c r="AC188" s="73"/>
      <c r="AD188" s="73"/>
      <c r="AE188" s="73"/>
      <c r="AF188" s="73"/>
    </row>
    <row r="189" spans="1:32" ht="12">
      <c r="A189" s="2"/>
      <c r="B189" s="169" t="s">
        <v>227</v>
      </c>
      <c r="C189" s="180"/>
      <c r="D189" s="166">
        <f t="shared" ref="D189:F189" si="36">D185+D181</f>
        <v>11721.846240353887</v>
      </c>
      <c r="E189" s="166">
        <f t="shared" si="36"/>
        <v>11717.846240353887</v>
      </c>
      <c r="F189" s="166">
        <f t="shared" si="36"/>
        <v>9993.0098979425511</v>
      </c>
      <c r="G189" s="164"/>
      <c r="H189" s="189"/>
      <c r="I189" s="189"/>
      <c r="J189" s="189"/>
      <c r="K189" s="73"/>
      <c r="L189" s="73"/>
      <c r="M189" s="73"/>
      <c r="N189" s="73"/>
      <c r="O189" s="73"/>
      <c r="P189" s="73"/>
      <c r="Q189" s="73"/>
      <c r="R189" s="73"/>
      <c r="S189" s="73"/>
      <c r="T189" s="73"/>
      <c r="U189" s="73"/>
      <c r="V189" s="73"/>
      <c r="W189" s="73"/>
      <c r="X189" s="73"/>
      <c r="Y189" s="73"/>
      <c r="Z189" s="73"/>
      <c r="AA189" s="73"/>
      <c r="AB189" s="73"/>
      <c r="AC189" s="73"/>
      <c r="AD189" s="73"/>
      <c r="AE189" s="73"/>
      <c r="AF189" s="73"/>
    </row>
    <row r="190" spans="1:32" ht="10.199999999999999">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row>
    <row r="191" spans="1:32" ht="10.199999999999999">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row>
    <row r="192" spans="1:32" ht="14.4">
      <c r="A192" s="73"/>
      <c r="B192" s="108" t="s">
        <v>228</v>
      </c>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row>
    <row r="193" spans="1:32" ht="10.199999999999999">
      <c r="A193" s="73"/>
      <c r="B193" s="73"/>
      <c r="C193" s="182"/>
      <c r="D193" s="182"/>
      <c r="E193" s="182"/>
      <c r="F193" s="182"/>
      <c r="G193" s="182"/>
      <c r="H193" s="182"/>
      <c r="I193" s="182"/>
      <c r="J193" s="182"/>
      <c r="K193" s="73"/>
      <c r="L193" s="73"/>
      <c r="M193" s="73"/>
      <c r="N193" s="73"/>
      <c r="O193" s="73"/>
      <c r="P193" s="73"/>
      <c r="Q193" s="73"/>
      <c r="R193" s="73"/>
      <c r="S193" s="73"/>
      <c r="T193" s="73"/>
      <c r="U193" s="73"/>
      <c r="V193" s="73"/>
      <c r="W193" s="73"/>
      <c r="X193" s="73"/>
      <c r="Y193" s="73"/>
      <c r="Z193" s="73"/>
      <c r="AA193" s="73"/>
      <c r="AB193" s="73"/>
      <c r="AC193" s="73"/>
      <c r="AD193" s="73"/>
      <c r="AE193" s="73"/>
      <c r="AF193" s="73"/>
    </row>
    <row r="194" spans="1:32" ht="12">
      <c r="A194" s="73"/>
      <c r="B194" s="183"/>
      <c r="C194" s="2313" t="s">
        <v>229</v>
      </c>
      <c r="D194" s="2310"/>
      <c r="E194" s="2310"/>
      <c r="F194" s="2252"/>
      <c r="G194" s="2309" t="s">
        <v>230</v>
      </c>
      <c r="H194" s="2310"/>
      <c r="I194" s="2311" t="s">
        <v>231</v>
      </c>
      <c r="J194" s="2312"/>
      <c r="K194" s="2182"/>
      <c r="L194" s="2158"/>
      <c r="M194" s="73"/>
      <c r="N194" s="73"/>
      <c r="O194" s="73"/>
      <c r="P194" s="73"/>
      <c r="Q194" s="73"/>
      <c r="R194" s="73"/>
      <c r="S194" s="73"/>
      <c r="T194" s="73"/>
      <c r="U194" s="73"/>
      <c r="V194" s="73"/>
      <c r="W194" s="73"/>
      <c r="X194" s="73"/>
      <c r="Y194" s="73"/>
      <c r="Z194" s="73"/>
      <c r="AA194" s="73"/>
      <c r="AB194" s="73"/>
      <c r="AC194" s="73"/>
      <c r="AD194" s="73"/>
      <c r="AE194" s="73"/>
      <c r="AF194" s="73"/>
    </row>
    <row r="195" spans="1:32" ht="12">
      <c r="A195" s="2"/>
      <c r="B195" s="184" t="s">
        <v>232</v>
      </c>
      <c r="C195" s="167" t="s">
        <v>233</v>
      </c>
      <c r="D195" s="167" t="s">
        <v>234</v>
      </c>
      <c r="E195" s="167" t="s">
        <v>235</v>
      </c>
      <c r="F195" s="185" t="s">
        <v>236</v>
      </c>
      <c r="G195" s="167">
        <v>2006</v>
      </c>
      <c r="H195" s="167">
        <v>2011</v>
      </c>
      <c r="I195" s="167">
        <v>2006</v>
      </c>
      <c r="J195" s="167">
        <v>2011</v>
      </c>
      <c r="K195" s="2182"/>
      <c r="L195" s="2158"/>
      <c r="M195" s="73"/>
      <c r="N195" s="73"/>
      <c r="O195" s="73"/>
      <c r="P195" s="73"/>
      <c r="Q195" s="73"/>
      <c r="R195" s="73"/>
      <c r="S195" s="73"/>
      <c r="T195" s="73"/>
      <c r="U195" s="73"/>
      <c r="V195" s="73"/>
      <c r="W195" s="73"/>
      <c r="X195" s="73"/>
      <c r="Y195" s="73"/>
      <c r="Z195" s="73"/>
      <c r="AA195" s="73"/>
      <c r="AB195" s="73"/>
      <c r="AC195" s="73"/>
      <c r="AD195" s="73"/>
      <c r="AE195" s="73"/>
      <c r="AF195" s="73"/>
    </row>
    <row r="196" spans="1:32" ht="12">
      <c r="A196" s="2"/>
      <c r="B196" s="186" t="s">
        <v>237</v>
      </c>
      <c r="C196" s="115" t="s">
        <v>238</v>
      </c>
      <c r="D196" s="187">
        <v>54</v>
      </c>
      <c r="E196" s="70"/>
      <c r="F196" s="188"/>
      <c r="G196" s="165">
        <v>2135.3404</v>
      </c>
      <c r="H196" s="165">
        <v>2144.8393219999998</v>
      </c>
      <c r="I196" s="165">
        <f t="shared" ref="I196:J196" si="37">G196*$D196/1000</f>
        <v>115.3083816</v>
      </c>
      <c r="J196" s="165">
        <f t="shared" si="37"/>
        <v>115.821323388</v>
      </c>
      <c r="K196" s="2182"/>
      <c r="L196" s="164"/>
      <c r="M196" s="73"/>
      <c r="N196" s="189"/>
      <c r="O196" s="73"/>
      <c r="P196" s="189"/>
      <c r="Q196" s="189"/>
      <c r="R196" s="189"/>
      <c r="S196" s="189"/>
      <c r="T196" s="73"/>
      <c r="U196" s="73"/>
      <c r="V196" s="73"/>
      <c r="W196" s="73"/>
      <c r="X196" s="73"/>
      <c r="Y196" s="73"/>
      <c r="Z196" s="73"/>
      <c r="AA196" s="73"/>
      <c r="AB196" s="73"/>
      <c r="AC196" s="73"/>
      <c r="AD196" s="73"/>
      <c r="AE196" s="73"/>
      <c r="AF196" s="73"/>
    </row>
    <row r="197" spans="1:32" ht="12">
      <c r="A197" s="2"/>
      <c r="B197" s="186" t="s">
        <v>237</v>
      </c>
      <c r="C197" s="115" t="s">
        <v>239</v>
      </c>
      <c r="D197" s="187">
        <v>80.3</v>
      </c>
      <c r="E197" s="70"/>
      <c r="F197" s="188"/>
      <c r="G197" s="165">
        <v>5990.6760039999999</v>
      </c>
      <c r="H197" s="165">
        <v>5990.6760039999999</v>
      </c>
      <c r="I197" s="165">
        <f t="shared" ref="I197:J197" si="38">G197*$D197/1000</f>
        <v>481.05128312120002</v>
      </c>
      <c r="J197" s="165">
        <f t="shared" si="38"/>
        <v>481.05128312120002</v>
      </c>
      <c r="K197" s="2182"/>
      <c r="L197" s="164"/>
      <c r="M197" s="73"/>
      <c r="N197" s="189"/>
      <c r="O197" s="73"/>
      <c r="P197" s="189"/>
      <c r="Q197" s="189"/>
      <c r="R197" s="189"/>
      <c r="S197" s="189"/>
      <c r="T197" s="73"/>
      <c r="U197" s="73"/>
      <c r="V197" s="73"/>
      <c r="W197" s="73"/>
      <c r="X197" s="73"/>
      <c r="Y197" s="73"/>
      <c r="Z197" s="73"/>
      <c r="AA197" s="73"/>
      <c r="AB197" s="73"/>
      <c r="AC197" s="73"/>
      <c r="AD197" s="73"/>
      <c r="AE197" s="73"/>
      <c r="AF197" s="73"/>
    </row>
    <row r="198" spans="1:32" ht="12">
      <c r="A198" s="2"/>
      <c r="B198" s="186" t="s">
        <v>240</v>
      </c>
      <c r="C198" s="115" t="s">
        <v>238</v>
      </c>
      <c r="D198" s="187">
        <v>84.7</v>
      </c>
      <c r="E198" s="187">
        <v>1.02</v>
      </c>
      <c r="F198" s="190">
        <f t="shared" ref="F198:F199" si="39">E198*44/12</f>
        <v>3.74</v>
      </c>
      <c r="G198" s="165">
        <v>9.4989216869999993</v>
      </c>
      <c r="H198" s="165">
        <v>0</v>
      </c>
      <c r="I198" s="165">
        <f t="shared" ref="I198:J198" si="40">G198*$D198/1000</f>
        <v>0.80455866688889999</v>
      </c>
      <c r="J198" s="165">
        <f t="shared" si="40"/>
        <v>0</v>
      </c>
      <c r="K198" s="2182"/>
      <c r="L198" s="164"/>
      <c r="M198" s="73"/>
      <c r="N198" s="189"/>
      <c r="O198" s="73"/>
      <c r="P198" s="189"/>
      <c r="Q198" s="189"/>
      <c r="R198" s="189"/>
      <c r="S198" s="189"/>
      <c r="T198" s="73"/>
      <c r="U198" s="73"/>
      <c r="V198" s="73"/>
      <c r="W198" s="73"/>
      <c r="X198" s="73"/>
      <c r="Y198" s="73"/>
      <c r="Z198" s="73"/>
      <c r="AA198" s="73"/>
      <c r="AB198" s="73"/>
      <c r="AC198" s="73"/>
      <c r="AD198" s="73"/>
      <c r="AE198" s="73"/>
      <c r="AF198" s="73"/>
    </row>
    <row r="199" spans="1:32" ht="12">
      <c r="A199" s="2"/>
      <c r="B199" s="186" t="s">
        <v>240</v>
      </c>
      <c r="C199" s="115" t="s">
        <v>239</v>
      </c>
      <c r="D199" s="187">
        <v>127.5</v>
      </c>
      <c r="E199" s="187">
        <v>1.46</v>
      </c>
      <c r="F199" s="190">
        <f t="shared" si="39"/>
        <v>5.3533333333333326</v>
      </c>
      <c r="G199" s="165">
        <v>0</v>
      </c>
      <c r="H199" s="165">
        <v>0</v>
      </c>
      <c r="I199" s="165">
        <f t="shared" ref="I199:J199" si="41">G199*$D199/1000</f>
        <v>0</v>
      </c>
      <c r="J199" s="165">
        <f t="shared" si="41"/>
        <v>0</v>
      </c>
      <c r="K199" s="2182"/>
      <c r="L199" s="164"/>
      <c r="M199" s="73"/>
      <c r="N199" s="189"/>
      <c r="O199" s="73"/>
      <c r="P199" s="189"/>
      <c r="Q199" s="189"/>
      <c r="R199" s="189"/>
      <c r="S199" s="189"/>
      <c r="T199" s="73"/>
      <c r="U199" s="73"/>
      <c r="V199" s="73"/>
      <c r="W199" s="73"/>
      <c r="X199" s="73"/>
      <c r="Y199" s="73"/>
      <c r="Z199" s="73"/>
      <c r="AA199" s="73"/>
      <c r="AB199" s="73"/>
      <c r="AC199" s="73"/>
      <c r="AD199" s="73"/>
      <c r="AE199" s="73"/>
      <c r="AF199" s="73"/>
    </row>
    <row r="200" spans="1:32" ht="12">
      <c r="A200" s="2"/>
      <c r="B200" s="186" t="s">
        <v>241</v>
      </c>
      <c r="C200" s="115" t="s">
        <v>242</v>
      </c>
      <c r="D200" s="191">
        <v>0.09</v>
      </c>
      <c r="E200" s="70"/>
      <c r="F200" s="188"/>
      <c r="G200" s="70"/>
      <c r="H200" s="70"/>
      <c r="I200" s="165">
        <f t="shared" ref="I200:J200" si="42">SUM(I196:I199)*$D200</f>
        <v>53.744780104927997</v>
      </c>
      <c r="J200" s="165">
        <f t="shared" si="42"/>
        <v>53.718534585828003</v>
      </c>
      <c r="K200" s="2182"/>
      <c r="L200" s="164"/>
      <c r="M200" s="73"/>
      <c r="N200" s="189"/>
      <c r="O200" s="73"/>
      <c r="P200" s="189"/>
      <c r="Q200" s="189"/>
      <c r="R200" s="189"/>
      <c r="S200" s="189"/>
      <c r="T200" s="73"/>
      <c r="U200" s="73"/>
      <c r="V200" s="73"/>
      <c r="W200" s="73"/>
      <c r="X200" s="73"/>
      <c r="Y200" s="73"/>
      <c r="Z200" s="73"/>
      <c r="AA200" s="73"/>
      <c r="AB200" s="73"/>
      <c r="AC200" s="73"/>
      <c r="AD200" s="73"/>
      <c r="AE200" s="73"/>
      <c r="AF200" s="73"/>
    </row>
    <row r="201" spans="1:32" ht="12">
      <c r="A201" s="2"/>
      <c r="B201" s="186" t="s">
        <v>243</v>
      </c>
      <c r="C201" s="115" t="s">
        <v>242</v>
      </c>
      <c r="D201" s="187">
        <v>183</v>
      </c>
      <c r="E201" s="70"/>
      <c r="F201" s="188"/>
      <c r="G201" s="165">
        <v>378.54672799999997</v>
      </c>
      <c r="H201" s="165">
        <v>381.76787580000001</v>
      </c>
      <c r="I201" s="165">
        <f t="shared" ref="I201:J201" si="43">G201*$D201/1000</f>
        <v>69.27405122399999</v>
      </c>
      <c r="J201" s="165">
        <f t="shared" si="43"/>
        <v>69.863521271400003</v>
      </c>
      <c r="K201" s="2182"/>
      <c r="L201" s="164"/>
      <c r="M201" s="73"/>
      <c r="N201" s="189"/>
      <c r="O201" s="73"/>
      <c r="P201" s="189"/>
      <c r="Q201" s="189"/>
      <c r="R201" s="189"/>
      <c r="S201" s="189"/>
      <c r="T201" s="73"/>
      <c r="U201" s="73"/>
      <c r="V201" s="73"/>
      <c r="W201" s="73"/>
      <c r="X201" s="73"/>
      <c r="Y201" s="73"/>
      <c r="Z201" s="73"/>
      <c r="AA201" s="73"/>
      <c r="AB201" s="73"/>
      <c r="AC201" s="73"/>
      <c r="AD201" s="73"/>
      <c r="AE201" s="73"/>
      <c r="AF201" s="73"/>
    </row>
    <row r="202" spans="1:32" ht="12">
      <c r="A202" s="2"/>
      <c r="B202" s="186" t="s">
        <v>244</v>
      </c>
      <c r="C202" s="115" t="s">
        <v>238</v>
      </c>
      <c r="D202" s="187">
        <v>183</v>
      </c>
      <c r="E202" s="187">
        <v>1.02</v>
      </c>
      <c r="F202" s="190">
        <f t="shared" ref="F202:F203" si="44">E202*44/12</f>
        <v>3.74</v>
      </c>
      <c r="G202" s="165">
        <v>0</v>
      </c>
      <c r="H202" s="165">
        <v>0</v>
      </c>
      <c r="I202" s="165">
        <f t="shared" ref="I202:J202" si="45">G202*$D202/1000</f>
        <v>0</v>
      </c>
      <c r="J202" s="165">
        <f t="shared" si="45"/>
        <v>0</v>
      </c>
      <c r="K202" s="2182"/>
      <c r="L202" s="164"/>
      <c r="M202" s="73"/>
      <c r="N202" s="189"/>
      <c r="O202" s="73"/>
      <c r="P202" s="189"/>
      <c r="Q202" s="189"/>
      <c r="R202" s="189"/>
      <c r="S202" s="189"/>
      <c r="T202" s="73"/>
      <c r="U202" s="73"/>
      <c r="V202" s="73"/>
      <c r="W202" s="73"/>
      <c r="X202" s="73"/>
      <c r="Y202" s="73"/>
      <c r="Z202" s="73"/>
      <c r="AA202" s="73"/>
      <c r="AB202" s="73"/>
      <c r="AC202" s="73"/>
      <c r="AD202" s="73"/>
      <c r="AE202" s="73"/>
      <c r="AF202" s="73"/>
    </row>
    <row r="203" spans="1:32" ht="12">
      <c r="A203" s="2"/>
      <c r="B203" s="186" t="s">
        <v>244</v>
      </c>
      <c r="C203" s="115" t="s">
        <v>239</v>
      </c>
      <c r="D203" s="187">
        <v>183</v>
      </c>
      <c r="E203" s="187">
        <v>1.46</v>
      </c>
      <c r="F203" s="190">
        <f t="shared" si="44"/>
        <v>5.3533333333333326</v>
      </c>
      <c r="G203" s="165">
        <v>6.1635079480000003</v>
      </c>
      <c r="H203" s="165">
        <v>8.6464103950000002</v>
      </c>
      <c r="I203" s="165">
        <f t="shared" ref="I203:J203" si="46">G203*$D203/1000</f>
        <v>1.127921954484</v>
      </c>
      <c r="J203" s="165">
        <f t="shared" si="46"/>
        <v>1.582293102285</v>
      </c>
      <c r="K203" s="2182"/>
      <c r="L203" s="164"/>
      <c r="M203" s="73"/>
      <c r="N203" s="189"/>
      <c r="O203" s="73"/>
      <c r="P203" s="189"/>
      <c r="Q203" s="189"/>
      <c r="R203" s="189"/>
      <c r="S203" s="189"/>
      <c r="T203" s="73"/>
      <c r="U203" s="73"/>
      <c r="V203" s="73"/>
      <c r="W203" s="73"/>
      <c r="X203" s="73"/>
      <c r="Y203" s="73"/>
      <c r="Z203" s="73"/>
      <c r="AA203" s="73"/>
      <c r="AB203" s="73"/>
      <c r="AC203" s="73"/>
      <c r="AD203" s="73"/>
      <c r="AE203" s="73"/>
      <c r="AF203" s="73"/>
    </row>
    <row r="204" spans="1:32" ht="12">
      <c r="A204" s="2"/>
      <c r="B204" s="186" t="s">
        <v>245</v>
      </c>
      <c r="C204" s="169" t="s">
        <v>242</v>
      </c>
      <c r="D204" s="5">
        <v>416</v>
      </c>
      <c r="E204" s="180"/>
      <c r="F204" s="192"/>
      <c r="G204" s="166">
        <v>230.3975188</v>
      </c>
      <c r="H204" s="166">
        <v>230.3975188</v>
      </c>
      <c r="I204" s="166">
        <f t="shared" ref="I204:J204" si="47">G204*$D204/1000</f>
        <v>95.845367820800007</v>
      </c>
      <c r="J204" s="166">
        <f t="shared" si="47"/>
        <v>95.845367820800007</v>
      </c>
      <c r="K204" s="2182"/>
      <c r="L204" s="164"/>
      <c r="M204" s="73"/>
      <c r="N204" s="189"/>
      <c r="O204" s="73"/>
      <c r="P204" s="189"/>
      <c r="Q204" s="189"/>
      <c r="R204" s="189"/>
      <c r="S204" s="189"/>
      <c r="T204" s="73"/>
      <c r="U204" s="73"/>
      <c r="V204" s="73"/>
      <c r="W204" s="73"/>
      <c r="X204" s="73"/>
      <c r="Y204" s="73"/>
      <c r="Z204" s="73"/>
      <c r="AA204" s="73"/>
      <c r="AB204" s="73"/>
      <c r="AC204" s="73"/>
      <c r="AD204" s="73"/>
      <c r="AE204" s="73"/>
      <c r="AF204" s="73"/>
    </row>
    <row r="205" spans="1:32" ht="10.199999999999999">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row>
    <row r="206" spans="1:32" ht="10.199999999999999">
      <c r="A206" s="73"/>
      <c r="B206" s="73"/>
      <c r="C206" s="182"/>
      <c r="D206" s="182"/>
      <c r="E206" s="182"/>
      <c r="F206" s="182"/>
      <c r="G206" s="182"/>
      <c r="H206" s="182"/>
      <c r="I206" s="182"/>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row>
    <row r="207" spans="1:32" ht="12">
      <c r="A207" s="73"/>
      <c r="B207" s="183"/>
      <c r="C207" s="2313" t="s">
        <v>229</v>
      </c>
      <c r="D207" s="2310"/>
      <c r="E207" s="2310"/>
      <c r="F207" s="2252"/>
      <c r="G207" s="2314" t="s">
        <v>230</v>
      </c>
      <c r="H207" s="2240"/>
      <c r="I207" s="2315" t="s">
        <v>246</v>
      </c>
      <c r="J207" s="2316"/>
      <c r="K207" s="2182"/>
      <c r="L207" s="2158"/>
      <c r="M207" s="73"/>
      <c r="N207" s="73"/>
      <c r="O207" s="73"/>
      <c r="P207" s="73"/>
      <c r="Q207" s="73"/>
      <c r="R207" s="73"/>
      <c r="S207" s="73"/>
      <c r="T207" s="73"/>
      <c r="U207" s="73"/>
      <c r="V207" s="73"/>
      <c r="W207" s="73"/>
      <c r="X207" s="73"/>
      <c r="Y207" s="73"/>
      <c r="Z207" s="73"/>
      <c r="AA207" s="73"/>
      <c r="AB207" s="73"/>
      <c r="AC207" s="73"/>
      <c r="AD207" s="73"/>
      <c r="AE207" s="73"/>
      <c r="AF207" s="73"/>
    </row>
    <row r="208" spans="1:32" ht="12">
      <c r="A208" s="2"/>
      <c r="B208" s="184" t="s">
        <v>232</v>
      </c>
      <c r="C208" s="167" t="s">
        <v>233</v>
      </c>
      <c r="D208" s="167" t="s">
        <v>234</v>
      </c>
      <c r="E208" s="167" t="s">
        <v>235</v>
      </c>
      <c r="F208" s="185" t="s">
        <v>236</v>
      </c>
      <c r="G208" s="167">
        <v>2006</v>
      </c>
      <c r="H208" s="167">
        <v>2011</v>
      </c>
      <c r="I208" s="167">
        <v>2006</v>
      </c>
      <c r="J208" s="167">
        <v>2011</v>
      </c>
      <c r="K208" s="2182"/>
      <c r="L208" s="2158"/>
      <c r="M208" s="73"/>
      <c r="N208" s="73"/>
      <c r="O208" s="73"/>
      <c r="P208" s="73"/>
      <c r="Q208" s="73"/>
      <c r="R208" s="73"/>
      <c r="S208" s="73"/>
      <c r="T208" s="73"/>
      <c r="U208" s="73"/>
      <c r="V208" s="73"/>
      <c r="W208" s="73"/>
      <c r="X208" s="73"/>
      <c r="Y208" s="73"/>
      <c r="Z208" s="73"/>
      <c r="AA208" s="73"/>
      <c r="AB208" s="73"/>
      <c r="AC208" s="73"/>
      <c r="AD208" s="73"/>
      <c r="AE208" s="73"/>
      <c r="AF208" s="73"/>
    </row>
    <row r="209" spans="1:32" ht="12">
      <c r="A209" s="2"/>
      <c r="B209" s="186" t="s">
        <v>237</v>
      </c>
      <c r="C209" s="115" t="s">
        <v>238</v>
      </c>
      <c r="D209" s="187">
        <v>54</v>
      </c>
      <c r="E209" s="70"/>
      <c r="F209" s="188"/>
      <c r="G209" s="165">
        <v>2135.3404</v>
      </c>
      <c r="H209" s="165">
        <v>2144.8393219999998</v>
      </c>
      <c r="I209" s="165">
        <f t="shared" ref="I209:J209" si="48">G209*$F209</f>
        <v>0</v>
      </c>
      <c r="J209" s="165">
        <f t="shared" si="48"/>
        <v>0</v>
      </c>
      <c r="K209" s="2182"/>
      <c r="L209" s="164"/>
      <c r="M209" s="73"/>
      <c r="N209" s="189"/>
      <c r="O209" s="73"/>
      <c r="P209" s="189"/>
      <c r="Q209" s="73"/>
      <c r="R209" s="73"/>
      <c r="S209" s="73"/>
      <c r="T209" s="73"/>
      <c r="U209" s="73"/>
      <c r="V209" s="73"/>
      <c r="W209" s="73"/>
      <c r="X209" s="73"/>
      <c r="Y209" s="73"/>
      <c r="Z209" s="73"/>
      <c r="AA209" s="73"/>
      <c r="AB209" s="73"/>
      <c r="AC209" s="73"/>
      <c r="AD209" s="73"/>
      <c r="AE209" s="73"/>
      <c r="AF209" s="73"/>
    </row>
    <row r="210" spans="1:32" ht="12">
      <c r="A210" s="2"/>
      <c r="B210" s="186" t="s">
        <v>237</v>
      </c>
      <c r="C210" s="115" t="s">
        <v>239</v>
      </c>
      <c r="D210" s="187">
        <v>80.3</v>
      </c>
      <c r="E210" s="70"/>
      <c r="F210" s="188"/>
      <c r="G210" s="165">
        <v>5990.6760039999999</v>
      </c>
      <c r="H210" s="165">
        <v>5990.6760039999999</v>
      </c>
      <c r="I210" s="165">
        <f t="shared" ref="I210:J210" si="49">G210*$F210</f>
        <v>0</v>
      </c>
      <c r="J210" s="165">
        <f t="shared" si="49"/>
        <v>0</v>
      </c>
      <c r="K210" s="2182"/>
      <c r="L210" s="164"/>
      <c r="M210" s="73"/>
      <c r="N210" s="189"/>
      <c r="O210" s="73"/>
      <c r="P210" s="189"/>
      <c r="Q210" s="73"/>
      <c r="R210" s="73"/>
      <c r="S210" s="73"/>
      <c r="T210" s="73"/>
      <c r="U210" s="73"/>
      <c r="V210" s="73"/>
      <c r="W210" s="73"/>
      <c r="X210" s="73"/>
      <c r="Y210" s="73"/>
      <c r="Z210" s="73"/>
      <c r="AA210" s="73"/>
      <c r="AB210" s="73"/>
      <c r="AC210" s="73"/>
      <c r="AD210" s="73"/>
      <c r="AE210" s="73"/>
      <c r="AF210" s="73"/>
    </row>
    <row r="211" spans="1:32" ht="12">
      <c r="A211" s="2"/>
      <c r="B211" s="186" t="s">
        <v>240</v>
      </c>
      <c r="C211" s="115" t="s">
        <v>238</v>
      </c>
      <c r="D211" s="187">
        <v>84.7</v>
      </c>
      <c r="E211" s="187">
        <v>1.02</v>
      </c>
      <c r="F211" s="190">
        <f t="shared" ref="F211:F212" si="50">E211*44/12</f>
        <v>3.74</v>
      </c>
      <c r="G211" s="165">
        <v>9.4989216869999993</v>
      </c>
      <c r="H211" s="165">
        <v>0</v>
      </c>
      <c r="I211" s="165">
        <f t="shared" ref="I211:J211" si="51">G211*$F211</f>
        <v>35.525967109379998</v>
      </c>
      <c r="J211" s="165">
        <f t="shared" si="51"/>
        <v>0</v>
      </c>
      <c r="K211" s="2182"/>
      <c r="L211" s="164"/>
      <c r="M211" s="73"/>
      <c r="N211" s="189"/>
      <c r="O211" s="73"/>
      <c r="P211" s="189"/>
      <c r="Q211" s="73"/>
      <c r="R211" s="73"/>
      <c r="S211" s="73"/>
      <c r="T211" s="73"/>
      <c r="U211" s="73"/>
      <c r="V211" s="73"/>
      <c r="W211" s="73"/>
      <c r="X211" s="73"/>
      <c r="Y211" s="73"/>
      <c r="Z211" s="73"/>
      <c r="AA211" s="73"/>
      <c r="AB211" s="73"/>
      <c r="AC211" s="73"/>
      <c r="AD211" s="73"/>
      <c r="AE211" s="73"/>
      <c r="AF211" s="73"/>
    </row>
    <row r="212" spans="1:32" ht="12">
      <c r="A212" s="2"/>
      <c r="B212" s="186" t="s">
        <v>240</v>
      </c>
      <c r="C212" s="115" t="s">
        <v>239</v>
      </c>
      <c r="D212" s="187">
        <v>127.5</v>
      </c>
      <c r="E212" s="187">
        <v>1.46</v>
      </c>
      <c r="F212" s="190">
        <f t="shared" si="50"/>
        <v>5.3533333333333326</v>
      </c>
      <c r="G212" s="165">
        <v>0</v>
      </c>
      <c r="H212" s="165">
        <v>0</v>
      </c>
      <c r="I212" s="165">
        <f t="shared" ref="I212:J212" si="52">G212*$F212</f>
        <v>0</v>
      </c>
      <c r="J212" s="165">
        <f t="shared" si="52"/>
        <v>0</v>
      </c>
      <c r="K212" s="2182"/>
      <c r="L212" s="164"/>
      <c r="M212" s="73"/>
      <c r="N212" s="189"/>
      <c r="O212" s="73"/>
      <c r="P212" s="189"/>
      <c r="Q212" s="73"/>
      <c r="R212" s="73"/>
      <c r="S212" s="73"/>
      <c r="T212" s="73"/>
      <c r="U212" s="73"/>
      <c r="V212" s="73"/>
      <c r="W212" s="73"/>
      <c r="X212" s="73"/>
      <c r="Y212" s="73"/>
      <c r="Z212" s="73"/>
      <c r="AA212" s="73"/>
      <c r="AB212" s="73"/>
      <c r="AC212" s="73"/>
      <c r="AD212" s="73"/>
      <c r="AE212" s="73"/>
      <c r="AF212" s="73"/>
    </row>
    <row r="213" spans="1:32" ht="12">
      <c r="A213" s="2"/>
      <c r="B213" s="186" t="s">
        <v>241</v>
      </c>
      <c r="C213" s="115" t="s">
        <v>242</v>
      </c>
      <c r="D213" s="191">
        <v>0.09</v>
      </c>
      <c r="E213" s="70"/>
      <c r="F213" s="188"/>
      <c r="G213" s="70"/>
      <c r="H213" s="70"/>
      <c r="I213" s="165"/>
      <c r="J213" s="165"/>
      <c r="K213" s="2182"/>
      <c r="L213" s="164"/>
      <c r="M213" s="73"/>
      <c r="N213" s="189"/>
      <c r="O213" s="73"/>
      <c r="P213" s="189"/>
      <c r="Q213" s="73"/>
      <c r="R213" s="73"/>
      <c r="S213" s="73"/>
      <c r="T213" s="73"/>
      <c r="U213" s="73"/>
      <c r="V213" s="73"/>
      <c r="W213" s="73"/>
      <c r="X213" s="73"/>
      <c r="Y213" s="73"/>
      <c r="Z213" s="73"/>
      <c r="AA213" s="73"/>
      <c r="AB213" s="73"/>
      <c r="AC213" s="73"/>
      <c r="AD213" s="73"/>
      <c r="AE213" s="73"/>
      <c r="AF213" s="73"/>
    </row>
    <row r="214" spans="1:32" ht="12">
      <c r="A214" s="2"/>
      <c r="B214" s="186" t="s">
        <v>243</v>
      </c>
      <c r="C214" s="115" t="s">
        <v>242</v>
      </c>
      <c r="D214" s="187">
        <v>183</v>
      </c>
      <c r="E214" s="70"/>
      <c r="F214" s="188"/>
      <c r="G214" s="165">
        <v>378.54672799999997</v>
      </c>
      <c r="H214" s="165">
        <v>381.76787580000001</v>
      </c>
      <c r="I214" s="165">
        <f t="shared" ref="I214:J214" si="53">G214*$F214</f>
        <v>0</v>
      </c>
      <c r="J214" s="165">
        <f t="shared" si="53"/>
        <v>0</v>
      </c>
      <c r="K214" s="2182"/>
      <c r="L214" s="164"/>
      <c r="M214" s="73"/>
      <c r="N214" s="189"/>
      <c r="O214" s="73"/>
      <c r="P214" s="189"/>
      <c r="Q214" s="73"/>
      <c r="R214" s="73"/>
      <c r="S214" s="73"/>
      <c r="T214" s="73"/>
      <c r="U214" s="73"/>
      <c r="V214" s="73"/>
      <c r="W214" s="73"/>
      <c r="X214" s="73"/>
      <c r="Y214" s="73"/>
      <c r="Z214" s="73"/>
      <c r="AA214" s="73"/>
      <c r="AB214" s="73"/>
      <c r="AC214" s="73"/>
      <c r="AD214" s="73"/>
      <c r="AE214" s="73"/>
      <c r="AF214" s="73"/>
    </row>
    <row r="215" spans="1:32" ht="12">
      <c r="A215" s="2"/>
      <c r="B215" s="186" t="s">
        <v>244</v>
      </c>
      <c r="C215" s="115" t="s">
        <v>238</v>
      </c>
      <c r="D215" s="187">
        <v>183</v>
      </c>
      <c r="E215" s="187">
        <v>1.02</v>
      </c>
      <c r="F215" s="190">
        <f t="shared" ref="F215:F216" si="54">E215*44/12</f>
        <v>3.74</v>
      </c>
      <c r="G215" s="165">
        <v>0</v>
      </c>
      <c r="H215" s="165">
        <v>0</v>
      </c>
      <c r="I215" s="165">
        <f t="shared" ref="I215:J215" si="55">G215*$F215</f>
        <v>0</v>
      </c>
      <c r="J215" s="165">
        <f t="shared" si="55"/>
        <v>0</v>
      </c>
      <c r="K215" s="2182"/>
      <c r="L215" s="164"/>
      <c r="M215" s="73"/>
      <c r="N215" s="189"/>
      <c r="O215" s="73"/>
      <c r="P215" s="189"/>
      <c r="Q215" s="73"/>
      <c r="R215" s="73"/>
      <c r="S215" s="73"/>
      <c r="T215" s="73"/>
      <c r="U215" s="73"/>
      <c r="V215" s="73"/>
      <c r="W215" s="73"/>
      <c r="X215" s="73"/>
      <c r="Y215" s="73"/>
      <c r="Z215" s="73"/>
      <c r="AA215" s="73"/>
      <c r="AB215" s="73"/>
      <c r="AC215" s="73"/>
      <c r="AD215" s="73"/>
      <c r="AE215" s="73"/>
      <c r="AF215" s="73"/>
    </row>
    <row r="216" spans="1:32" ht="12">
      <c r="A216" s="2"/>
      <c r="B216" s="186" t="s">
        <v>244</v>
      </c>
      <c r="C216" s="115" t="s">
        <v>239</v>
      </c>
      <c r="D216" s="187">
        <v>183</v>
      </c>
      <c r="E216" s="187">
        <v>1.46</v>
      </c>
      <c r="F216" s="190">
        <f t="shared" si="54"/>
        <v>5.3533333333333326</v>
      </c>
      <c r="G216" s="165">
        <v>6.1635079480000003</v>
      </c>
      <c r="H216" s="165">
        <v>8.6464103950000002</v>
      </c>
      <c r="I216" s="165">
        <f t="shared" ref="I216:J216" si="56">G216*$F216</f>
        <v>32.995312548293327</v>
      </c>
      <c r="J216" s="165">
        <f t="shared" si="56"/>
        <v>46.287116981233325</v>
      </c>
      <c r="K216" s="2182"/>
      <c r="L216" s="164"/>
      <c r="M216" s="73"/>
      <c r="N216" s="189"/>
      <c r="O216" s="73"/>
      <c r="P216" s="189"/>
      <c r="Q216" s="73"/>
      <c r="R216" s="73"/>
      <c r="S216" s="73"/>
      <c r="T216" s="73"/>
      <c r="U216" s="73"/>
      <c r="V216" s="73"/>
      <c r="W216" s="73"/>
      <c r="X216" s="73"/>
      <c r="Y216" s="73"/>
      <c r="Z216" s="73"/>
      <c r="AA216" s="73"/>
      <c r="AB216" s="73"/>
      <c r="AC216" s="73"/>
      <c r="AD216" s="73"/>
      <c r="AE216" s="73"/>
      <c r="AF216" s="73"/>
    </row>
    <row r="217" spans="1:32" ht="12">
      <c r="A217" s="2"/>
      <c r="B217" s="186" t="s">
        <v>245</v>
      </c>
      <c r="C217" s="169" t="s">
        <v>242</v>
      </c>
      <c r="D217" s="5">
        <v>416</v>
      </c>
      <c r="E217" s="180"/>
      <c r="F217" s="192"/>
      <c r="G217" s="166">
        <v>230.3975188</v>
      </c>
      <c r="H217" s="166">
        <v>230.3975188</v>
      </c>
      <c r="I217" s="166">
        <f t="shared" ref="I217:J217" si="57">G217*$F217</f>
        <v>0</v>
      </c>
      <c r="J217" s="166">
        <f t="shared" si="57"/>
        <v>0</v>
      </c>
      <c r="K217" s="2182"/>
      <c r="L217" s="164"/>
      <c r="M217" s="73"/>
      <c r="N217" s="189"/>
      <c r="O217" s="73"/>
      <c r="P217" s="189"/>
      <c r="Q217" s="73"/>
      <c r="R217" s="73"/>
      <c r="S217" s="73"/>
      <c r="T217" s="73"/>
      <c r="U217" s="73"/>
      <c r="V217" s="73"/>
      <c r="W217" s="73"/>
      <c r="X217" s="73"/>
      <c r="Y217" s="73"/>
      <c r="Z217" s="73"/>
      <c r="AA217" s="73"/>
      <c r="AB217" s="73"/>
      <c r="AC217" s="73"/>
      <c r="AD217" s="73"/>
      <c r="AE217" s="73"/>
      <c r="AF217" s="73"/>
    </row>
    <row r="218" spans="1:32" ht="10.199999999999999">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row>
    <row r="219" spans="1:32" ht="10.199999999999999">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row>
    <row r="220" spans="1:32" ht="14.4">
      <c r="A220" s="73"/>
      <c r="B220" s="108" t="s">
        <v>247</v>
      </c>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row>
    <row r="221" spans="1:32" ht="10.199999999999999">
      <c r="A221" s="73"/>
      <c r="B221" s="59"/>
      <c r="C221" s="59"/>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row>
    <row r="222" spans="1:32" ht="12">
      <c r="A222" s="2"/>
      <c r="B222" s="111" t="s">
        <v>170</v>
      </c>
      <c r="C222" s="167">
        <v>2011</v>
      </c>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row>
    <row r="223" spans="1:32" ht="12">
      <c r="A223" s="2"/>
      <c r="B223" s="111" t="s">
        <v>4</v>
      </c>
      <c r="C223" s="193">
        <f>SUM(C224:C226)</f>
        <v>-0.6122682152931217</v>
      </c>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row>
    <row r="224" spans="1:32" ht="12">
      <c r="A224" s="2"/>
      <c r="B224" s="194" t="s">
        <v>248</v>
      </c>
      <c r="C224" s="195">
        <f>(F165+F189)/1000000</f>
        <v>-0.60154175222010287</v>
      </c>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row>
    <row r="225" spans="1:32" ht="12">
      <c r="A225" s="2"/>
      <c r="B225" s="194" t="s">
        <v>249</v>
      </c>
      <c r="C225" s="195">
        <f>F166/1000000</f>
        <v>-1.0772750190000001E-2</v>
      </c>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row>
    <row r="226" spans="1:32" ht="12">
      <c r="A226" s="2"/>
      <c r="B226" s="194" t="s">
        <v>250</v>
      </c>
      <c r="C226" s="195">
        <f>SUM(J209:J217)/1000000</f>
        <v>4.6287116981233327E-5</v>
      </c>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row>
    <row r="227" spans="1:32" ht="12">
      <c r="A227" s="2"/>
      <c r="B227" s="111" t="s">
        <v>5</v>
      </c>
      <c r="C227" s="193">
        <f>SUM(C228:C230)</f>
        <v>0.33428782616452424</v>
      </c>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row>
    <row r="228" spans="1:32" ht="12">
      <c r="A228" s="2"/>
      <c r="B228" s="194" t="s">
        <v>248</v>
      </c>
      <c r="C228" s="195">
        <f>F176*K5/1000000</f>
        <v>0.30821734863241784</v>
      </c>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row>
    <row r="229" spans="1:32" ht="12">
      <c r="A229" s="2"/>
      <c r="B229" s="194" t="s">
        <v>249</v>
      </c>
      <c r="C229" s="195">
        <f>F177*K5/1000000</f>
        <v>3.1697724800000006E-3</v>
      </c>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row>
    <row r="230" spans="1:32" ht="12">
      <c r="A230" s="2"/>
      <c r="B230" s="194" t="s">
        <v>250</v>
      </c>
      <c r="C230" s="195">
        <f>SUM(J196:J204)*K5/1000000</f>
        <v>2.2900705052106368E-2</v>
      </c>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row>
    <row r="231" spans="1:32" ht="12">
      <c r="A231" s="2"/>
      <c r="B231" s="111" t="s">
        <v>177</v>
      </c>
      <c r="C231" s="193">
        <f>C223+C227</f>
        <v>-0.27798038912859746</v>
      </c>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row>
    <row r="232" spans="1:32" ht="10.199999999999999">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row>
    <row r="233" spans="1:32" ht="10.199999999999999">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row>
    <row r="234" spans="1:32" ht="14.4">
      <c r="A234" s="73"/>
      <c r="B234" s="106" t="s">
        <v>251</v>
      </c>
      <c r="C234" s="107"/>
      <c r="D234" s="107"/>
      <c r="E234" s="107"/>
      <c r="F234" s="107"/>
      <c r="G234" s="107"/>
      <c r="H234" s="107"/>
      <c r="I234" s="107"/>
      <c r="J234" s="107"/>
      <c r="K234" s="107"/>
      <c r="L234" s="107"/>
      <c r="M234" s="107"/>
      <c r="N234" s="107"/>
      <c r="O234" s="107"/>
      <c r="P234" s="107"/>
      <c r="Q234" s="107"/>
      <c r="R234" s="107"/>
      <c r="S234" s="107"/>
      <c r="T234" s="73"/>
      <c r="U234" s="73"/>
      <c r="V234" s="73"/>
      <c r="W234" s="73"/>
      <c r="X234" s="73"/>
      <c r="Y234" s="73"/>
      <c r="Z234" s="73"/>
      <c r="AA234" s="73"/>
      <c r="AB234" s="73"/>
      <c r="AC234" s="73"/>
      <c r="AD234" s="73"/>
      <c r="AE234" s="73"/>
      <c r="AF234" s="73"/>
    </row>
    <row r="235" spans="1:32" ht="10.199999999999999">
      <c r="A235" s="73"/>
      <c r="B235" s="73"/>
      <c r="C235" s="59"/>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row>
    <row r="236" spans="1:32" ht="14.4">
      <c r="A236" s="73"/>
      <c r="B236" s="70"/>
      <c r="C236" s="196">
        <v>2011</v>
      </c>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row>
    <row r="237" spans="1:32" ht="14.4">
      <c r="A237" s="2"/>
      <c r="B237" s="197" t="s">
        <v>252</v>
      </c>
      <c r="C237" s="198">
        <f>C238+C245+C248+C250+C253+C254</f>
        <v>-9.3438924728087827</v>
      </c>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row>
    <row r="238" spans="1:32" ht="14.4">
      <c r="A238" s="2"/>
      <c r="B238" s="199" t="s">
        <v>58</v>
      </c>
      <c r="C238" s="200">
        <f>SUM(C239:C244)</f>
        <v>-7.9136360000000012</v>
      </c>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row>
    <row r="239" spans="1:32" ht="14.4">
      <c r="A239" s="2"/>
      <c r="B239" s="29" t="s">
        <v>171</v>
      </c>
      <c r="C239" s="201">
        <f t="shared" ref="C239:C244" si="58">C64</f>
        <v>-6.391</v>
      </c>
      <c r="D239" s="73"/>
      <c r="E239" s="73"/>
      <c r="F239" s="202"/>
      <c r="G239" s="202"/>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row>
    <row r="240" spans="1:32" ht="14.4">
      <c r="A240" s="2"/>
      <c r="B240" s="29" t="s">
        <v>172</v>
      </c>
      <c r="C240" s="201">
        <f t="shared" si="58"/>
        <v>-1.2526360000000001</v>
      </c>
      <c r="D240" s="73"/>
      <c r="E240" s="73"/>
      <c r="F240" s="202"/>
      <c r="G240" s="202"/>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row>
    <row r="241" spans="1:32" ht="14.4">
      <c r="A241" s="2"/>
      <c r="B241" s="29" t="s">
        <v>173</v>
      </c>
      <c r="C241" s="201">
        <f t="shared" si="58"/>
        <v>-0.50000000000000011</v>
      </c>
      <c r="D241" s="73"/>
      <c r="E241" s="73"/>
      <c r="F241" s="202"/>
      <c r="G241" s="202"/>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row>
    <row r="242" spans="1:32" ht="14.4">
      <c r="A242" s="2"/>
      <c r="B242" s="29" t="s">
        <v>174</v>
      </c>
      <c r="C242" s="201">
        <f t="shared" si="58"/>
        <v>9.9999999999999992E-2</v>
      </c>
      <c r="D242" s="73"/>
      <c r="E242" s="73"/>
      <c r="F242" s="202"/>
      <c r="G242" s="202"/>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row>
    <row r="243" spans="1:32" ht="14.4">
      <c r="A243" s="2"/>
      <c r="B243" s="29" t="s">
        <v>175</v>
      </c>
      <c r="C243" s="201">
        <f t="shared" si="58"/>
        <v>0.13</v>
      </c>
      <c r="D243" s="73"/>
      <c r="E243" s="73"/>
      <c r="F243" s="202"/>
      <c r="G243" s="202"/>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row>
    <row r="244" spans="1:32" ht="14.4">
      <c r="A244" s="2"/>
      <c r="B244" s="29" t="s">
        <v>176</v>
      </c>
      <c r="C244" s="201">
        <f t="shared" si="58"/>
        <v>0</v>
      </c>
      <c r="D244" s="73"/>
      <c r="E244" s="73"/>
      <c r="F244" s="202"/>
      <c r="G244" s="202"/>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row>
    <row r="245" spans="1:32" ht="14.4">
      <c r="A245" s="2"/>
      <c r="B245" s="199" t="s">
        <v>59</v>
      </c>
      <c r="C245" s="200">
        <f>C246+C247</f>
        <v>-0.93822819744427544</v>
      </c>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row>
    <row r="246" spans="1:32" ht="14.4">
      <c r="A246" s="2"/>
      <c r="B246" s="29" t="s">
        <v>178</v>
      </c>
      <c r="C246" s="201">
        <f>D77</f>
        <v>-0.21822819744427552</v>
      </c>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row>
    <row r="247" spans="1:32" ht="14.4">
      <c r="A247" s="2"/>
      <c r="B247" s="29" t="s">
        <v>184</v>
      </c>
      <c r="C247" s="201">
        <f>D86</f>
        <v>-0.72</v>
      </c>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row>
    <row r="248" spans="1:32" ht="14.4">
      <c r="A248" s="2"/>
      <c r="B248" s="199" t="s">
        <v>60</v>
      </c>
      <c r="C248" s="200">
        <f>C249</f>
        <v>1.6612876499999998E-2</v>
      </c>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row>
    <row r="249" spans="1:32" ht="14.4">
      <c r="A249" s="2"/>
      <c r="B249" s="29" t="s">
        <v>6</v>
      </c>
      <c r="C249" s="201">
        <f>G93</f>
        <v>1.6612876499999998E-2</v>
      </c>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row>
    <row r="250" spans="1:32" ht="14.4">
      <c r="A250" s="2"/>
      <c r="B250" s="199" t="s">
        <v>61</v>
      </c>
      <c r="C250" s="200">
        <f>C251+C252</f>
        <v>6.7339237264091995E-2</v>
      </c>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row>
    <row r="251" spans="1:32" ht="14.4">
      <c r="A251" s="2"/>
      <c r="B251" s="29" t="s">
        <v>5</v>
      </c>
      <c r="C251" s="201">
        <f>D127</f>
        <v>5.9670009812447994E-2</v>
      </c>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row>
    <row r="252" spans="1:32" ht="14.4">
      <c r="A252" s="2"/>
      <c r="B252" s="29" t="s">
        <v>6</v>
      </c>
      <c r="C252" s="201">
        <f>D130</f>
        <v>7.6692274516439998E-3</v>
      </c>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row>
    <row r="253" spans="1:32" ht="14.4">
      <c r="A253" s="2"/>
      <c r="B253" s="199" t="s">
        <v>253</v>
      </c>
      <c r="C253" s="200">
        <f>D139</f>
        <v>-0.29799999999999999</v>
      </c>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row>
    <row r="254" spans="1:32" ht="14.4">
      <c r="A254" s="2"/>
      <c r="B254" s="199" t="s">
        <v>63</v>
      </c>
      <c r="C254" s="200">
        <f>SUM(C255:C256)</f>
        <v>-0.27798038912859746</v>
      </c>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row>
    <row r="255" spans="1:32" ht="14.4">
      <c r="A255" s="2"/>
      <c r="B255" s="29" t="s">
        <v>4</v>
      </c>
      <c r="C255" s="201">
        <f>C223</f>
        <v>-0.6122682152931217</v>
      </c>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row>
    <row r="256" spans="1:32" ht="14.4">
      <c r="A256" s="2"/>
      <c r="B256" s="29" t="s">
        <v>5</v>
      </c>
      <c r="C256" s="201">
        <f>C227</f>
        <v>0.33428782616452424</v>
      </c>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row>
    <row r="257" spans="1:32" ht="10.199999999999999">
      <c r="A257" s="73"/>
      <c r="B257" s="73" t="s">
        <v>254</v>
      </c>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row>
    <row r="258" spans="1:32" ht="10.199999999999999">
      <c r="A258" s="73"/>
      <c r="B258" s="73" t="s">
        <v>255</v>
      </c>
      <c r="C258" s="73"/>
      <c r="D258" s="73"/>
      <c r="E258" s="73"/>
      <c r="F258" s="73"/>
      <c r="G258" s="73"/>
      <c r="H258" s="73"/>
      <c r="I258" s="4"/>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row>
    <row r="259" spans="1:32" ht="10.199999999999999">
      <c r="A259" s="73"/>
      <c r="B259" s="73" t="s">
        <v>256</v>
      </c>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row>
    <row r="260" spans="1:32" ht="10.199999999999999">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row>
    <row r="261" spans="1:32" ht="10.199999999999999">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row>
    <row r="262" spans="1:32" ht="10.199999999999999">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row>
    <row r="263" spans="1:32" ht="10.199999999999999">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row>
    <row r="264" spans="1:32" ht="10.199999999999999">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row>
    <row r="265" spans="1:32" ht="10.199999999999999">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row>
    <row r="266" spans="1:32" ht="10.199999999999999">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row>
    <row r="267" spans="1:32" ht="10.199999999999999">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row>
    <row r="268" spans="1:32" ht="10.199999999999999">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row>
    <row r="269" spans="1:32" ht="10.199999999999999">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row>
    <row r="270" spans="1:32" ht="10.199999999999999">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row>
    <row r="271" spans="1:32" ht="10.199999999999999">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row>
    <row r="272" spans="1:32" ht="10.199999999999999">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row>
    <row r="273" spans="1:32" ht="10.199999999999999">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row>
    <row r="274" spans="1:32" ht="10.199999999999999">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row>
    <row r="275" spans="1:32" ht="10.199999999999999">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row>
    <row r="276" spans="1:32" ht="10.199999999999999">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row>
    <row r="277" spans="1:32" ht="10.199999999999999">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row>
    <row r="278" spans="1:32" ht="10.199999999999999">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row>
    <row r="279" spans="1:32" ht="10.199999999999999">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row>
    <row r="280" spans="1:32" ht="10.199999999999999">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row>
    <row r="281" spans="1:32" ht="10.199999999999999">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row>
    <row r="282" spans="1:32" ht="10.199999999999999">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row>
    <row r="283" spans="1:32" ht="10.199999999999999">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row>
    <row r="284" spans="1:32" ht="10.199999999999999">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row>
    <row r="285" spans="1:32" ht="10.199999999999999">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row>
    <row r="286" spans="1:32" ht="10.199999999999999">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row>
    <row r="287" spans="1:32" ht="10.199999999999999">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row>
    <row r="288" spans="1:32" ht="10.199999999999999">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row>
    <row r="289" spans="1:32" ht="10.199999999999999">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row>
    <row r="290" spans="1:32" ht="10.199999999999999">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row>
    <row r="291" spans="1:32" ht="10.199999999999999">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row>
    <row r="292" spans="1:32" ht="10.199999999999999">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row>
    <row r="293" spans="1:32" ht="10.199999999999999">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row>
    <row r="294" spans="1:32" ht="10.199999999999999">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row>
    <row r="295" spans="1:32" ht="10.199999999999999">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row>
    <row r="296" spans="1:32" ht="10.199999999999999">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row>
    <row r="297" spans="1:32" ht="10.199999999999999">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row>
    <row r="298" spans="1:32" ht="10.199999999999999">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row>
    <row r="299" spans="1:32" ht="10.199999999999999">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row>
    <row r="300" spans="1:32" ht="10.199999999999999">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row>
    <row r="301" spans="1:32" ht="10.199999999999999">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row>
    <row r="302" spans="1:32" ht="10.199999999999999">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row>
    <row r="303" spans="1:32" ht="10.199999999999999">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row>
    <row r="304" spans="1:32" ht="10.199999999999999">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row>
    <row r="305" spans="1:32" ht="10.199999999999999">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row>
    <row r="306" spans="1:32" ht="10.199999999999999">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row>
    <row r="307" spans="1:32" ht="10.199999999999999">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row>
    <row r="308" spans="1:32" ht="10.199999999999999">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row>
    <row r="309" spans="1:32" ht="10.199999999999999">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row>
    <row r="310" spans="1:32" ht="10.199999999999999">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row>
    <row r="311" spans="1:32" ht="10.199999999999999">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row>
    <row r="312" spans="1:32" ht="10.199999999999999">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row>
    <row r="313" spans="1:32" ht="10.199999999999999">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row>
    <row r="314" spans="1:32" ht="10.199999999999999">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row>
    <row r="315" spans="1:32" ht="10.199999999999999">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row>
    <row r="316" spans="1:32" ht="10.199999999999999">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row>
    <row r="317" spans="1:32" ht="10.199999999999999">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row>
    <row r="318" spans="1:32" ht="10.199999999999999">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row>
    <row r="319" spans="1:32" ht="10.199999999999999">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row>
    <row r="320" spans="1:32" ht="10.199999999999999">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row>
    <row r="321" spans="1:32" ht="10.199999999999999">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row>
    <row r="322" spans="1:32" ht="10.199999999999999">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row>
    <row r="323" spans="1:32" ht="10.199999999999999">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row>
    <row r="324" spans="1:32" ht="10.199999999999999">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row>
    <row r="325" spans="1:32" ht="10.199999999999999">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row>
    <row r="326" spans="1:32" ht="10.199999999999999">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row>
    <row r="327" spans="1:32" ht="10.199999999999999">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row>
    <row r="328" spans="1:32" ht="10.199999999999999">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row>
    <row r="329" spans="1:32" ht="10.199999999999999">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row>
    <row r="330" spans="1:32" ht="10.199999999999999">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row>
    <row r="331" spans="1:32" ht="10.199999999999999">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row>
    <row r="332" spans="1:32" ht="10.199999999999999">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row>
    <row r="333" spans="1:32" ht="10.199999999999999">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row>
    <row r="334" spans="1:32" ht="10.199999999999999">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row>
    <row r="335" spans="1:32" ht="10.199999999999999">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row>
    <row r="336" spans="1:32" ht="10.199999999999999">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row>
    <row r="337" spans="1:32" ht="10.199999999999999">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row>
    <row r="338" spans="1:32" ht="10.199999999999999">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row>
    <row r="339" spans="1:32" ht="10.199999999999999">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row>
    <row r="340" spans="1:32" ht="10.199999999999999">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row>
    <row r="341" spans="1:32" ht="10.199999999999999">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row>
    <row r="342" spans="1:32" ht="10.199999999999999">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row>
    <row r="343" spans="1:32" ht="10.199999999999999">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row>
    <row r="344" spans="1:32" ht="10.199999999999999">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row>
    <row r="345" spans="1:32" ht="10.199999999999999">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row>
    <row r="346" spans="1:32" ht="10.199999999999999">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row>
    <row r="347" spans="1:32" ht="10.199999999999999">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row>
    <row r="348" spans="1:32" ht="10.199999999999999">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row>
    <row r="349" spans="1:32" ht="10.199999999999999">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row>
    <row r="350" spans="1:32" ht="10.199999999999999">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row>
    <row r="351" spans="1:32" ht="10.199999999999999">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row>
    <row r="352" spans="1:32" ht="10.199999999999999">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row>
    <row r="353" spans="1:32" ht="10.199999999999999">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row>
    <row r="354" spans="1:32" ht="10.199999999999999">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row>
    <row r="355" spans="1:32" ht="10.199999999999999">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row>
    <row r="356" spans="1:32" ht="10.199999999999999">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row>
    <row r="357" spans="1:32" ht="10.199999999999999">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row>
    <row r="358" spans="1:32" ht="10.199999999999999">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row>
    <row r="359" spans="1:32" ht="10.199999999999999">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row>
    <row r="360" spans="1:32" ht="10.199999999999999">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row>
    <row r="361" spans="1:32" ht="10.199999999999999">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row>
    <row r="362" spans="1:32" ht="10.199999999999999">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row>
    <row r="363" spans="1:32" ht="10.199999999999999">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row>
    <row r="364" spans="1:32" ht="10.199999999999999">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row>
    <row r="365" spans="1:32" ht="10.199999999999999">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row>
    <row r="366" spans="1:32" ht="10.199999999999999">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row>
    <row r="367" spans="1:32" ht="10.199999999999999">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row>
    <row r="368" spans="1:32" ht="10.199999999999999">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row>
    <row r="369" spans="1:32" ht="10.199999999999999">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row>
    <row r="370" spans="1:32" ht="10.199999999999999">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row>
    <row r="371" spans="1:32" ht="10.199999999999999">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row>
    <row r="372" spans="1:32" ht="10.199999999999999">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row>
    <row r="373" spans="1:32" ht="10.199999999999999">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row>
    <row r="374" spans="1:32" ht="10.199999999999999">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row>
    <row r="375" spans="1:32" ht="10.199999999999999">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row>
    <row r="376" spans="1:32" ht="10.199999999999999">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row>
    <row r="377" spans="1:32" ht="10.199999999999999">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row>
    <row r="378" spans="1:32" ht="10.199999999999999">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row>
    <row r="379" spans="1:32" ht="10.199999999999999">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row>
    <row r="380" spans="1:32" ht="10.199999999999999">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row>
    <row r="381" spans="1:32" ht="10.199999999999999">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row>
    <row r="382" spans="1:32" ht="10.199999999999999">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row>
    <row r="383" spans="1:32" ht="10.199999999999999">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row>
    <row r="384" spans="1:32" ht="10.199999999999999">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row>
    <row r="385" spans="1:32" ht="10.199999999999999">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row>
    <row r="386" spans="1:32" ht="10.199999999999999">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row>
    <row r="387" spans="1:32" ht="10.199999999999999">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row>
    <row r="388" spans="1:32" ht="10.199999999999999">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row>
    <row r="389" spans="1:32" ht="10.199999999999999">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row>
    <row r="390" spans="1:32" ht="10.199999999999999">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row>
    <row r="391" spans="1:32" ht="10.199999999999999">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row>
    <row r="392" spans="1:32" ht="10.199999999999999">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row>
    <row r="393" spans="1:32" ht="10.199999999999999">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row>
    <row r="394" spans="1:32" ht="10.199999999999999">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row>
    <row r="395" spans="1:32" ht="10.199999999999999">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row>
    <row r="396" spans="1:32" ht="10.199999999999999">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row>
    <row r="397" spans="1:32" ht="10.199999999999999">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row>
    <row r="398" spans="1:32" ht="10.199999999999999">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row>
    <row r="399" spans="1:32" ht="10.199999999999999">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row>
    <row r="400" spans="1:32" ht="10.199999999999999">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row>
    <row r="401" spans="1:32" ht="10.199999999999999">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row>
    <row r="402" spans="1:32" ht="10.199999999999999">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row>
    <row r="403" spans="1:32" ht="10.199999999999999">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row>
    <row r="404" spans="1:32" ht="10.199999999999999">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row>
    <row r="405" spans="1:32" ht="10.199999999999999">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row>
    <row r="406" spans="1:32" ht="10.199999999999999">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row>
    <row r="407" spans="1:32" ht="10.199999999999999">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row>
    <row r="408" spans="1:32" ht="10.199999999999999">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row>
    <row r="409" spans="1:32" ht="10.199999999999999">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row>
    <row r="410" spans="1:32" ht="10.199999999999999">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row>
    <row r="411" spans="1:32" ht="10.199999999999999">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row>
    <row r="412" spans="1:32" ht="10.199999999999999">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row>
    <row r="413" spans="1:32" ht="10.199999999999999">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row>
    <row r="414" spans="1:32" ht="10.199999999999999">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row>
    <row r="415" spans="1:32" ht="10.199999999999999">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row>
    <row r="416" spans="1:32" ht="10.199999999999999">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row>
    <row r="417" spans="1:32" ht="10.199999999999999">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row>
    <row r="418" spans="1:32" ht="10.199999999999999">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row>
    <row r="419" spans="1:32" ht="10.199999999999999">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row>
    <row r="420" spans="1:32" ht="10.199999999999999">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row>
    <row r="421" spans="1:32" ht="10.199999999999999">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row>
    <row r="422" spans="1:32" ht="10.199999999999999">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row>
    <row r="423" spans="1:32" ht="10.199999999999999">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row>
    <row r="424" spans="1:32" ht="10.199999999999999">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row>
    <row r="425" spans="1:32" ht="10.199999999999999">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row>
    <row r="426" spans="1:32" ht="10.199999999999999">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row>
    <row r="427" spans="1:32" ht="10.199999999999999">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row>
    <row r="428" spans="1:32" ht="10.199999999999999">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row>
    <row r="429" spans="1:32" ht="10.199999999999999">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row>
    <row r="430" spans="1:32" ht="10.199999999999999">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row>
    <row r="431" spans="1:32" ht="10.199999999999999">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row>
    <row r="432" spans="1:32" ht="10.199999999999999">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row>
    <row r="433" spans="1:32" ht="10.199999999999999">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row>
    <row r="434" spans="1:32" ht="10.199999999999999">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row>
    <row r="435" spans="1:32" ht="10.199999999999999">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row>
    <row r="436" spans="1:32" ht="10.199999999999999">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row>
    <row r="437" spans="1:32" ht="10.199999999999999">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row>
    <row r="438" spans="1:32" ht="10.199999999999999">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row>
    <row r="439" spans="1:32" ht="10.199999999999999">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row>
    <row r="440" spans="1:32" ht="10.199999999999999">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row>
    <row r="441" spans="1:32" ht="10.199999999999999">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row>
    <row r="442" spans="1:32" ht="10.199999999999999">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row>
    <row r="443" spans="1:32" ht="10.199999999999999">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row>
    <row r="444" spans="1:32" ht="10.199999999999999">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row>
    <row r="445" spans="1:32" ht="10.199999999999999">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row>
    <row r="446" spans="1:32" ht="10.199999999999999">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row>
    <row r="447" spans="1:32" ht="10.199999999999999">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row>
    <row r="448" spans="1:32" ht="10.199999999999999">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row>
    <row r="449" spans="1:32" ht="10.199999999999999">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row>
    <row r="450" spans="1:32" ht="10.199999999999999">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row>
    <row r="451" spans="1:32" ht="10.199999999999999">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row>
    <row r="452" spans="1:32" ht="10.199999999999999">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row>
    <row r="453" spans="1:32" ht="10.199999999999999">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row>
    <row r="454" spans="1:32" ht="10.199999999999999">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row>
    <row r="455" spans="1:32" ht="10.199999999999999">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row>
    <row r="456" spans="1:32" ht="10.199999999999999">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row>
    <row r="457" spans="1:32" ht="10.199999999999999">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row>
    <row r="458" spans="1:32" ht="10.199999999999999">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row>
    <row r="459" spans="1:32" ht="10.199999999999999">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row>
    <row r="460" spans="1:32" ht="10.199999999999999">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row>
    <row r="461" spans="1:32" ht="10.199999999999999">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row>
    <row r="462" spans="1:32" ht="10.199999999999999">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row>
    <row r="463" spans="1:32" ht="10.199999999999999">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row>
    <row r="464" spans="1:32" ht="10.199999999999999">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row>
    <row r="465" spans="1:32" ht="10.199999999999999">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row>
    <row r="466" spans="1:32" ht="10.199999999999999">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row>
    <row r="467" spans="1:32" ht="10.199999999999999">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row>
    <row r="468" spans="1:32" ht="10.199999999999999">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row>
    <row r="469" spans="1:32" ht="10.199999999999999">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row>
    <row r="470" spans="1:32" ht="10.199999999999999">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row>
    <row r="471" spans="1:32" ht="10.199999999999999">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row>
    <row r="472" spans="1:32" ht="10.199999999999999">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row>
    <row r="473" spans="1:32" ht="10.199999999999999">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row>
    <row r="474" spans="1:32" ht="10.199999999999999">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row>
    <row r="475" spans="1:32" ht="10.199999999999999">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row>
    <row r="476" spans="1:32" ht="10.199999999999999">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row>
    <row r="477" spans="1:32" ht="10.199999999999999">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row>
    <row r="478" spans="1:32" ht="10.199999999999999">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row>
    <row r="479" spans="1:32" ht="10.199999999999999">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row>
    <row r="480" spans="1:32" ht="10.199999999999999">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row>
    <row r="481" spans="1:32" ht="10.199999999999999">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row>
    <row r="482" spans="1:32" ht="10.199999999999999">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row>
    <row r="483" spans="1:32" ht="10.199999999999999">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row>
    <row r="484" spans="1:32" ht="10.199999999999999">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row>
    <row r="485" spans="1:32" ht="10.199999999999999">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row>
    <row r="486" spans="1:32" ht="10.199999999999999">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row>
    <row r="487" spans="1:32" ht="10.199999999999999">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row>
    <row r="488" spans="1:32" ht="10.199999999999999">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row>
    <row r="489" spans="1:32" ht="10.199999999999999">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row>
    <row r="490" spans="1:32" ht="10.199999999999999">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row>
    <row r="491" spans="1:32" ht="10.199999999999999">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row>
    <row r="492" spans="1:32" ht="10.199999999999999">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row>
    <row r="493" spans="1:32" ht="10.199999999999999">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row>
    <row r="494" spans="1:32" ht="10.199999999999999">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row>
    <row r="495" spans="1:32" ht="10.199999999999999">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row>
    <row r="496" spans="1:32" ht="10.199999999999999">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row>
    <row r="497" spans="1:32" ht="10.199999999999999">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row>
    <row r="498" spans="1:32" ht="10.199999999999999">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row>
    <row r="499" spans="1:32" ht="10.199999999999999">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row>
    <row r="500" spans="1:32" ht="10.199999999999999">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row>
    <row r="501" spans="1:32" ht="10.199999999999999">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row>
    <row r="502" spans="1:32" ht="10.199999999999999">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row>
    <row r="503" spans="1:32" ht="10.199999999999999">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row>
    <row r="504" spans="1:32" ht="10.199999999999999">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row>
    <row r="505" spans="1:32" ht="10.199999999999999">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row>
    <row r="506" spans="1:32" ht="10.199999999999999">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row>
    <row r="507" spans="1:32" ht="10.199999999999999">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row>
    <row r="508" spans="1:32" ht="10.199999999999999">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row>
    <row r="509" spans="1:32" ht="10.199999999999999">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row>
    <row r="510" spans="1:32" ht="10.199999999999999">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row>
    <row r="511" spans="1:32" ht="10.199999999999999">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row>
    <row r="512" spans="1:32" ht="10.199999999999999">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row>
    <row r="513" spans="1:32" ht="10.199999999999999">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row>
    <row r="514" spans="1:32" ht="10.199999999999999">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row>
    <row r="515" spans="1:32" ht="10.199999999999999">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row>
    <row r="516" spans="1:32" ht="10.199999999999999">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row>
    <row r="517" spans="1:32" ht="10.199999999999999">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row>
    <row r="518" spans="1:32" ht="10.199999999999999">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row>
    <row r="519" spans="1:32" ht="10.199999999999999">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row>
    <row r="520" spans="1:32" ht="10.199999999999999">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row>
    <row r="521" spans="1:32" ht="10.199999999999999">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row>
    <row r="522" spans="1:32" ht="10.199999999999999">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row>
    <row r="523" spans="1:32" ht="10.199999999999999">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row>
    <row r="524" spans="1:32" ht="10.199999999999999">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row>
    <row r="525" spans="1:32" ht="10.199999999999999">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row>
    <row r="526" spans="1:32" ht="10.199999999999999">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row>
    <row r="527" spans="1:32" ht="10.199999999999999">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row>
    <row r="528" spans="1:32" ht="10.199999999999999">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row>
    <row r="529" spans="1:32" ht="10.199999999999999">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row>
    <row r="530" spans="1:32" ht="10.199999999999999">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row>
    <row r="531" spans="1:32" ht="10.199999999999999">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row>
    <row r="532" spans="1:32" ht="10.199999999999999">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row>
    <row r="533" spans="1:32" ht="10.199999999999999">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row>
    <row r="534" spans="1:32" ht="10.199999999999999">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row>
    <row r="535" spans="1:32" ht="10.199999999999999">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row>
    <row r="536" spans="1:32" ht="10.199999999999999">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row>
    <row r="537" spans="1:32" ht="10.199999999999999">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row>
    <row r="538" spans="1:32" ht="10.199999999999999">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row>
    <row r="539" spans="1:32" ht="10.199999999999999">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row>
    <row r="540" spans="1:32" ht="10.199999999999999">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row>
    <row r="541" spans="1:32" ht="10.199999999999999">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row>
    <row r="542" spans="1:32" ht="10.199999999999999">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row>
    <row r="543" spans="1:32" ht="10.199999999999999">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row>
    <row r="544" spans="1:32" ht="10.199999999999999">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row>
    <row r="545" spans="1:32" ht="10.199999999999999">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row>
    <row r="546" spans="1:32" ht="10.199999999999999">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row>
    <row r="547" spans="1:32" ht="10.199999999999999">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row>
    <row r="548" spans="1:32" ht="10.199999999999999">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row>
    <row r="549" spans="1:32" ht="10.199999999999999">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row>
    <row r="550" spans="1:32" ht="10.199999999999999">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row>
    <row r="551" spans="1:32" ht="10.199999999999999">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row>
    <row r="552" spans="1:32" ht="10.199999999999999">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row>
    <row r="553" spans="1:32" ht="10.199999999999999">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row>
    <row r="554" spans="1:32" ht="10.199999999999999">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row>
    <row r="555" spans="1:32" ht="10.199999999999999">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row>
    <row r="556" spans="1:32" ht="10.199999999999999">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row>
    <row r="557" spans="1:32" ht="10.199999999999999">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row>
    <row r="558" spans="1:32" ht="10.199999999999999">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row>
    <row r="559" spans="1:32" ht="10.199999999999999">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row>
    <row r="560" spans="1:32" ht="10.199999999999999">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row>
    <row r="561" spans="1:32" ht="10.199999999999999">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row>
    <row r="562" spans="1:32" ht="10.199999999999999">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row>
    <row r="563" spans="1:32" ht="10.199999999999999">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row>
    <row r="564" spans="1:32" ht="10.199999999999999">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row>
    <row r="565" spans="1:32" ht="10.199999999999999">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row>
    <row r="566" spans="1:32" ht="10.199999999999999">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row>
    <row r="567" spans="1:32" ht="10.199999999999999">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row>
    <row r="568" spans="1:32" ht="10.199999999999999">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row>
    <row r="569" spans="1:32" ht="10.199999999999999">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row>
    <row r="570" spans="1:32" ht="10.199999999999999">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row>
    <row r="571" spans="1:32" ht="10.199999999999999">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row>
    <row r="572" spans="1:32" ht="10.199999999999999">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row>
    <row r="573" spans="1:32" ht="10.199999999999999">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row>
    <row r="574" spans="1:32" ht="10.199999999999999">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row>
    <row r="575" spans="1:32" ht="10.199999999999999">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row>
    <row r="576" spans="1:32" ht="10.199999999999999">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row>
    <row r="577" spans="1:32" ht="10.199999999999999">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row>
    <row r="578" spans="1:32" ht="10.199999999999999">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row>
    <row r="579" spans="1:32" ht="10.199999999999999">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row>
    <row r="580" spans="1:32" ht="10.199999999999999">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row>
    <row r="581" spans="1:32" ht="10.199999999999999">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row>
    <row r="582" spans="1:32" ht="10.199999999999999">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row>
    <row r="583" spans="1:32" ht="10.199999999999999">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row>
    <row r="584" spans="1:32" ht="10.199999999999999">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row>
    <row r="585" spans="1:32" ht="10.199999999999999">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row>
    <row r="586" spans="1:32" ht="10.199999999999999">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row>
    <row r="587" spans="1:32" ht="10.199999999999999">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row>
    <row r="588" spans="1:32" ht="10.199999999999999">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row>
    <row r="589" spans="1:32" ht="10.199999999999999">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row>
    <row r="590" spans="1:32" ht="10.199999999999999">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row>
    <row r="591" spans="1:32" ht="10.199999999999999">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row>
    <row r="592" spans="1:32" ht="10.199999999999999">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row>
    <row r="593" spans="1:32" ht="10.199999999999999">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row>
    <row r="594" spans="1:32" ht="10.199999999999999">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row>
    <row r="595" spans="1:32" ht="10.199999999999999">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row>
    <row r="596" spans="1:32" ht="10.199999999999999">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row>
    <row r="597" spans="1:32" ht="10.199999999999999">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row>
    <row r="598" spans="1:32" ht="10.199999999999999">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row>
    <row r="599" spans="1:32" ht="10.199999999999999">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row>
    <row r="600" spans="1:32" ht="10.199999999999999">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row>
    <row r="601" spans="1:32" ht="10.199999999999999">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row>
    <row r="602" spans="1:32" ht="10.199999999999999">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row>
    <row r="603" spans="1:32" ht="10.199999999999999">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row>
    <row r="604" spans="1:32" ht="10.199999999999999">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row>
    <row r="605" spans="1:32" ht="10.199999999999999">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row>
    <row r="606" spans="1:32" ht="10.199999999999999">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row>
    <row r="607" spans="1:32" ht="10.199999999999999">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row>
    <row r="608" spans="1:32" ht="10.199999999999999">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row>
    <row r="609" spans="1:32" ht="10.199999999999999">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row>
    <row r="610" spans="1:32" ht="10.199999999999999">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row>
    <row r="611" spans="1:32" ht="10.199999999999999">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row>
    <row r="612" spans="1:32" ht="10.199999999999999">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row>
    <row r="613" spans="1:32" ht="10.199999999999999">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row>
    <row r="614" spans="1:32" ht="10.199999999999999">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row>
    <row r="615" spans="1:32" ht="10.199999999999999">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row>
    <row r="616" spans="1:32" ht="10.199999999999999">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row>
    <row r="617" spans="1:32" ht="10.199999999999999">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row>
    <row r="618" spans="1:32" ht="10.199999999999999">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row>
    <row r="619" spans="1:32" ht="10.199999999999999">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row>
    <row r="620" spans="1:32" ht="10.199999999999999">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row>
    <row r="621" spans="1:32" ht="10.199999999999999">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row>
    <row r="622" spans="1:32" ht="10.199999999999999">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row>
    <row r="623" spans="1:32" ht="10.199999999999999">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row>
    <row r="624" spans="1:32" ht="10.199999999999999">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row>
    <row r="625" spans="1:32" ht="10.199999999999999">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row>
    <row r="626" spans="1:32" ht="10.199999999999999">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row>
    <row r="627" spans="1:32" ht="10.199999999999999">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row>
    <row r="628" spans="1:32" ht="10.199999999999999">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row>
    <row r="629" spans="1:32" ht="10.199999999999999">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row>
    <row r="630" spans="1:32" ht="10.199999999999999">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row>
    <row r="631" spans="1:32" ht="10.199999999999999">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row>
    <row r="632" spans="1:32" ht="10.199999999999999">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row>
    <row r="633" spans="1:32" ht="10.199999999999999">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row>
    <row r="634" spans="1:32" ht="10.199999999999999">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row>
    <row r="635" spans="1:32" ht="10.199999999999999">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row>
    <row r="636" spans="1:32" ht="10.199999999999999">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row>
    <row r="637" spans="1:32" ht="10.199999999999999">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row>
    <row r="638" spans="1:32" ht="10.199999999999999">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row>
    <row r="639" spans="1:32" ht="10.199999999999999">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row>
    <row r="640" spans="1:32" ht="10.199999999999999">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row>
    <row r="641" spans="1:32" ht="10.199999999999999">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row>
    <row r="642" spans="1:32" ht="10.199999999999999">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row>
    <row r="643" spans="1:32" ht="10.199999999999999">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row>
    <row r="644" spans="1:32" ht="10.199999999999999">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row>
    <row r="645" spans="1:32" ht="10.199999999999999">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row>
    <row r="646" spans="1:32" ht="10.199999999999999">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row>
    <row r="647" spans="1:32" ht="10.199999999999999">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row>
    <row r="648" spans="1:32" ht="10.199999999999999">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row>
    <row r="649" spans="1:32" ht="10.199999999999999">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row>
    <row r="650" spans="1:32" ht="10.199999999999999">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row>
    <row r="651" spans="1:32" ht="10.199999999999999">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row>
    <row r="652" spans="1:32" ht="10.199999999999999">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row>
    <row r="653" spans="1:32" ht="10.199999999999999">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row>
    <row r="654" spans="1:32" ht="10.199999999999999">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row>
    <row r="655" spans="1:32" ht="10.199999999999999">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row>
    <row r="656" spans="1:32" ht="10.199999999999999">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row>
    <row r="657" spans="1:32" ht="10.199999999999999">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row>
    <row r="658" spans="1:32" ht="10.199999999999999">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row>
    <row r="659" spans="1:32" ht="10.199999999999999">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row>
    <row r="660" spans="1:32" ht="10.199999999999999">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row>
    <row r="661" spans="1:32" ht="10.199999999999999">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row>
    <row r="662" spans="1:32" ht="10.199999999999999">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row>
    <row r="663" spans="1:32" ht="10.199999999999999">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row>
    <row r="664" spans="1:32" ht="10.199999999999999">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row>
    <row r="665" spans="1:32" ht="10.199999999999999">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row>
    <row r="666" spans="1:32" ht="10.199999999999999">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row>
    <row r="667" spans="1:32" ht="10.199999999999999">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row>
    <row r="668" spans="1:32" ht="10.199999999999999">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row>
    <row r="669" spans="1:32" ht="10.199999999999999">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row>
    <row r="670" spans="1:32" ht="10.199999999999999">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row>
    <row r="671" spans="1:32" ht="10.199999999999999">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row>
    <row r="672" spans="1:32" ht="10.199999999999999">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row>
    <row r="673" spans="1:32" ht="10.199999999999999">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row>
    <row r="674" spans="1:32" ht="10.199999999999999">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row>
    <row r="675" spans="1:32" ht="10.199999999999999">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row>
    <row r="676" spans="1:32" ht="10.199999999999999">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row>
    <row r="677" spans="1:32" ht="10.199999999999999">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row>
    <row r="678" spans="1:32" ht="10.199999999999999">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row>
    <row r="679" spans="1:32" ht="10.199999999999999">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row>
    <row r="680" spans="1:32" ht="10.199999999999999">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row>
    <row r="681" spans="1:32" ht="10.199999999999999">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row>
    <row r="682" spans="1:32" ht="10.199999999999999">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row>
    <row r="683" spans="1:32" ht="10.199999999999999">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row>
    <row r="684" spans="1:32" ht="10.199999999999999">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row>
    <row r="685" spans="1:32" ht="10.199999999999999">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row>
    <row r="686" spans="1:32" ht="10.199999999999999">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row>
    <row r="687" spans="1:32" ht="10.199999999999999">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row>
    <row r="688" spans="1:32" ht="10.199999999999999">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row>
    <row r="689" spans="1:32" ht="10.199999999999999">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row>
    <row r="690" spans="1:32" ht="10.199999999999999">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row>
    <row r="691" spans="1:32" ht="10.199999999999999">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row>
    <row r="692" spans="1:32" ht="10.199999999999999">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row>
    <row r="693" spans="1:32" ht="10.199999999999999">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row>
    <row r="694" spans="1:32" ht="10.199999999999999">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row>
    <row r="695" spans="1:32" ht="10.199999999999999">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row>
    <row r="696" spans="1:32" ht="10.199999999999999">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row>
    <row r="697" spans="1:32" ht="10.199999999999999">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row>
    <row r="698" spans="1:32" ht="10.199999999999999">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row>
    <row r="699" spans="1:32" ht="10.199999999999999">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row>
    <row r="700" spans="1:32" ht="10.199999999999999">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row>
    <row r="701" spans="1:32" ht="10.199999999999999">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row>
    <row r="702" spans="1:32" ht="10.199999999999999">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row>
    <row r="703" spans="1:32" ht="10.199999999999999">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row>
    <row r="704" spans="1:32" ht="10.199999999999999">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row>
    <row r="705" spans="1:32" ht="10.199999999999999">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row>
    <row r="706" spans="1:32" ht="10.199999999999999">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row>
    <row r="707" spans="1:32" ht="10.199999999999999">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row>
    <row r="708" spans="1:32" ht="10.199999999999999">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row>
    <row r="709" spans="1:32" ht="10.199999999999999">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row>
    <row r="710" spans="1:32" ht="10.199999999999999">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row>
    <row r="711" spans="1:32" ht="10.199999999999999">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row>
    <row r="712" spans="1:32" ht="10.199999999999999">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row>
    <row r="713" spans="1:32" ht="10.199999999999999">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row>
    <row r="714" spans="1:32" ht="10.199999999999999">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row>
    <row r="715" spans="1:32" ht="10.199999999999999">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row>
    <row r="716" spans="1:32" ht="10.199999999999999">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row>
    <row r="717" spans="1:32" ht="10.199999999999999">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row>
    <row r="718" spans="1:32" ht="10.199999999999999">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row>
    <row r="719" spans="1:32" ht="10.199999999999999">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row>
    <row r="720" spans="1:32" ht="10.199999999999999">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row>
    <row r="721" spans="1:32" ht="10.199999999999999">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row>
    <row r="722" spans="1:32" ht="10.199999999999999">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row>
    <row r="723" spans="1:32" ht="10.199999999999999">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row>
    <row r="724" spans="1:32" ht="10.199999999999999">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row>
    <row r="725" spans="1:32" ht="10.199999999999999">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row>
    <row r="726" spans="1:32" ht="10.199999999999999">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row>
    <row r="727" spans="1:32" ht="10.199999999999999">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row>
    <row r="728" spans="1:32" ht="10.199999999999999">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row>
    <row r="729" spans="1:32" ht="10.199999999999999">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row>
    <row r="730" spans="1:32" ht="10.199999999999999">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row>
    <row r="731" spans="1:32" ht="10.199999999999999">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row>
    <row r="732" spans="1:32" ht="10.199999999999999">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row>
    <row r="733" spans="1:32" ht="10.199999999999999">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row>
    <row r="734" spans="1:32" ht="10.199999999999999">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row>
    <row r="735" spans="1:32" ht="10.199999999999999">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row>
    <row r="736" spans="1:32" ht="10.199999999999999">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row>
    <row r="737" spans="1:32" ht="10.199999999999999">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row>
    <row r="738" spans="1:32" ht="10.199999999999999">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row>
    <row r="739" spans="1:32" ht="10.199999999999999">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row>
    <row r="740" spans="1:32" ht="10.199999999999999">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row>
    <row r="741" spans="1:32" ht="10.199999999999999">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row>
    <row r="742" spans="1:32" ht="10.199999999999999">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row>
    <row r="743" spans="1:32" ht="10.199999999999999">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row>
    <row r="744" spans="1:32" ht="10.199999999999999">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row>
    <row r="745" spans="1:32" ht="10.199999999999999">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row>
    <row r="746" spans="1:32" ht="10.199999999999999">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row>
    <row r="747" spans="1:32" ht="10.199999999999999">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row>
    <row r="748" spans="1:32" ht="10.199999999999999">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row>
    <row r="749" spans="1:32" ht="10.199999999999999">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row>
    <row r="750" spans="1:32" ht="10.199999999999999">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row>
    <row r="751" spans="1:32" ht="10.199999999999999">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row>
    <row r="752" spans="1:32" ht="10.199999999999999">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row>
    <row r="753" spans="1:32" ht="10.199999999999999">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row>
    <row r="754" spans="1:32" ht="10.199999999999999">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row>
    <row r="755" spans="1:32" ht="10.199999999999999">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row>
    <row r="756" spans="1:32" ht="10.199999999999999">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row>
    <row r="757" spans="1:32" ht="10.199999999999999">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row>
    <row r="758" spans="1:32" ht="10.199999999999999">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row>
    <row r="759" spans="1:32" ht="10.199999999999999">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row>
    <row r="760" spans="1:32" ht="10.199999999999999">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row>
    <row r="761" spans="1:32" ht="10.199999999999999">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row>
    <row r="762" spans="1:32" ht="10.199999999999999">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row>
    <row r="763" spans="1:32" ht="10.199999999999999">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row>
    <row r="764" spans="1:32" ht="10.199999999999999">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row>
    <row r="765" spans="1:32" ht="10.199999999999999">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row>
    <row r="766" spans="1:32" ht="10.199999999999999">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row>
    <row r="767" spans="1:32" ht="10.199999999999999">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row>
    <row r="768" spans="1:32" ht="10.199999999999999">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row>
    <row r="769" spans="1:32" ht="10.199999999999999">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row>
    <row r="770" spans="1:32" ht="10.199999999999999">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row>
    <row r="771" spans="1:32" ht="10.199999999999999">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row>
    <row r="772" spans="1:32" ht="10.199999999999999">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row>
    <row r="773" spans="1:32" ht="10.199999999999999">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row>
    <row r="774" spans="1:32" ht="10.199999999999999">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row>
    <row r="775" spans="1:32" ht="10.199999999999999">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row>
    <row r="776" spans="1:32" ht="10.199999999999999">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row>
    <row r="777" spans="1:32" ht="10.199999999999999">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row>
    <row r="778" spans="1:32" ht="10.199999999999999">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row>
    <row r="779" spans="1:32" ht="10.199999999999999">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row>
    <row r="780" spans="1:32" ht="10.199999999999999">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row>
    <row r="781" spans="1:32" ht="10.199999999999999">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row>
    <row r="782" spans="1:32" ht="10.199999999999999">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row>
    <row r="783" spans="1:32" ht="10.199999999999999">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row>
    <row r="784" spans="1:32" ht="10.199999999999999">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row>
    <row r="785" spans="1:32" ht="10.199999999999999">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row>
    <row r="786" spans="1:32" ht="10.199999999999999">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row>
    <row r="787" spans="1:32" ht="10.199999999999999">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row>
    <row r="788" spans="1:32" ht="10.199999999999999">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row>
    <row r="789" spans="1:32" ht="10.199999999999999">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row>
    <row r="790" spans="1:32" ht="10.199999999999999">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row>
    <row r="791" spans="1:32" ht="10.199999999999999">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row>
    <row r="792" spans="1:32" ht="10.199999999999999">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row>
    <row r="793" spans="1:32" ht="10.199999999999999">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row>
    <row r="794" spans="1:32" ht="10.199999999999999">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row>
    <row r="795" spans="1:32" ht="10.199999999999999">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row>
    <row r="796" spans="1:32" ht="10.199999999999999">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row>
    <row r="797" spans="1:32" ht="10.199999999999999">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row>
    <row r="798" spans="1:32" ht="10.199999999999999">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row>
    <row r="799" spans="1:32" ht="10.199999999999999">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row>
    <row r="800" spans="1:32" ht="10.199999999999999">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row>
    <row r="801" spans="1:32" ht="10.199999999999999">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row>
    <row r="802" spans="1:32" ht="10.199999999999999">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row>
    <row r="803" spans="1:32" ht="10.199999999999999">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row>
    <row r="804" spans="1:32" ht="10.199999999999999">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row>
    <row r="805" spans="1:32" ht="10.199999999999999">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row>
    <row r="806" spans="1:32" ht="10.199999999999999">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row>
    <row r="807" spans="1:32" ht="10.199999999999999">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row>
    <row r="808" spans="1:32" ht="10.199999999999999">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row>
    <row r="809" spans="1:32" ht="10.199999999999999">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row>
    <row r="810" spans="1:32" ht="10.199999999999999">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row>
    <row r="811" spans="1:32" ht="10.199999999999999">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row>
    <row r="812" spans="1:32" ht="10.199999999999999">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row>
    <row r="813" spans="1:32" ht="10.199999999999999">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row>
    <row r="814" spans="1:32" ht="10.199999999999999">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row>
    <row r="815" spans="1:32" ht="10.199999999999999">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row>
    <row r="816" spans="1:32" ht="10.199999999999999">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row>
    <row r="817" spans="1:32" ht="10.199999999999999">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row>
    <row r="818" spans="1:32" ht="10.199999999999999">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row>
    <row r="819" spans="1:32" ht="10.199999999999999">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row>
    <row r="820" spans="1:32" ht="10.199999999999999">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row>
    <row r="821" spans="1:32" ht="10.199999999999999">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row>
    <row r="822" spans="1:32" ht="10.199999999999999">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row>
    <row r="823" spans="1:32" ht="10.199999999999999">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row>
    <row r="824" spans="1:32" ht="10.199999999999999">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row>
    <row r="825" spans="1:32" ht="10.199999999999999">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row>
    <row r="826" spans="1:32" ht="10.199999999999999">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row>
    <row r="827" spans="1:32" ht="10.199999999999999">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row>
    <row r="828" spans="1:32" ht="10.199999999999999">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row>
    <row r="829" spans="1:32" ht="10.199999999999999">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row>
    <row r="830" spans="1:32" ht="10.199999999999999">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row>
    <row r="831" spans="1:32" ht="10.199999999999999">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row>
    <row r="832" spans="1:32" ht="10.199999999999999">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row>
    <row r="833" spans="1:32" ht="10.199999999999999">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row>
    <row r="834" spans="1:32" ht="10.199999999999999">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row>
    <row r="835" spans="1:32" ht="10.199999999999999">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row>
    <row r="836" spans="1:32" ht="10.199999999999999">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row>
    <row r="837" spans="1:32" ht="10.199999999999999">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row>
    <row r="838" spans="1:32" ht="10.199999999999999">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row>
    <row r="839" spans="1:32" ht="10.199999999999999">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row>
    <row r="840" spans="1:32" ht="10.199999999999999">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row>
    <row r="841" spans="1:32" ht="10.199999999999999">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row>
    <row r="842" spans="1:32" ht="10.199999999999999">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row>
    <row r="843" spans="1:32" ht="10.199999999999999">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row>
    <row r="844" spans="1:32" ht="10.199999999999999">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row>
    <row r="845" spans="1:32" ht="10.199999999999999">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row>
    <row r="846" spans="1:32" ht="10.199999999999999">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row>
    <row r="847" spans="1:32" ht="10.199999999999999">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row>
    <row r="848" spans="1:32" ht="10.199999999999999">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row>
    <row r="849" spans="1:32" ht="10.199999999999999">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row>
    <row r="850" spans="1:32" ht="10.199999999999999">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row>
    <row r="851" spans="1:32" ht="10.199999999999999">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row>
    <row r="852" spans="1:32" ht="10.199999999999999">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row>
    <row r="853" spans="1:32" ht="10.199999999999999">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row>
    <row r="854" spans="1:32" ht="10.199999999999999">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row>
    <row r="855" spans="1:32" ht="10.199999999999999">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row>
    <row r="856" spans="1:32" ht="10.199999999999999">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row>
    <row r="857" spans="1:32" ht="10.199999999999999">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row>
    <row r="858" spans="1:32" ht="10.199999999999999">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row>
    <row r="859" spans="1:32" ht="10.199999999999999">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row>
    <row r="860" spans="1:32" ht="10.199999999999999">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row>
    <row r="861" spans="1:32" ht="10.199999999999999">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row>
    <row r="862" spans="1:32" ht="10.199999999999999">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row>
    <row r="863" spans="1:32" ht="10.199999999999999">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row>
    <row r="864" spans="1:32" ht="10.199999999999999">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row>
    <row r="865" spans="1:32" ht="10.199999999999999">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row>
    <row r="866" spans="1:32" ht="10.199999999999999">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row>
    <row r="867" spans="1:32" ht="10.199999999999999">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row>
    <row r="868" spans="1:32" ht="10.199999999999999">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row>
    <row r="869" spans="1:32" ht="10.199999999999999">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row>
    <row r="870" spans="1:32" ht="10.199999999999999">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row>
    <row r="871" spans="1:32" ht="10.199999999999999">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row>
    <row r="872" spans="1:32" ht="10.199999999999999">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row>
    <row r="873" spans="1:32" ht="10.199999999999999">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row>
    <row r="874" spans="1:32" ht="10.199999999999999">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row>
    <row r="875" spans="1:32" ht="10.199999999999999">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row>
    <row r="876" spans="1:32" ht="10.199999999999999">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row>
    <row r="877" spans="1:32" ht="10.199999999999999">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row>
    <row r="878" spans="1:32" ht="10.199999999999999">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row>
    <row r="879" spans="1:32" ht="10.199999999999999">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row>
    <row r="880" spans="1:32" ht="10.199999999999999">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row>
    <row r="881" spans="1:32" ht="10.199999999999999">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row>
    <row r="882" spans="1:32" ht="10.199999999999999">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row>
    <row r="883" spans="1:32" ht="10.199999999999999">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row>
    <row r="884" spans="1:32" ht="10.199999999999999">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row>
    <row r="885" spans="1:32" ht="10.199999999999999">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row>
    <row r="886" spans="1:32" ht="10.199999999999999">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row>
    <row r="887" spans="1:32" ht="10.199999999999999">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row>
    <row r="888" spans="1:32" ht="10.199999999999999">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row>
    <row r="889" spans="1:32" ht="10.199999999999999">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row>
    <row r="890" spans="1:32" ht="10.199999999999999">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row>
    <row r="891" spans="1:32" ht="10.199999999999999">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row>
    <row r="892" spans="1:32" ht="10.199999999999999">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row>
    <row r="893" spans="1:32" ht="10.199999999999999">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row>
    <row r="894" spans="1:32" ht="10.199999999999999">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row>
    <row r="895" spans="1:32" ht="10.199999999999999">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row>
    <row r="896" spans="1:32" ht="10.199999999999999">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row>
    <row r="897" spans="1:32" ht="10.199999999999999">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row>
    <row r="898" spans="1:32" ht="10.199999999999999">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row>
    <row r="899" spans="1:32" ht="10.199999999999999">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row>
    <row r="900" spans="1:32" ht="10.199999999999999">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row>
    <row r="901" spans="1:32" ht="10.199999999999999">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row>
    <row r="902" spans="1:32" ht="10.199999999999999">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row>
    <row r="903" spans="1:32" ht="10.199999999999999">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row>
    <row r="904" spans="1:32" ht="10.199999999999999">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row>
    <row r="905" spans="1:32" ht="10.199999999999999">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row>
    <row r="906" spans="1:32" ht="10.199999999999999">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row>
    <row r="907" spans="1:32" ht="10.199999999999999">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row>
    <row r="908" spans="1:32" ht="10.199999999999999">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row>
    <row r="909" spans="1:32" ht="10.199999999999999">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row>
    <row r="910" spans="1:32" ht="10.199999999999999">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row>
    <row r="911" spans="1:32" ht="10.199999999999999">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row>
    <row r="912" spans="1:32" ht="10.199999999999999">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row>
    <row r="913" spans="1:32" ht="10.199999999999999">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row>
    <row r="914" spans="1:32" ht="10.199999999999999">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row>
    <row r="915" spans="1:32" ht="10.199999999999999">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row>
    <row r="916" spans="1:32" ht="10.199999999999999">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row>
    <row r="917" spans="1:32" ht="10.199999999999999">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row>
    <row r="918" spans="1:32" ht="10.199999999999999">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row>
    <row r="919" spans="1:32" ht="10.199999999999999">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row>
    <row r="920" spans="1:32" ht="10.199999999999999">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row>
    <row r="921" spans="1:32" ht="10.199999999999999">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row>
    <row r="922" spans="1:32" ht="10.199999999999999">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row>
    <row r="923" spans="1:32" ht="10.199999999999999">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row>
    <row r="924" spans="1:32" ht="10.199999999999999">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row>
    <row r="925" spans="1:32" ht="10.199999999999999">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row>
    <row r="926" spans="1:32" ht="10.199999999999999">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row>
    <row r="927" spans="1:32" ht="10.199999999999999">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row>
    <row r="928" spans="1:32" ht="10.199999999999999">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row>
    <row r="929" spans="1:32" ht="10.199999999999999">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row>
    <row r="930" spans="1:32" ht="10.199999999999999">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row>
    <row r="931" spans="1:32" ht="10.199999999999999">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row>
    <row r="932" spans="1:32" ht="10.199999999999999">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row>
    <row r="933" spans="1:32" ht="10.199999999999999">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row>
    <row r="934" spans="1:32" ht="10.199999999999999">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row>
    <row r="935" spans="1:32" ht="10.199999999999999">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row>
    <row r="936" spans="1:32" ht="10.199999999999999">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row>
    <row r="937" spans="1:32" ht="10.199999999999999">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row>
    <row r="938" spans="1:32" ht="10.199999999999999">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row>
    <row r="939" spans="1:32" ht="10.199999999999999">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row>
    <row r="940" spans="1:32" ht="10.199999999999999">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row>
    <row r="941" spans="1:32" ht="10.199999999999999">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row>
    <row r="942" spans="1:32" ht="10.199999999999999">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row>
    <row r="943" spans="1:32" ht="10.199999999999999">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row>
    <row r="944" spans="1:32" ht="10.199999999999999">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row>
    <row r="945" spans="1:32" ht="10.199999999999999">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row>
    <row r="946" spans="1:32" ht="10.199999999999999">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row>
    <row r="947" spans="1:32" ht="10.199999999999999">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row>
    <row r="948" spans="1:32" ht="10.199999999999999">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row>
    <row r="949" spans="1:32" ht="10.199999999999999">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row>
    <row r="950" spans="1:32" ht="10.199999999999999">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row>
    <row r="951" spans="1:32" ht="10.199999999999999">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row>
    <row r="952" spans="1:32" ht="10.199999999999999">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row>
    <row r="953" spans="1:32" ht="10.199999999999999">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row>
    <row r="954" spans="1:32" ht="10.199999999999999">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row>
    <row r="955" spans="1:32" ht="10.199999999999999">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row>
    <row r="956" spans="1:32" ht="10.199999999999999">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row>
    <row r="957" spans="1:32" ht="10.199999999999999">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row>
    <row r="958" spans="1:32" ht="10.199999999999999">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row>
    <row r="959" spans="1:32" ht="10.199999999999999">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row>
    <row r="960" spans="1:32" ht="10.199999999999999">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row>
    <row r="961" spans="1:32" ht="10.199999999999999">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row>
    <row r="962" spans="1:32" ht="10.199999999999999">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row>
    <row r="963" spans="1:32" ht="10.199999999999999">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row>
    <row r="964" spans="1:32" ht="10.199999999999999">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row>
    <row r="965" spans="1:32" ht="10.199999999999999">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row>
    <row r="966" spans="1:32" ht="10.199999999999999">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row>
    <row r="967" spans="1:32" ht="10.199999999999999">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row>
    <row r="968" spans="1:32" ht="10.199999999999999">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row>
    <row r="969" spans="1:32" ht="10.199999999999999">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row>
    <row r="970" spans="1:32" ht="10.199999999999999">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row>
    <row r="971" spans="1:32" ht="10.199999999999999">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row>
    <row r="972" spans="1:32" ht="10.199999999999999">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row>
    <row r="973" spans="1:32" ht="10.199999999999999">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row>
    <row r="974" spans="1:32" ht="10.199999999999999">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row>
    <row r="975" spans="1:32" ht="10.199999999999999">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row>
    <row r="976" spans="1:32" ht="10.199999999999999">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row>
    <row r="977" spans="1:32" ht="10.199999999999999">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row>
    <row r="978" spans="1:32" ht="10.199999999999999">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row>
    <row r="979" spans="1:32" ht="10.199999999999999">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row>
    <row r="980" spans="1:32" ht="10.199999999999999">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row>
    <row r="981" spans="1:32" ht="10.199999999999999">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row>
    <row r="982" spans="1:32" ht="10.199999999999999">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row>
    <row r="983" spans="1:32" ht="10.199999999999999">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row>
    <row r="984" spans="1:32" ht="10.199999999999999">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row>
    <row r="985" spans="1:32" ht="10.199999999999999">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row>
    <row r="986" spans="1:32" ht="10.199999999999999">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row>
    <row r="987" spans="1:32" ht="10.199999999999999">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row>
    <row r="988" spans="1:32" ht="10.199999999999999">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row>
    <row r="989" spans="1:32" ht="10.199999999999999">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row>
    <row r="990" spans="1:32" ht="10.199999999999999">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row>
    <row r="991" spans="1:32" ht="10.199999999999999">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row>
    <row r="992" spans="1:32" ht="10.199999999999999">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row>
    <row r="993" spans="1:32" ht="10.199999999999999">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row>
    <row r="994" spans="1:32" ht="10.199999999999999">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row>
    <row r="995" spans="1:32" ht="10.199999999999999">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row>
    <row r="996" spans="1:32" ht="10.199999999999999">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row>
    <row r="997" spans="1:32" ht="10.199999999999999">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row>
    <row r="998" spans="1:32" ht="10.199999999999999">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row>
    <row r="999" spans="1:32" ht="10.199999999999999">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row>
    <row r="1000" spans="1:32" ht="10.199999999999999">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row>
    <row r="1001" spans="1:32" ht="10.199999999999999">
      <c r="A1001" s="73"/>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X1001" s="73"/>
      <c r="Y1001" s="73"/>
      <c r="Z1001" s="73"/>
      <c r="AA1001" s="73"/>
      <c r="AB1001" s="73"/>
      <c r="AC1001" s="73"/>
      <c r="AD1001" s="73"/>
      <c r="AE1001" s="73"/>
      <c r="AF1001" s="73"/>
    </row>
    <row r="1002" spans="1:32" ht="10.199999999999999">
      <c r="A1002" s="73"/>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X1002" s="73"/>
      <c r="Y1002" s="73"/>
      <c r="Z1002" s="73"/>
      <c r="AA1002" s="73"/>
      <c r="AB1002" s="73"/>
      <c r="AC1002" s="73"/>
      <c r="AD1002" s="73"/>
      <c r="AE1002" s="73"/>
      <c r="AF1002" s="73"/>
    </row>
    <row r="1003" spans="1:32" ht="10.199999999999999">
      <c r="A1003" s="73"/>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X1003" s="73"/>
      <c r="Y1003" s="73"/>
      <c r="Z1003" s="73"/>
      <c r="AA1003" s="73"/>
      <c r="AB1003" s="73"/>
      <c r="AC1003" s="73"/>
      <c r="AD1003" s="73"/>
      <c r="AE1003" s="73"/>
      <c r="AF1003" s="73"/>
    </row>
    <row r="1004" spans="1:32" ht="10.199999999999999">
      <c r="A1004" s="73"/>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X1004" s="73"/>
      <c r="Y1004" s="73"/>
      <c r="Z1004" s="73"/>
      <c r="AA1004" s="73"/>
      <c r="AB1004" s="73"/>
      <c r="AC1004" s="73"/>
      <c r="AD1004" s="73"/>
      <c r="AE1004" s="73"/>
      <c r="AF1004" s="73"/>
    </row>
    <row r="1005" spans="1:32" ht="10.199999999999999">
      <c r="A1005" s="73"/>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X1005" s="73"/>
      <c r="Y1005" s="73"/>
      <c r="Z1005" s="73"/>
      <c r="AA1005" s="73"/>
      <c r="AB1005" s="73"/>
      <c r="AC1005" s="73"/>
      <c r="AD1005" s="73"/>
      <c r="AE1005" s="73"/>
      <c r="AF1005" s="73"/>
    </row>
    <row r="1006" spans="1:32" ht="10.199999999999999">
      <c r="A1006" s="73"/>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X1006" s="73"/>
      <c r="Y1006" s="73"/>
      <c r="Z1006" s="73"/>
      <c r="AA1006" s="73"/>
      <c r="AB1006" s="73"/>
      <c r="AC1006" s="73"/>
      <c r="AD1006" s="73"/>
      <c r="AE1006" s="73"/>
      <c r="AF1006" s="73"/>
    </row>
    <row r="1007" spans="1:32" ht="10.199999999999999">
      <c r="A1007" s="73"/>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X1007" s="73"/>
      <c r="Y1007" s="73"/>
      <c r="Z1007" s="73"/>
      <c r="AA1007" s="73"/>
      <c r="AB1007" s="73"/>
      <c r="AC1007" s="73"/>
      <c r="AD1007" s="73"/>
      <c r="AE1007" s="73"/>
      <c r="AF1007" s="73"/>
    </row>
    <row r="1008" spans="1:32" ht="10.199999999999999">
      <c r="A1008" s="73"/>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X1008" s="73"/>
      <c r="Y1008" s="73"/>
      <c r="Z1008" s="73"/>
      <c r="AA1008" s="73"/>
      <c r="AB1008" s="73"/>
      <c r="AC1008" s="73"/>
      <c r="AD1008" s="73"/>
      <c r="AE1008" s="73"/>
      <c r="AF1008" s="73"/>
    </row>
    <row r="1009" spans="1:32" ht="10.199999999999999">
      <c r="A1009" s="73"/>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X1009" s="73"/>
      <c r="Y1009" s="73"/>
      <c r="Z1009" s="73"/>
      <c r="AA1009" s="73"/>
      <c r="AB1009" s="73"/>
      <c r="AC1009" s="73"/>
      <c r="AD1009" s="73"/>
      <c r="AE1009" s="73"/>
      <c r="AF1009" s="73"/>
    </row>
    <row r="1010" spans="1:32" ht="10.199999999999999">
      <c r="A1010" s="73"/>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X1010" s="73"/>
      <c r="Y1010" s="73"/>
      <c r="Z1010" s="73"/>
      <c r="AA1010" s="73"/>
      <c r="AB1010" s="73"/>
      <c r="AC1010" s="73"/>
      <c r="AD1010" s="73"/>
      <c r="AE1010" s="73"/>
      <c r="AF1010" s="73"/>
    </row>
    <row r="1011" spans="1:32" ht="10.199999999999999">
      <c r="A1011" s="73"/>
      <c r="B1011" s="73"/>
      <c r="C1011" s="73"/>
      <c r="D1011" s="73"/>
      <c r="E1011" s="73"/>
      <c r="F1011" s="73"/>
      <c r="G1011" s="73"/>
      <c r="H1011" s="73"/>
      <c r="I1011" s="73"/>
      <c r="J1011" s="73"/>
      <c r="K1011" s="73"/>
      <c r="L1011" s="73"/>
      <c r="M1011" s="73"/>
      <c r="N1011" s="73"/>
      <c r="O1011" s="73"/>
      <c r="P1011" s="73"/>
      <c r="Q1011" s="73"/>
      <c r="R1011" s="73"/>
      <c r="S1011" s="73"/>
      <c r="T1011" s="73"/>
      <c r="U1011" s="73"/>
      <c r="V1011" s="73"/>
      <c r="W1011" s="73"/>
      <c r="X1011" s="73"/>
      <c r="Y1011" s="73"/>
      <c r="Z1011" s="73"/>
      <c r="AA1011" s="73"/>
      <c r="AB1011" s="73"/>
      <c r="AC1011" s="73"/>
      <c r="AD1011" s="73"/>
      <c r="AE1011" s="73"/>
      <c r="AF1011" s="73"/>
    </row>
    <row r="1012" spans="1:32" ht="10.199999999999999">
      <c r="A1012" s="73"/>
      <c r="B1012" s="73"/>
      <c r="C1012" s="73"/>
      <c r="D1012" s="73"/>
      <c r="E1012" s="73"/>
      <c r="F1012" s="73"/>
      <c r="G1012" s="73"/>
      <c r="H1012" s="73"/>
      <c r="I1012" s="73"/>
      <c r="J1012" s="73"/>
      <c r="K1012" s="73"/>
      <c r="L1012" s="73"/>
      <c r="M1012" s="73"/>
      <c r="N1012" s="73"/>
      <c r="O1012" s="73"/>
      <c r="P1012" s="73"/>
      <c r="Q1012" s="73"/>
      <c r="R1012" s="73"/>
      <c r="S1012" s="73"/>
      <c r="T1012" s="73"/>
      <c r="U1012" s="73"/>
      <c r="V1012" s="73"/>
      <c r="W1012" s="73"/>
      <c r="X1012" s="73"/>
      <c r="Y1012" s="73"/>
      <c r="Z1012" s="73"/>
      <c r="AA1012" s="73"/>
      <c r="AB1012" s="73"/>
      <c r="AC1012" s="73"/>
      <c r="AD1012" s="73"/>
      <c r="AE1012" s="73"/>
      <c r="AF1012" s="73"/>
    </row>
    <row r="1013" spans="1:32" ht="10.199999999999999">
      <c r="A1013" s="73"/>
      <c r="B1013" s="73"/>
      <c r="C1013" s="73"/>
      <c r="D1013" s="73"/>
      <c r="E1013" s="73"/>
      <c r="F1013" s="73"/>
      <c r="G1013" s="73"/>
      <c r="H1013" s="73"/>
      <c r="I1013" s="73"/>
      <c r="J1013" s="73"/>
      <c r="K1013" s="73"/>
      <c r="L1013" s="73"/>
      <c r="M1013" s="73"/>
      <c r="N1013" s="73"/>
      <c r="O1013" s="73"/>
      <c r="P1013" s="73"/>
      <c r="Q1013" s="73"/>
      <c r="R1013" s="73"/>
      <c r="S1013" s="73"/>
      <c r="T1013" s="73"/>
      <c r="U1013" s="73"/>
      <c r="V1013" s="73"/>
      <c r="W1013" s="73"/>
      <c r="X1013" s="73"/>
      <c r="Y1013" s="73"/>
      <c r="Z1013" s="73"/>
      <c r="AA1013" s="73"/>
      <c r="AB1013" s="73"/>
      <c r="AC1013" s="73"/>
      <c r="AD1013" s="73"/>
      <c r="AE1013" s="73"/>
      <c r="AF1013" s="73"/>
    </row>
    <row r="1014" spans="1:32" ht="10.199999999999999">
      <c r="A1014" s="73"/>
      <c r="B1014" s="73"/>
      <c r="C1014" s="73"/>
      <c r="D1014" s="73"/>
      <c r="E1014" s="73"/>
      <c r="F1014" s="73"/>
      <c r="G1014" s="73"/>
      <c r="H1014" s="73"/>
      <c r="I1014" s="73"/>
      <c r="J1014" s="73"/>
      <c r="K1014" s="73"/>
      <c r="L1014" s="73"/>
      <c r="M1014" s="73"/>
      <c r="N1014" s="73"/>
      <c r="O1014" s="73"/>
      <c r="P1014" s="73"/>
      <c r="Q1014" s="73"/>
      <c r="R1014" s="73"/>
      <c r="S1014" s="73"/>
      <c r="T1014" s="73"/>
      <c r="U1014" s="73"/>
      <c r="V1014" s="73"/>
      <c r="W1014" s="73"/>
      <c r="X1014" s="73"/>
      <c r="Y1014" s="73"/>
      <c r="Z1014" s="73"/>
      <c r="AA1014" s="73"/>
      <c r="AB1014" s="73"/>
      <c r="AC1014" s="73"/>
      <c r="AD1014" s="73"/>
      <c r="AE1014" s="73"/>
      <c r="AF1014" s="73"/>
    </row>
    <row r="1015" spans="1:32" ht="10.199999999999999">
      <c r="A1015" s="73"/>
      <c r="B1015" s="73"/>
      <c r="C1015" s="73"/>
      <c r="D1015" s="73"/>
      <c r="E1015" s="73"/>
      <c r="F1015" s="73"/>
      <c r="G1015" s="73"/>
      <c r="H1015" s="73"/>
      <c r="I1015" s="73"/>
      <c r="J1015" s="73"/>
      <c r="K1015" s="73"/>
      <c r="L1015" s="73"/>
      <c r="M1015" s="73"/>
      <c r="N1015" s="73"/>
      <c r="O1015" s="73"/>
      <c r="P1015" s="73"/>
      <c r="Q1015" s="73"/>
      <c r="R1015" s="73"/>
      <c r="S1015" s="73"/>
      <c r="T1015" s="73"/>
      <c r="U1015" s="73"/>
      <c r="V1015" s="73"/>
      <c r="W1015" s="73"/>
      <c r="X1015" s="73"/>
      <c r="Y1015" s="73"/>
      <c r="Z1015" s="73"/>
      <c r="AA1015" s="73"/>
      <c r="AB1015" s="73"/>
      <c r="AC1015" s="73"/>
      <c r="AD1015" s="73"/>
      <c r="AE1015" s="73"/>
      <c r="AF1015" s="73"/>
    </row>
    <row r="1016" spans="1:32" ht="10.199999999999999">
      <c r="A1016" s="73"/>
      <c r="B1016" s="73"/>
      <c r="C1016" s="73"/>
      <c r="D1016" s="73"/>
      <c r="E1016" s="73"/>
      <c r="F1016" s="73"/>
      <c r="G1016" s="73"/>
      <c r="H1016" s="73"/>
      <c r="I1016" s="73"/>
      <c r="J1016" s="73"/>
      <c r="K1016" s="73"/>
      <c r="L1016" s="73"/>
      <c r="M1016" s="73"/>
      <c r="N1016" s="73"/>
      <c r="O1016" s="73"/>
      <c r="P1016" s="73"/>
      <c r="Q1016" s="73"/>
      <c r="R1016" s="73"/>
      <c r="S1016" s="73"/>
      <c r="T1016" s="73"/>
      <c r="U1016" s="73"/>
      <c r="V1016" s="73"/>
      <c r="W1016" s="73"/>
      <c r="X1016" s="73"/>
      <c r="Y1016" s="73"/>
      <c r="Z1016" s="73"/>
      <c r="AA1016" s="73"/>
      <c r="AB1016" s="73"/>
      <c r="AC1016" s="73"/>
      <c r="AD1016" s="73"/>
      <c r="AE1016" s="73"/>
      <c r="AF1016" s="73"/>
    </row>
    <row r="1017" spans="1:32" ht="10.199999999999999">
      <c r="A1017" s="73"/>
      <c r="B1017" s="73"/>
      <c r="C1017" s="73"/>
      <c r="D1017" s="73"/>
      <c r="E1017" s="73"/>
      <c r="F1017" s="73"/>
      <c r="G1017" s="73"/>
      <c r="H1017" s="73"/>
      <c r="I1017" s="73"/>
      <c r="J1017" s="73"/>
      <c r="K1017" s="73"/>
      <c r="L1017" s="73"/>
      <c r="M1017" s="73"/>
      <c r="N1017" s="73"/>
      <c r="O1017" s="73"/>
      <c r="P1017" s="73"/>
      <c r="Q1017" s="73"/>
      <c r="R1017" s="73"/>
      <c r="S1017" s="73"/>
      <c r="T1017" s="73"/>
      <c r="U1017" s="73"/>
      <c r="V1017" s="73"/>
      <c r="W1017" s="73"/>
      <c r="X1017" s="73"/>
      <c r="Y1017" s="73"/>
      <c r="Z1017" s="73"/>
      <c r="AA1017" s="73"/>
      <c r="AB1017" s="73"/>
      <c r="AC1017" s="73"/>
      <c r="AD1017" s="73"/>
      <c r="AE1017" s="73"/>
      <c r="AF1017" s="73"/>
    </row>
    <row r="1018" spans="1:32" ht="10.199999999999999">
      <c r="A1018" s="73"/>
      <c r="B1018" s="73"/>
      <c r="C1018" s="73"/>
      <c r="D1018" s="73"/>
      <c r="E1018" s="73"/>
      <c r="F1018" s="73"/>
      <c r="G1018" s="73"/>
      <c r="H1018" s="73"/>
      <c r="I1018" s="73"/>
      <c r="J1018" s="73"/>
      <c r="K1018" s="73"/>
      <c r="L1018" s="73"/>
      <c r="M1018" s="73"/>
      <c r="N1018" s="73"/>
      <c r="O1018" s="73"/>
      <c r="P1018" s="73"/>
      <c r="Q1018" s="73"/>
      <c r="R1018" s="73"/>
      <c r="S1018" s="73"/>
      <c r="T1018" s="73"/>
      <c r="U1018" s="73"/>
      <c r="V1018" s="73"/>
      <c r="W1018" s="73"/>
      <c r="X1018" s="73"/>
      <c r="Y1018" s="73"/>
      <c r="Z1018" s="73"/>
      <c r="AA1018" s="73"/>
      <c r="AB1018" s="73"/>
      <c r="AC1018" s="73"/>
      <c r="AD1018" s="73"/>
      <c r="AE1018" s="73"/>
      <c r="AF1018" s="73"/>
    </row>
    <row r="1019" spans="1:32" ht="10.199999999999999">
      <c r="A1019" s="73"/>
      <c r="B1019" s="73"/>
      <c r="C1019" s="73"/>
      <c r="D1019" s="73"/>
      <c r="E1019" s="73"/>
      <c r="F1019" s="73"/>
      <c r="G1019" s="73"/>
      <c r="H1019" s="73"/>
      <c r="I1019" s="73"/>
      <c r="J1019" s="73"/>
      <c r="K1019" s="73"/>
      <c r="L1019" s="73"/>
      <c r="M1019" s="73"/>
      <c r="N1019" s="73"/>
      <c r="O1019" s="73"/>
      <c r="P1019" s="73"/>
      <c r="Q1019" s="73"/>
      <c r="R1019" s="73"/>
      <c r="S1019" s="73"/>
      <c r="T1019" s="73"/>
      <c r="U1019" s="73"/>
      <c r="V1019" s="73"/>
      <c r="W1019" s="73"/>
      <c r="X1019" s="73"/>
      <c r="Y1019" s="73"/>
      <c r="Z1019" s="73"/>
      <c r="AA1019" s="73"/>
      <c r="AB1019" s="73"/>
      <c r="AC1019" s="73"/>
      <c r="AD1019" s="73"/>
      <c r="AE1019" s="73"/>
      <c r="AF1019" s="73"/>
    </row>
    <row r="1020" spans="1:32" ht="10.199999999999999">
      <c r="A1020" s="73"/>
      <c r="B1020" s="73"/>
      <c r="C1020" s="73"/>
      <c r="D1020" s="73"/>
      <c r="E1020" s="73"/>
      <c r="F1020" s="73"/>
      <c r="G1020" s="73"/>
      <c r="H1020" s="73"/>
      <c r="I1020" s="73"/>
      <c r="J1020" s="73"/>
      <c r="K1020" s="73"/>
      <c r="L1020" s="73"/>
      <c r="M1020" s="73"/>
      <c r="N1020" s="73"/>
      <c r="O1020" s="73"/>
      <c r="P1020" s="73"/>
      <c r="Q1020" s="73"/>
      <c r="R1020" s="73"/>
      <c r="S1020" s="73"/>
      <c r="T1020" s="73"/>
      <c r="U1020" s="73"/>
      <c r="V1020" s="73"/>
      <c r="W1020" s="73"/>
      <c r="X1020" s="73"/>
      <c r="Y1020" s="73"/>
      <c r="Z1020" s="73"/>
      <c r="AA1020" s="73"/>
      <c r="AB1020" s="73"/>
      <c r="AC1020" s="73"/>
      <c r="AD1020" s="73"/>
      <c r="AE1020" s="73"/>
      <c r="AF1020" s="73"/>
    </row>
    <row r="1021" spans="1:32" ht="10.199999999999999">
      <c r="A1021" s="73"/>
      <c r="B1021" s="73"/>
      <c r="C1021" s="73"/>
      <c r="D1021" s="73"/>
      <c r="E1021" s="73"/>
      <c r="F1021" s="73"/>
      <c r="G1021" s="73"/>
      <c r="H1021" s="73"/>
      <c r="I1021" s="73"/>
      <c r="J1021" s="73"/>
      <c r="K1021" s="73"/>
      <c r="L1021" s="73"/>
      <c r="M1021" s="73"/>
      <c r="N1021" s="73"/>
      <c r="O1021" s="73"/>
      <c r="P1021" s="73"/>
      <c r="Q1021" s="73"/>
      <c r="R1021" s="73"/>
      <c r="S1021" s="73"/>
      <c r="T1021" s="73"/>
      <c r="U1021" s="73"/>
      <c r="V1021" s="73"/>
      <c r="W1021" s="73"/>
      <c r="X1021" s="73"/>
      <c r="Y1021" s="73"/>
      <c r="Z1021" s="73"/>
      <c r="AA1021" s="73"/>
      <c r="AB1021" s="73"/>
      <c r="AC1021" s="73"/>
      <c r="AD1021" s="73"/>
      <c r="AE1021" s="73"/>
      <c r="AF1021" s="73"/>
    </row>
    <row r="1022" spans="1:32" ht="10.199999999999999">
      <c r="A1022" s="73"/>
      <c r="B1022" s="73"/>
      <c r="C1022" s="73"/>
      <c r="D1022" s="73"/>
      <c r="E1022" s="73"/>
      <c r="F1022" s="73"/>
      <c r="G1022" s="73"/>
      <c r="H1022" s="73"/>
      <c r="I1022" s="73"/>
      <c r="J1022" s="73"/>
      <c r="K1022" s="73"/>
      <c r="L1022" s="73"/>
      <c r="M1022" s="73"/>
      <c r="N1022" s="73"/>
      <c r="O1022" s="73"/>
      <c r="P1022" s="73"/>
      <c r="Q1022" s="73"/>
      <c r="R1022" s="73"/>
      <c r="S1022" s="73"/>
      <c r="T1022" s="73"/>
      <c r="U1022" s="73"/>
      <c r="V1022" s="73"/>
      <c r="W1022" s="73"/>
      <c r="X1022" s="73"/>
      <c r="Y1022" s="73"/>
      <c r="Z1022" s="73"/>
      <c r="AA1022" s="73"/>
      <c r="AB1022" s="73"/>
      <c r="AC1022" s="73"/>
      <c r="AD1022" s="73"/>
      <c r="AE1022" s="73"/>
      <c r="AF1022" s="73"/>
    </row>
    <row r="1023" spans="1:32" ht="10.199999999999999">
      <c r="A1023" s="73"/>
      <c r="B1023" s="73"/>
      <c r="C1023" s="73"/>
      <c r="D1023" s="73"/>
      <c r="E1023" s="73"/>
      <c r="F1023" s="73"/>
      <c r="G1023" s="73"/>
      <c r="H1023" s="73"/>
      <c r="I1023" s="73"/>
      <c r="J1023" s="73"/>
      <c r="K1023" s="73"/>
      <c r="L1023" s="73"/>
      <c r="M1023" s="73"/>
      <c r="N1023" s="73"/>
      <c r="O1023" s="73"/>
      <c r="P1023" s="73"/>
      <c r="Q1023" s="73"/>
      <c r="R1023" s="73"/>
      <c r="S1023" s="73"/>
      <c r="T1023" s="73"/>
      <c r="U1023" s="73"/>
      <c r="V1023" s="73"/>
      <c r="W1023" s="73"/>
      <c r="X1023" s="73"/>
      <c r="Y1023" s="73"/>
      <c r="Z1023" s="73"/>
      <c r="AA1023" s="73"/>
      <c r="AB1023" s="73"/>
      <c r="AC1023" s="73"/>
      <c r="AD1023" s="73"/>
      <c r="AE1023" s="73"/>
      <c r="AF1023" s="73"/>
    </row>
    <row r="1024" spans="1:32" ht="10.199999999999999">
      <c r="A1024" s="73"/>
      <c r="B1024" s="73"/>
      <c r="C1024" s="73"/>
      <c r="D1024" s="73"/>
      <c r="E1024" s="73"/>
      <c r="F1024" s="73"/>
      <c r="G1024" s="73"/>
      <c r="H1024" s="73"/>
      <c r="I1024" s="73"/>
      <c r="J1024" s="73"/>
      <c r="K1024" s="73"/>
      <c r="L1024" s="73"/>
      <c r="M1024" s="73"/>
      <c r="N1024" s="73"/>
      <c r="O1024" s="73"/>
      <c r="P1024" s="73"/>
      <c r="Q1024" s="73"/>
      <c r="R1024" s="73"/>
      <c r="S1024" s="73"/>
      <c r="T1024" s="73"/>
      <c r="U1024" s="73"/>
      <c r="V1024" s="73"/>
      <c r="W1024" s="73"/>
      <c r="X1024" s="73"/>
      <c r="Y1024" s="73"/>
      <c r="Z1024" s="73"/>
      <c r="AA1024" s="73"/>
      <c r="AB1024" s="73"/>
      <c r="AC1024" s="73"/>
      <c r="AD1024" s="73"/>
      <c r="AE1024" s="73"/>
      <c r="AF1024" s="73"/>
    </row>
    <row r="1025" spans="1:32" ht="10.199999999999999">
      <c r="A1025" s="73"/>
      <c r="B1025" s="73"/>
      <c r="C1025" s="73"/>
      <c r="D1025" s="73"/>
      <c r="E1025" s="73"/>
      <c r="F1025" s="73"/>
      <c r="G1025" s="73"/>
      <c r="H1025" s="73"/>
      <c r="I1025" s="73"/>
      <c r="J1025" s="73"/>
      <c r="K1025" s="73"/>
      <c r="L1025" s="73"/>
      <c r="M1025" s="73"/>
      <c r="N1025" s="73"/>
      <c r="O1025" s="73"/>
      <c r="P1025" s="73"/>
      <c r="Q1025" s="73"/>
      <c r="R1025" s="73"/>
      <c r="S1025" s="73"/>
      <c r="T1025" s="73"/>
      <c r="U1025" s="73"/>
      <c r="V1025" s="73"/>
      <c r="W1025" s="73"/>
      <c r="X1025" s="73"/>
      <c r="Y1025" s="73"/>
      <c r="Z1025" s="73"/>
      <c r="AA1025" s="73"/>
      <c r="AB1025" s="73"/>
      <c r="AC1025" s="73"/>
      <c r="AD1025" s="73"/>
      <c r="AE1025" s="73"/>
      <c r="AF1025" s="73"/>
    </row>
    <row r="1026" spans="1:32" ht="10.199999999999999">
      <c r="A1026" s="73"/>
      <c r="B1026" s="73"/>
      <c r="C1026" s="73"/>
      <c r="D1026" s="73"/>
      <c r="E1026" s="73"/>
      <c r="F1026" s="73"/>
      <c r="G1026" s="73"/>
      <c r="H1026" s="73"/>
      <c r="I1026" s="73"/>
      <c r="J1026" s="73"/>
      <c r="K1026" s="73"/>
      <c r="L1026" s="73"/>
      <c r="M1026" s="73"/>
      <c r="N1026" s="73"/>
      <c r="O1026" s="73"/>
      <c r="P1026" s="73"/>
      <c r="Q1026" s="73"/>
      <c r="R1026" s="73"/>
      <c r="S1026" s="73"/>
      <c r="T1026" s="73"/>
      <c r="U1026" s="73"/>
      <c r="V1026" s="73"/>
      <c r="W1026" s="73"/>
      <c r="X1026" s="73"/>
      <c r="Y1026" s="73"/>
      <c r="Z1026" s="73"/>
      <c r="AA1026" s="73"/>
      <c r="AB1026" s="73"/>
      <c r="AC1026" s="73"/>
      <c r="AD1026" s="73"/>
      <c r="AE1026" s="73"/>
      <c r="AF1026" s="73"/>
    </row>
    <row r="1027" spans="1:32" ht="10.199999999999999">
      <c r="A1027" s="73"/>
      <c r="B1027" s="73"/>
      <c r="C1027" s="73"/>
      <c r="D1027" s="73"/>
      <c r="E1027" s="73"/>
      <c r="F1027" s="73"/>
      <c r="G1027" s="73"/>
      <c r="H1027" s="73"/>
      <c r="I1027" s="73"/>
      <c r="J1027" s="73"/>
      <c r="K1027" s="73"/>
      <c r="L1027" s="73"/>
      <c r="M1027" s="73"/>
      <c r="N1027" s="73"/>
      <c r="O1027" s="73"/>
      <c r="P1027" s="73"/>
      <c r="Q1027" s="73"/>
      <c r="R1027" s="73"/>
      <c r="S1027" s="73"/>
      <c r="T1027" s="73"/>
      <c r="U1027" s="73"/>
      <c r="V1027" s="73"/>
      <c r="W1027" s="73"/>
      <c r="X1027" s="73"/>
      <c r="Y1027" s="73"/>
      <c r="Z1027" s="73"/>
      <c r="AA1027" s="73"/>
      <c r="AB1027" s="73"/>
      <c r="AC1027" s="73"/>
      <c r="AD1027" s="73"/>
      <c r="AE1027" s="73"/>
      <c r="AF1027" s="73"/>
    </row>
    <row r="1028" spans="1:32" ht="10.199999999999999">
      <c r="A1028" s="73"/>
      <c r="B1028" s="73"/>
      <c r="C1028" s="73"/>
      <c r="D1028" s="73"/>
      <c r="E1028" s="73"/>
      <c r="F1028" s="73"/>
      <c r="G1028" s="73"/>
      <c r="H1028" s="73"/>
      <c r="I1028" s="73"/>
      <c r="J1028" s="73"/>
      <c r="K1028" s="73"/>
      <c r="L1028" s="73"/>
      <c r="M1028" s="73"/>
      <c r="N1028" s="73"/>
      <c r="O1028" s="73"/>
      <c r="P1028" s="73"/>
      <c r="Q1028" s="73"/>
      <c r="R1028" s="73"/>
      <c r="S1028" s="73"/>
      <c r="T1028" s="73"/>
      <c r="U1028" s="73"/>
      <c r="V1028" s="73"/>
      <c r="W1028" s="73"/>
      <c r="X1028" s="73"/>
      <c r="Y1028" s="73"/>
      <c r="Z1028" s="73"/>
      <c r="AA1028" s="73"/>
      <c r="AB1028" s="73"/>
      <c r="AC1028" s="73"/>
      <c r="AD1028" s="73"/>
      <c r="AE1028" s="73"/>
      <c r="AF1028" s="73"/>
    </row>
    <row r="1029" spans="1:32" ht="10.199999999999999">
      <c r="A1029" s="73"/>
      <c r="B1029" s="73"/>
      <c r="C1029" s="73"/>
      <c r="D1029" s="73"/>
      <c r="E1029" s="73"/>
      <c r="F1029" s="73"/>
      <c r="G1029" s="73"/>
      <c r="H1029" s="73"/>
      <c r="I1029" s="73"/>
      <c r="J1029" s="73"/>
      <c r="K1029" s="73"/>
      <c r="L1029" s="73"/>
      <c r="M1029" s="73"/>
      <c r="N1029" s="73"/>
      <c r="O1029" s="73"/>
      <c r="P1029" s="73"/>
      <c r="Q1029" s="73"/>
      <c r="R1029" s="73"/>
      <c r="S1029" s="73"/>
      <c r="T1029" s="73"/>
      <c r="U1029" s="73"/>
      <c r="V1029" s="73"/>
      <c r="W1029" s="73"/>
      <c r="X1029" s="73"/>
      <c r="Y1029" s="73"/>
      <c r="Z1029" s="73"/>
      <c r="AA1029" s="73"/>
      <c r="AB1029" s="73"/>
      <c r="AC1029" s="73"/>
      <c r="AD1029" s="73"/>
      <c r="AE1029" s="73"/>
      <c r="AF1029" s="73"/>
    </row>
    <row r="1030" spans="1:32" ht="10.199999999999999">
      <c r="A1030" s="73"/>
      <c r="B1030" s="73"/>
      <c r="C1030" s="73"/>
      <c r="D1030" s="73"/>
      <c r="E1030" s="73"/>
      <c r="F1030" s="73"/>
      <c r="G1030" s="73"/>
      <c r="H1030" s="73"/>
      <c r="I1030" s="73"/>
      <c r="J1030" s="73"/>
      <c r="K1030" s="73"/>
      <c r="L1030" s="73"/>
      <c r="M1030" s="73"/>
      <c r="N1030" s="73"/>
      <c r="O1030" s="73"/>
      <c r="P1030" s="73"/>
      <c r="Q1030" s="73"/>
      <c r="R1030" s="73"/>
      <c r="S1030" s="73"/>
      <c r="T1030" s="73"/>
      <c r="U1030" s="73"/>
      <c r="V1030" s="73"/>
      <c r="W1030" s="73"/>
      <c r="X1030" s="73"/>
      <c r="Y1030" s="73"/>
      <c r="Z1030" s="73"/>
      <c r="AA1030" s="73"/>
      <c r="AB1030" s="73"/>
      <c r="AC1030" s="73"/>
      <c r="AD1030" s="73"/>
      <c r="AE1030" s="73"/>
      <c r="AF1030" s="73"/>
    </row>
    <row r="1031" spans="1:32" ht="10.199999999999999">
      <c r="A1031" s="73"/>
      <c r="B1031" s="73"/>
      <c r="C1031" s="73"/>
      <c r="D1031" s="73"/>
      <c r="E1031" s="73"/>
      <c r="F1031" s="73"/>
      <c r="G1031" s="73"/>
      <c r="H1031" s="73"/>
      <c r="I1031" s="73"/>
      <c r="J1031" s="73"/>
      <c r="K1031" s="73"/>
      <c r="L1031" s="73"/>
      <c r="M1031" s="73"/>
      <c r="N1031" s="73"/>
      <c r="O1031" s="73"/>
      <c r="P1031" s="73"/>
      <c r="Q1031" s="73"/>
      <c r="R1031" s="73"/>
      <c r="S1031" s="73"/>
      <c r="T1031" s="73"/>
      <c r="U1031" s="73"/>
      <c r="V1031" s="73"/>
      <c r="W1031" s="73"/>
      <c r="X1031" s="73"/>
      <c r="Y1031" s="73"/>
      <c r="Z1031" s="73"/>
      <c r="AA1031" s="73"/>
      <c r="AB1031" s="73"/>
      <c r="AC1031" s="73"/>
      <c r="AD1031" s="73"/>
      <c r="AE1031" s="73"/>
      <c r="AF1031" s="73"/>
    </row>
    <row r="1032" spans="1:32" ht="10.199999999999999">
      <c r="A1032" s="73"/>
      <c r="B1032" s="73"/>
      <c r="C1032" s="73"/>
      <c r="D1032" s="73"/>
      <c r="E1032" s="73"/>
      <c r="F1032" s="73"/>
      <c r="G1032" s="73"/>
      <c r="H1032" s="73"/>
      <c r="I1032" s="73"/>
      <c r="J1032" s="73"/>
      <c r="K1032" s="73"/>
      <c r="L1032" s="73"/>
      <c r="M1032" s="73"/>
      <c r="N1032" s="73"/>
      <c r="O1032" s="73"/>
      <c r="P1032" s="73"/>
      <c r="Q1032" s="73"/>
      <c r="R1032" s="73"/>
      <c r="S1032" s="73"/>
      <c r="T1032" s="73"/>
      <c r="U1032" s="73"/>
      <c r="V1032" s="73"/>
      <c r="W1032" s="73"/>
      <c r="X1032" s="73"/>
      <c r="Y1032" s="73"/>
      <c r="Z1032" s="73"/>
      <c r="AA1032" s="73"/>
      <c r="AB1032" s="73"/>
      <c r="AC1032" s="73"/>
      <c r="AD1032" s="73"/>
      <c r="AE1032" s="73"/>
      <c r="AF1032" s="73"/>
    </row>
    <row r="1033" spans="1:32" ht="10.199999999999999">
      <c r="A1033" s="73"/>
      <c r="B1033" s="73"/>
      <c r="C1033" s="73"/>
      <c r="D1033" s="73"/>
      <c r="E1033" s="73"/>
      <c r="F1033" s="73"/>
      <c r="G1033" s="73"/>
      <c r="H1033" s="73"/>
      <c r="I1033" s="73"/>
      <c r="J1033" s="73"/>
      <c r="K1033" s="73"/>
      <c r="L1033" s="73"/>
      <c r="M1033" s="73"/>
      <c r="N1033" s="73"/>
      <c r="O1033" s="73"/>
      <c r="P1033" s="73"/>
      <c r="Q1033" s="73"/>
      <c r="R1033" s="73"/>
      <c r="S1033" s="73"/>
      <c r="T1033" s="73"/>
      <c r="U1033" s="73"/>
      <c r="V1033" s="73"/>
      <c r="W1033" s="73"/>
      <c r="X1033" s="73"/>
      <c r="Y1033" s="73"/>
      <c r="Z1033" s="73"/>
      <c r="AA1033" s="73"/>
      <c r="AB1033" s="73"/>
      <c r="AC1033" s="73"/>
      <c r="AD1033" s="73"/>
      <c r="AE1033" s="73"/>
      <c r="AF1033" s="73"/>
    </row>
    <row r="1034" spans="1:32" ht="10.199999999999999">
      <c r="A1034" s="73"/>
      <c r="B1034" s="73"/>
      <c r="C1034" s="73"/>
      <c r="D1034" s="73"/>
      <c r="E1034" s="73"/>
      <c r="F1034" s="73"/>
      <c r="G1034" s="73"/>
      <c r="H1034" s="73"/>
      <c r="I1034" s="73"/>
      <c r="J1034" s="73"/>
      <c r="K1034" s="73"/>
      <c r="L1034" s="73"/>
      <c r="M1034" s="73"/>
      <c r="N1034" s="73"/>
      <c r="O1034" s="73"/>
      <c r="P1034" s="73"/>
      <c r="Q1034" s="73"/>
      <c r="R1034" s="73"/>
      <c r="S1034" s="73"/>
      <c r="T1034" s="73"/>
      <c r="U1034" s="73"/>
      <c r="V1034" s="73"/>
      <c r="W1034" s="73"/>
      <c r="X1034" s="73"/>
      <c r="Y1034" s="73"/>
      <c r="Z1034" s="73"/>
      <c r="AA1034" s="73"/>
      <c r="AB1034" s="73"/>
      <c r="AC1034" s="73"/>
      <c r="AD1034" s="73"/>
      <c r="AE1034" s="73"/>
      <c r="AF1034" s="73"/>
    </row>
    <row r="1035" spans="1:32" ht="10.199999999999999">
      <c r="A1035" s="73"/>
      <c r="B1035" s="73"/>
      <c r="C1035" s="73"/>
      <c r="D1035" s="73"/>
      <c r="E1035" s="73"/>
      <c r="F1035" s="73"/>
      <c r="G1035" s="73"/>
      <c r="H1035" s="73"/>
      <c r="I1035" s="73"/>
      <c r="J1035" s="73"/>
      <c r="K1035" s="73"/>
      <c r="L1035" s="73"/>
      <c r="M1035" s="73"/>
      <c r="N1035" s="73"/>
      <c r="O1035" s="73"/>
      <c r="P1035" s="73"/>
      <c r="Q1035" s="73"/>
      <c r="R1035" s="73"/>
      <c r="S1035" s="73"/>
      <c r="T1035" s="73"/>
      <c r="U1035" s="73"/>
      <c r="V1035" s="73"/>
      <c r="W1035" s="73"/>
      <c r="X1035" s="73"/>
      <c r="Y1035" s="73"/>
      <c r="Z1035" s="73"/>
      <c r="AA1035" s="73"/>
      <c r="AB1035" s="73"/>
      <c r="AC1035" s="73"/>
      <c r="AD1035" s="73"/>
      <c r="AE1035" s="73"/>
      <c r="AF1035" s="73"/>
    </row>
    <row r="1036" spans="1:32" ht="10.199999999999999">
      <c r="A1036" s="73"/>
      <c r="B1036" s="73"/>
      <c r="C1036" s="73"/>
      <c r="D1036" s="73"/>
      <c r="E1036" s="73"/>
      <c r="F1036" s="73"/>
      <c r="G1036" s="73"/>
      <c r="H1036" s="73"/>
      <c r="I1036" s="73"/>
      <c r="J1036" s="73"/>
      <c r="K1036" s="73"/>
      <c r="L1036" s="73"/>
      <c r="M1036" s="73"/>
      <c r="N1036" s="73"/>
      <c r="O1036" s="73"/>
      <c r="P1036" s="73"/>
      <c r="Q1036" s="73"/>
      <c r="R1036" s="73"/>
      <c r="S1036" s="73"/>
      <c r="T1036" s="73"/>
      <c r="U1036" s="73"/>
      <c r="V1036" s="73"/>
      <c r="W1036" s="73"/>
      <c r="X1036" s="73"/>
      <c r="Y1036" s="73"/>
      <c r="Z1036" s="73"/>
      <c r="AA1036" s="73"/>
      <c r="AB1036" s="73"/>
      <c r="AC1036" s="73"/>
      <c r="AD1036" s="73"/>
      <c r="AE1036" s="73"/>
      <c r="AF1036" s="73"/>
    </row>
    <row r="1037" spans="1:32" ht="10.199999999999999">
      <c r="A1037" s="73"/>
      <c r="B1037" s="73"/>
      <c r="C1037" s="73"/>
      <c r="D1037" s="73"/>
      <c r="E1037" s="73"/>
      <c r="F1037" s="73"/>
      <c r="G1037" s="73"/>
      <c r="H1037" s="73"/>
      <c r="I1037" s="73"/>
      <c r="J1037" s="73"/>
      <c r="K1037" s="73"/>
      <c r="L1037" s="73"/>
      <c r="M1037" s="73"/>
      <c r="N1037" s="73"/>
      <c r="O1037" s="73"/>
      <c r="P1037" s="73"/>
      <c r="Q1037" s="73"/>
      <c r="R1037" s="73"/>
      <c r="S1037" s="73"/>
      <c r="T1037" s="73"/>
      <c r="U1037" s="73"/>
      <c r="V1037" s="73"/>
      <c r="W1037" s="73"/>
      <c r="X1037" s="73"/>
      <c r="Y1037" s="73"/>
      <c r="Z1037" s="73"/>
      <c r="AA1037" s="73"/>
      <c r="AB1037" s="73"/>
      <c r="AC1037" s="73"/>
      <c r="AD1037" s="73"/>
      <c r="AE1037" s="73"/>
      <c r="AF1037" s="73"/>
    </row>
    <row r="1038" spans="1:32" ht="10.199999999999999">
      <c r="A1038" s="73"/>
      <c r="B1038" s="73"/>
      <c r="C1038" s="73"/>
      <c r="D1038" s="73"/>
      <c r="E1038" s="73"/>
      <c r="F1038" s="73"/>
      <c r="G1038" s="73"/>
      <c r="H1038" s="73"/>
      <c r="I1038" s="73"/>
      <c r="J1038" s="73"/>
      <c r="K1038" s="73"/>
      <c r="L1038" s="73"/>
      <c r="M1038" s="73"/>
      <c r="N1038" s="73"/>
      <c r="O1038" s="73"/>
      <c r="P1038" s="73"/>
      <c r="Q1038" s="73"/>
      <c r="R1038" s="73"/>
      <c r="S1038" s="73"/>
      <c r="T1038" s="73"/>
      <c r="U1038" s="73"/>
      <c r="V1038" s="73"/>
      <c r="W1038" s="73"/>
      <c r="X1038" s="73"/>
      <c r="Y1038" s="73"/>
      <c r="Z1038" s="73"/>
      <c r="AA1038" s="73"/>
      <c r="AB1038" s="73"/>
      <c r="AC1038" s="73"/>
      <c r="AD1038" s="73"/>
      <c r="AE1038" s="73"/>
      <c r="AF1038" s="73"/>
    </row>
    <row r="1039" spans="1:32" ht="10.199999999999999">
      <c r="A1039" s="73"/>
      <c r="B1039" s="73"/>
      <c r="C1039" s="73"/>
      <c r="D1039" s="73"/>
      <c r="E1039" s="73"/>
      <c r="F1039" s="73"/>
      <c r="G1039" s="73"/>
      <c r="H1039" s="73"/>
      <c r="I1039" s="73"/>
      <c r="J1039" s="73"/>
      <c r="K1039" s="73"/>
      <c r="L1039" s="73"/>
      <c r="M1039" s="73"/>
      <c r="N1039" s="73"/>
      <c r="O1039" s="73"/>
      <c r="P1039" s="73"/>
      <c r="Q1039" s="73"/>
      <c r="R1039" s="73"/>
      <c r="S1039" s="73"/>
      <c r="T1039" s="73"/>
      <c r="U1039" s="73"/>
      <c r="V1039" s="73"/>
      <c r="W1039" s="73"/>
      <c r="X1039" s="73"/>
      <c r="Y1039" s="73"/>
      <c r="Z1039" s="73"/>
      <c r="AA1039" s="73"/>
      <c r="AB1039" s="73"/>
      <c r="AC1039" s="73"/>
      <c r="AD1039" s="73"/>
      <c r="AE1039" s="73"/>
      <c r="AF1039" s="73"/>
    </row>
    <row r="1040" spans="1:32" ht="10.199999999999999">
      <c r="A1040" s="73"/>
      <c r="B1040" s="73"/>
      <c r="C1040" s="73"/>
      <c r="D1040" s="73"/>
      <c r="E1040" s="73"/>
      <c r="F1040" s="73"/>
      <c r="G1040" s="73"/>
      <c r="H1040" s="73"/>
      <c r="I1040" s="73"/>
      <c r="J1040" s="73"/>
      <c r="K1040" s="73"/>
      <c r="L1040" s="73"/>
      <c r="M1040" s="73"/>
      <c r="N1040" s="73"/>
      <c r="O1040" s="73"/>
      <c r="P1040" s="73"/>
      <c r="Q1040" s="73"/>
      <c r="R1040" s="73"/>
      <c r="S1040" s="73"/>
      <c r="T1040" s="73"/>
      <c r="U1040" s="73"/>
      <c r="V1040" s="73"/>
      <c r="W1040" s="73"/>
      <c r="X1040" s="73"/>
      <c r="Y1040" s="73"/>
      <c r="Z1040" s="73"/>
      <c r="AA1040" s="73"/>
      <c r="AB1040" s="73"/>
      <c r="AC1040" s="73"/>
      <c r="AD1040" s="73"/>
      <c r="AE1040" s="73"/>
      <c r="AF1040" s="73"/>
    </row>
    <row r="1041" spans="1:32" ht="10.199999999999999">
      <c r="A1041" s="73"/>
      <c r="B1041" s="73"/>
      <c r="C1041" s="73"/>
      <c r="D1041" s="73"/>
      <c r="E1041" s="73"/>
      <c r="F1041" s="73"/>
      <c r="G1041" s="73"/>
      <c r="H1041" s="73"/>
      <c r="I1041" s="73"/>
      <c r="J1041" s="73"/>
      <c r="K1041" s="73"/>
      <c r="L1041" s="73"/>
      <c r="M1041" s="73"/>
      <c r="N1041" s="73"/>
      <c r="O1041" s="73"/>
      <c r="P1041" s="73"/>
      <c r="Q1041" s="73"/>
      <c r="R1041" s="73"/>
      <c r="S1041" s="73"/>
      <c r="T1041" s="73"/>
      <c r="U1041" s="73"/>
      <c r="V1041" s="73"/>
      <c r="W1041" s="73"/>
      <c r="X1041" s="73"/>
      <c r="Y1041" s="73"/>
      <c r="Z1041" s="73"/>
      <c r="AA1041" s="73"/>
      <c r="AB1041" s="73"/>
      <c r="AC1041" s="73"/>
      <c r="AD1041" s="73"/>
      <c r="AE1041" s="73"/>
      <c r="AF1041" s="73"/>
    </row>
    <row r="1042" spans="1:32" ht="10.199999999999999">
      <c r="A1042" s="73"/>
      <c r="B1042" s="73"/>
      <c r="C1042" s="73"/>
      <c r="D1042" s="73"/>
      <c r="E1042" s="73"/>
      <c r="F1042" s="73"/>
      <c r="G1042" s="73"/>
      <c r="H1042" s="73"/>
      <c r="I1042" s="73"/>
      <c r="J1042" s="73"/>
      <c r="K1042" s="73"/>
      <c r="L1042" s="73"/>
      <c r="M1042" s="73"/>
      <c r="N1042" s="73"/>
      <c r="O1042" s="73"/>
      <c r="P1042" s="73"/>
      <c r="Q1042" s="73"/>
      <c r="R1042" s="73"/>
      <c r="S1042" s="73"/>
      <c r="T1042" s="73"/>
      <c r="U1042" s="73"/>
      <c r="V1042" s="73"/>
      <c r="W1042" s="73"/>
      <c r="X1042" s="73"/>
      <c r="Y1042" s="73"/>
      <c r="Z1042" s="73"/>
      <c r="AA1042" s="73"/>
      <c r="AB1042" s="73"/>
      <c r="AC1042" s="73"/>
      <c r="AD1042" s="73"/>
      <c r="AE1042" s="73"/>
      <c r="AF1042" s="73"/>
    </row>
    <row r="1043" spans="1:32" ht="10.199999999999999">
      <c r="A1043" s="73"/>
      <c r="B1043" s="73"/>
      <c r="C1043" s="73"/>
      <c r="D1043" s="73"/>
      <c r="E1043" s="73"/>
      <c r="F1043" s="73"/>
      <c r="G1043" s="73"/>
      <c r="H1043" s="73"/>
      <c r="I1043" s="73"/>
      <c r="J1043" s="73"/>
      <c r="K1043" s="73"/>
      <c r="L1043" s="73"/>
      <c r="M1043" s="73"/>
      <c r="N1043" s="73"/>
      <c r="O1043" s="73"/>
      <c r="P1043" s="73"/>
      <c r="Q1043" s="73"/>
      <c r="R1043" s="73"/>
      <c r="S1043" s="73"/>
      <c r="T1043" s="73"/>
      <c r="U1043" s="73"/>
      <c r="V1043" s="73"/>
      <c r="W1043" s="73"/>
      <c r="X1043" s="73"/>
      <c r="Y1043" s="73"/>
      <c r="Z1043" s="73"/>
      <c r="AA1043" s="73"/>
      <c r="AB1043" s="73"/>
      <c r="AC1043" s="73"/>
      <c r="AD1043" s="73"/>
      <c r="AE1043" s="73"/>
      <c r="AF1043" s="73"/>
    </row>
    <row r="1044" spans="1:32" ht="10.199999999999999">
      <c r="A1044" s="73"/>
      <c r="B1044" s="73"/>
      <c r="C1044" s="73"/>
      <c r="D1044" s="73"/>
      <c r="E1044" s="73"/>
      <c r="F1044" s="73"/>
      <c r="G1044" s="73"/>
      <c r="H1044" s="73"/>
      <c r="I1044" s="73"/>
      <c r="J1044" s="73"/>
      <c r="K1044" s="73"/>
      <c r="L1044" s="73"/>
      <c r="M1044" s="73"/>
      <c r="N1044" s="73"/>
      <c r="O1044" s="73"/>
      <c r="P1044" s="73"/>
      <c r="Q1044" s="73"/>
      <c r="R1044" s="73"/>
      <c r="S1044" s="73"/>
      <c r="T1044" s="73"/>
      <c r="U1044" s="73"/>
      <c r="V1044" s="73"/>
      <c r="W1044" s="73"/>
      <c r="X1044" s="73"/>
      <c r="Y1044" s="73"/>
      <c r="Z1044" s="73"/>
      <c r="AA1044" s="73"/>
      <c r="AB1044" s="73"/>
      <c r="AC1044" s="73"/>
      <c r="AD1044" s="73"/>
      <c r="AE1044" s="73"/>
      <c r="AF1044" s="73"/>
    </row>
    <row r="1045" spans="1:32" ht="10.199999999999999">
      <c r="A1045" s="73"/>
      <c r="B1045" s="73"/>
      <c r="C1045" s="73"/>
      <c r="D1045" s="73"/>
      <c r="E1045" s="73"/>
      <c r="F1045" s="73"/>
      <c r="G1045" s="73"/>
      <c r="H1045" s="73"/>
      <c r="I1045" s="73"/>
      <c r="J1045" s="73"/>
      <c r="K1045" s="73"/>
      <c r="L1045" s="73"/>
      <c r="M1045" s="73"/>
      <c r="N1045" s="73"/>
      <c r="O1045" s="73"/>
      <c r="P1045" s="73"/>
      <c r="Q1045" s="73"/>
      <c r="R1045" s="73"/>
      <c r="S1045" s="73"/>
      <c r="T1045" s="73"/>
      <c r="U1045" s="73"/>
      <c r="V1045" s="73"/>
      <c r="W1045" s="73"/>
      <c r="X1045" s="73"/>
      <c r="Y1045" s="73"/>
      <c r="Z1045" s="73"/>
      <c r="AA1045" s="73"/>
      <c r="AB1045" s="73"/>
      <c r="AC1045" s="73"/>
      <c r="AD1045" s="73"/>
      <c r="AE1045" s="73"/>
      <c r="AF1045" s="73"/>
    </row>
    <row r="1046" spans="1:32" ht="10.199999999999999">
      <c r="A1046" s="73"/>
      <c r="B1046" s="73"/>
      <c r="C1046" s="73"/>
      <c r="D1046" s="73"/>
      <c r="E1046" s="73"/>
      <c r="F1046" s="73"/>
      <c r="G1046" s="73"/>
      <c r="H1046" s="73"/>
      <c r="I1046" s="73"/>
      <c r="J1046" s="73"/>
      <c r="K1046" s="73"/>
      <c r="L1046" s="73"/>
      <c r="M1046" s="73"/>
      <c r="N1046" s="73"/>
      <c r="O1046" s="73"/>
      <c r="P1046" s="73"/>
      <c r="Q1046" s="73"/>
      <c r="R1046" s="73"/>
      <c r="S1046" s="73"/>
      <c r="T1046" s="73"/>
      <c r="U1046" s="73"/>
      <c r="V1046" s="73"/>
      <c r="W1046" s="73"/>
      <c r="X1046" s="73"/>
      <c r="Y1046" s="73"/>
      <c r="Z1046" s="73"/>
      <c r="AA1046" s="73"/>
      <c r="AB1046" s="73"/>
      <c r="AC1046" s="73"/>
      <c r="AD1046" s="73"/>
      <c r="AE1046" s="73"/>
      <c r="AF1046" s="73"/>
    </row>
    <row r="1047" spans="1:32" ht="10.199999999999999">
      <c r="A1047" s="73"/>
      <c r="B1047" s="73"/>
      <c r="C1047" s="73"/>
      <c r="D1047" s="73"/>
      <c r="E1047" s="73"/>
      <c r="F1047" s="73"/>
      <c r="G1047" s="73"/>
      <c r="H1047" s="73"/>
      <c r="I1047" s="73"/>
      <c r="J1047" s="73"/>
      <c r="K1047" s="73"/>
      <c r="L1047" s="73"/>
      <c r="M1047" s="73"/>
      <c r="N1047" s="73"/>
      <c r="O1047" s="73"/>
      <c r="P1047" s="73"/>
      <c r="Q1047" s="73"/>
      <c r="R1047" s="73"/>
      <c r="S1047" s="73"/>
      <c r="T1047" s="73"/>
      <c r="U1047" s="73"/>
      <c r="V1047" s="73"/>
      <c r="W1047" s="73"/>
      <c r="X1047" s="73"/>
      <c r="Y1047" s="73"/>
      <c r="Z1047" s="73"/>
      <c r="AA1047" s="73"/>
      <c r="AB1047" s="73"/>
      <c r="AC1047" s="73"/>
      <c r="AD1047" s="73"/>
      <c r="AE1047" s="73"/>
      <c r="AF1047" s="73"/>
    </row>
    <row r="1048" spans="1:32" ht="10.199999999999999">
      <c r="A1048" s="73"/>
      <c r="B1048" s="73"/>
      <c r="C1048" s="73"/>
      <c r="D1048" s="73"/>
      <c r="E1048" s="73"/>
      <c r="F1048" s="73"/>
      <c r="G1048" s="73"/>
      <c r="H1048" s="73"/>
      <c r="I1048" s="73"/>
      <c r="J1048" s="73"/>
      <c r="K1048" s="73"/>
      <c r="L1048" s="73"/>
      <c r="M1048" s="73"/>
      <c r="N1048" s="73"/>
      <c r="O1048" s="73"/>
      <c r="P1048" s="73"/>
      <c r="Q1048" s="73"/>
      <c r="R1048" s="73"/>
      <c r="S1048" s="73"/>
      <c r="T1048" s="73"/>
      <c r="U1048" s="73"/>
      <c r="V1048" s="73"/>
      <c r="W1048" s="73"/>
      <c r="X1048" s="73"/>
      <c r="Y1048" s="73"/>
      <c r="Z1048" s="73"/>
      <c r="AA1048" s="73"/>
      <c r="AB1048" s="73"/>
      <c r="AC1048" s="73"/>
      <c r="AD1048" s="73"/>
      <c r="AE1048" s="73"/>
      <c r="AF1048" s="73"/>
    </row>
    <row r="1049" spans="1:32" ht="10.199999999999999">
      <c r="A1049" s="73"/>
      <c r="B1049" s="73"/>
      <c r="C1049" s="73"/>
      <c r="D1049" s="73"/>
      <c r="E1049" s="73"/>
      <c r="F1049" s="73"/>
      <c r="G1049" s="73"/>
      <c r="H1049" s="73"/>
      <c r="I1049" s="73"/>
      <c r="J1049" s="73"/>
      <c r="K1049" s="73"/>
      <c r="L1049" s="73"/>
      <c r="M1049" s="73"/>
      <c r="N1049" s="73"/>
      <c r="O1049" s="73"/>
      <c r="P1049" s="73"/>
      <c r="Q1049" s="73"/>
      <c r="R1049" s="73"/>
      <c r="S1049" s="73"/>
      <c r="T1049" s="73"/>
      <c r="U1049" s="73"/>
      <c r="V1049" s="73"/>
      <c r="W1049" s="73"/>
      <c r="X1049" s="73"/>
      <c r="Y1049" s="73"/>
      <c r="Z1049" s="73"/>
      <c r="AA1049" s="73"/>
      <c r="AB1049" s="73"/>
      <c r="AC1049" s="73"/>
      <c r="AD1049" s="73"/>
      <c r="AE1049" s="73"/>
      <c r="AF1049" s="73"/>
    </row>
    <row r="1050" spans="1:32" ht="10.199999999999999">
      <c r="A1050" s="73"/>
      <c r="B1050" s="73"/>
      <c r="C1050" s="73"/>
      <c r="D1050" s="73"/>
      <c r="E1050" s="73"/>
      <c r="F1050" s="73"/>
      <c r="G1050" s="73"/>
      <c r="H1050" s="73"/>
      <c r="I1050" s="73"/>
      <c r="J1050" s="73"/>
      <c r="K1050" s="73"/>
      <c r="L1050" s="73"/>
      <c r="M1050" s="73"/>
      <c r="N1050" s="73"/>
      <c r="O1050" s="73"/>
      <c r="P1050" s="73"/>
      <c r="Q1050" s="73"/>
      <c r="R1050" s="73"/>
      <c r="S1050" s="73"/>
      <c r="T1050" s="73"/>
      <c r="U1050" s="73"/>
      <c r="V1050" s="73"/>
      <c r="W1050" s="73"/>
      <c r="X1050" s="73"/>
      <c r="Y1050" s="73"/>
      <c r="Z1050" s="73"/>
      <c r="AA1050" s="73"/>
      <c r="AB1050" s="73"/>
      <c r="AC1050" s="73"/>
      <c r="AD1050" s="73"/>
      <c r="AE1050" s="73"/>
      <c r="AF1050" s="73"/>
    </row>
    <row r="1051" spans="1:32" ht="10.199999999999999">
      <c r="A1051" s="73"/>
      <c r="B1051" s="73"/>
      <c r="C1051" s="73"/>
      <c r="D1051" s="73"/>
      <c r="E1051" s="73"/>
      <c r="F1051" s="73"/>
      <c r="G1051" s="73"/>
      <c r="H1051" s="73"/>
      <c r="I1051" s="73"/>
      <c r="J1051" s="73"/>
      <c r="K1051" s="73"/>
      <c r="L1051" s="73"/>
      <c r="M1051" s="73"/>
      <c r="N1051" s="73"/>
      <c r="O1051" s="73"/>
      <c r="P1051" s="73"/>
      <c r="Q1051" s="73"/>
      <c r="R1051" s="73"/>
      <c r="S1051" s="73"/>
      <c r="T1051" s="73"/>
      <c r="U1051" s="73"/>
      <c r="V1051" s="73"/>
      <c r="W1051" s="73"/>
      <c r="X1051" s="73"/>
      <c r="Y1051" s="73"/>
      <c r="Z1051" s="73"/>
      <c r="AA1051" s="73"/>
      <c r="AB1051" s="73"/>
      <c r="AC1051" s="73"/>
      <c r="AD1051" s="73"/>
      <c r="AE1051" s="73"/>
      <c r="AF1051" s="73"/>
    </row>
    <row r="1052" spans="1:32" ht="10.199999999999999">
      <c r="A1052" s="73"/>
      <c r="B1052" s="73"/>
      <c r="C1052" s="73"/>
      <c r="D1052" s="73"/>
      <c r="E1052" s="73"/>
      <c r="F1052" s="73"/>
      <c r="G1052" s="73"/>
      <c r="H1052" s="73"/>
      <c r="I1052" s="73"/>
      <c r="J1052" s="73"/>
      <c r="K1052" s="73"/>
      <c r="L1052" s="73"/>
      <c r="M1052" s="73"/>
      <c r="N1052" s="73"/>
      <c r="O1052" s="73"/>
      <c r="P1052" s="73"/>
      <c r="Q1052" s="73"/>
      <c r="R1052" s="73"/>
      <c r="S1052" s="73"/>
      <c r="T1052" s="73"/>
      <c r="U1052" s="73"/>
      <c r="V1052" s="73"/>
      <c r="W1052" s="73"/>
      <c r="X1052" s="73"/>
      <c r="Y1052" s="73"/>
      <c r="Z1052" s="73"/>
      <c r="AA1052" s="73"/>
      <c r="AB1052" s="73"/>
      <c r="AC1052" s="73"/>
      <c r="AD1052" s="73"/>
      <c r="AE1052" s="73"/>
      <c r="AF1052" s="73"/>
    </row>
    <row r="1053" spans="1:32" ht="10.199999999999999">
      <c r="A1053" s="73"/>
      <c r="B1053" s="73"/>
      <c r="C1053" s="73"/>
      <c r="D1053" s="73"/>
      <c r="E1053" s="73"/>
      <c r="F1053" s="73"/>
      <c r="G1053" s="73"/>
      <c r="H1053" s="73"/>
      <c r="I1053" s="73"/>
      <c r="J1053" s="73"/>
      <c r="K1053" s="73"/>
      <c r="L1053" s="73"/>
      <c r="M1053" s="73"/>
      <c r="N1053" s="73"/>
      <c r="O1053" s="73"/>
      <c r="P1053" s="73"/>
      <c r="Q1053" s="73"/>
      <c r="R1053" s="73"/>
      <c r="S1053" s="73"/>
      <c r="T1053" s="73"/>
      <c r="U1053" s="73"/>
      <c r="V1053" s="73"/>
      <c r="W1053" s="73"/>
      <c r="X1053" s="73"/>
      <c r="Y1053" s="73"/>
      <c r="Z1053" s="73"/>
      <c r="AA1053" s="73"/>
      <c r="AB1053" s="73"/>
      <c r="AC1053" s="73"/>
      <c r="AD1053" s="73"/>
      <c r="AE1053" s="73"/>
      <c r="AF1053" s="73"/>
    </row>
    <row r="1054" spans="1:32" ht="10.199999999999999">
      <c r="A1054" s="73"/>
      <c r="B1054" s="73"/>
      <c r="C1054" s="73"/>
      <c r="D1054" s="73"/>
      <c r="E1054" s="73"/>
      <c r="F1054" s="73"/>
      <c r="G1054" s="73"/>
      <c r="H1054" s="73"/>
      <c r="I1054" s="73"/>
      <c r="J1054" s="73"/>
      <c r="K1054" s="73"/>
      <c r="L1054" s="73"/>
      <c r="M1054" s="73"/>
      <c r="N1054" s="73"/>
      <c r="O1054" s="73"/>
      <c r="P1054" s="73"/>
      <c r="Q1054" s="73"/>
      <c r="R1054" s="73"/>
      <c r="S1054" s="73"/>
      <c r="T1054" s="73"/>
      <c r="U1054" s="73"/>
      <c r="V1054" s="73"/>
      <c r="W1054" s="73"/>
      <c r="X1054" s="73"/>
      <c r="Y1054" s="73"/>
      <c r="Z1054" s="73"/>
      <c r="AA1054" s="73"/>
      <c r="AB1054" s="73"/>
      <c r="AC1054" s="73"/>
      <c r="AD1054" s="73"/>
      <c r="AE1054" s="73"/>
      <c r="AF1054" s="73"/>
    </row>
    <row r="1055" spans="1:32" ht="10.199999999999999">
      <c r="A1055" s="73"/>
      <c r="B1055" s="73"/>
      <c r="C1055" s="73"/>
      <c r="D1055" s="73"/>
      <c r="E1055" s="73"/>
      <c r="F1055" s="73"/>
      <c r="G1055" s="73"/>
      <c r="H1055" s="73"/>
      <c r="I1055" s="73"/>
      <c r="J1055" s="73"/>
      <c r="K1055" s="73"/>
      <c r="L1055" s="73"/>
      <c r="M1055" s="73"/>
      <c r="N1055" s="73"/>
      <c r="O1055" s="73"/>
      <c r="P1055" s="73"/>
      <c r="Q1055" s="73"/>
      <c r="R1055" s="73"/>
      <c r="S1055" s="73"/>
      <c r="T1055" s="73"/>
      <c r="U1055" s="73"/>
      <c r="V1055" s="73"/>
      <c r="W1055" s="73"/>
      <c r="X1055" s="73"/>
      <c r="Y1055" s="73"/>
      <c r="Z1055" s="73"/>
      <c r="AA1055" s="73"/>
      <c r="AB1055" s="73"/>
      <c r="AC1055" s="73"/>
      <c r="AD1055" s="73"/>
      <c r="AE1055" s="73"/>
      <c r="AF1055" s="73"/>
    </row>
    <row r="1056" spans="1:32" ht="10.199999999999999">
      <c r="A1056" s="73"/>
      <c r="B1056" s="73"/>
      <c r="C1056" s="73"/>
      <c r="D1056" s="73"/>
      <c r="E1056" s="73"/>
      <c r="F1056" s="73"/>
      <c r="G1056" s="73"/>
      <c r="H1056" s="73"/>
      <c r="I1056" s="73"/>
      <c r="J1056" s="73"/>
      <c r="K1056" s="73"/>
      <c r="L1056" s="73"/>
      <c r="M1056" s="73"/>
      <c r="N1056" s="73"/>
      <c r="O1056" s="73"/>
      <c r="P1056" s="73"/>
      <c r="Q1056" s="73"/>
      <c r="R1056" s="73"/>
      <c r="S1056" s="73"/>
      <c r="T1056" s="73"/>
      <c r="U1056" s="73"/>
      <c r="V1056" s="73"/>
      <c r="W1056" s="73"/>
      <c r="X1056" s="73"/>
      <c r="Y1056" s="73"/>
      <c r="Z1056" s="73"/>
      <c r="AA1056" s="73"/>
      <c r="AB1056" s="73"/>
      <c r="AC1056" s="73"/>
      <c r="AD1056" s="73"/>
      <c r="AE1056" s="73"/>
      <c r="AF1056" s="73"/>
    </row>
    <row r="1057" spans="1:32" ht="10.199999999999999">
      <c r="A1057" s="73"/>
      <c r="B1057" s="73"/>
      <c r="C1057" s="73"/>
      <c r="D1057" s="73"/>
      <c r="E1057" s="73"/>
      <c r="F1057" s="73"/>
      <c r="G1057" s="73"/>
      <c r="H1057" s="73"/>
      <c r="I1057" s="73"/>
      <c r="J1057" s="73"/>
      <c r="K1057" s="73"/>
      <c r="L1057" s="73"/>
      <c r="M1057" s="73"/>
      <c r="N1057" s="73"/>
      <c r="O1057" s="73"/>
      <c r="P1057" s="73"/>
      <c r="Q1057" s="73"/>
      <c r="R1057" s="73"/>
      <c r="S1057" s="73"/>
      <c r="T1057" s="73"/>
      <c r="U1057" s="73"/>
      <c r="V1057" s="73"/>
      <c r="W1057" s="73"/>
      <c r="X1057" s="73"/>
      <c r="Y1057" s="73"/>
      <c r="Z1057" s="73"/>
      <c r="AA1057" s="73"/>
      <c r="AB1057" s="73"/>
      <c r="AC1057" s="73"/>
      <c r="AD1057" s="73"/>
      <c r="AE1057" s="73"/>
      <c r="AF1057" s="73"/>
    </row>
    <row r="1058" spans="1:32" ht="10.199999999999999">
      <c r="A1058" s="73"/>
      <c r="B1058" s="73"/>
      <c r="C1058" s="73"/>
      <c r="D1058" s="73"/>
      <c r="E1058" s="73"/>
      <c r="F1058" s="73"/>
      <c r="G1058" s="73"/>
      <c r="H1058" s="73"/>
      <c r="I1058" s="73"/>
      <c r="J1058" s="73"/>
      <c r="K1058" s="73"/>
      <c r="L1058" s="73"/>
      <c r="M1058" s="73"/>
      <c r="N1058" s="73"/>
      <c r="O1058" s="73"/>
      <c r="P1058" s="73"/>
      <c r="Q1058" s="73"/>
      <c r="R1058" s="73"/>
      <c r="S1058" s="73"/>
      <c r="T1058" s="73"/>
      <c r="U1058" s="73"/>
      <c r="V1058" s="73"/>
      <c r="W1058" s="73"/>
      <c r="X1058" s="73"/>
      <c r="Y1058" s="73"/>
      <c r="Z1058" s="73"/>
      <c r="AA1058" s="73"/>
      <c r="AB1058" s="73"/>
      <c r="AC1058" s="73"/>
      <c r="AD1058" s="73"/>
      <c r="AE1058" s="73"/>
      <c r="AF1058" s="73"/>
    </row>
    <row r="1059" spans="1:32" ht="10.199999999999999">
      <c r="A1059" s="73"/>
      <c r="B1059" s="73"/>
      <c r="C1059" s="73"/>
      <c r="D1059" s="73"/>
      <c r="E1059" s="73"/>
      <c r="F1059" s="73"/>
      <c r="G1059" s="73"/>
      <c r="H1059" s="73"/>
      <c r="I1059" s="73"/>
      <c r="J1059" s="73"/>
      <c r="K1059" s="73"/>
      <c r="L1059" s="73"/>
      <c r="M1059" s="73"/>
      <c r="N1059" s="73"/>
      <c r="O1059" s="73"/>
      <c r="P1059" s="73"/>
      <c r="Q1059" s="73"/>
      <c r="R1059" s="73"/>
      <c r="S1059" s="73"/>
      <c r="T1059" s="73"/>
      <c r="U1059" s="73"/>
      <c r="V1059" s="73"/>
      <c r="W1059" s="73"/>
      <c r="X1059" s="73"/>
      <c r="Y1059" s="73"/>
      <c r="Z1059" s="73"/>
      <c r="AA1059" s="73"/>
      <c r="AB1059" s="73"/>
      <c r="AC1059" s="73"/>
      <c r="AD1059" s="73"/>
      <c r="AE1059" s="73"/>
      <c r="AF1059" s="73"/>
    </row>
    <row r="1060" spans="1:32" ht="10.199999999999999">
      <c r="A1060" s="73"/>
      <c r="B1060" s="73"/>
      <c r="C1060" s="73"/>
      <c r="D1060" s="73"/>
      <c r="E1060" s="73"/>
      <c r="F1060" s="73"/>
      <c r="G1060" s="73"/>
      <c r="H1060" s="73"/>
      <c r="I1060" s="73"/>
      <c r="J1060" s="73"/>
      <c r="K1060" s="73"/>
      <c r="L1060" s="73"/>
      <c r="M1060" s="73"/>
      <c r="N1060" s="73"/>
      <c r="O1060" s="73"/>
      <c r="P1060" s="73"/>
      <c r="Q1060" s="73"/>
      <c r="R1060" s="73"/>
      <c r="S1060" s="73"/>
      <c r="T1060" s="73"/>
      <c r="U1060" s="73"/>
      <c r="V1060" s="73"/>
      <c r="W1060" s="73"/>
      <c r="X1060" s="73"/>
      <c r="Y1060" s="73"/>
      <c r="Z1060" s="73"/>
      <c r="AA1060" s="73"/>
      <c r="AB1060" s="73"/>
      <c r="AC1060" s="73"/>
      <c r="AD1060" s="73"/>
      <c r="AE1060" s="73"/>
      <c r="AF1060" s="73"/>
    </row>
    <row r="1061" spans="1:32" ht="10.199999999999999">
      <c r="A1061" s="73"/>
      <c r="B1061" s="73"/>
      <c r="C1061" s="73"/>
      <c r="D1061" s="73"/>
      <c r="E1061" s="73"/>
      <c r="F1061" s="73"/>
      <c r="G1061" s="73"/>
      <c r="H1061" s="73"/>
      <c r="I1061" s="73"/>
      <c r="J1061" s="73"/>
      <c r="K1061" s="73"/>
      <c r="L1061" s="73"/>
      <c r="M1061" s="73"/>
      <c r="N1061" s="73"/>
      <c r="O1061" s="73"/>
      <c r="P1061" s="73"/>
      <c r="Q1061" s="73"/>
      <c r="R1061" s="73"/>
      <c r="S1061" s="73"/>
      <c r="T1061" s="73"/>
      <c r="U1061" s="73"/>
      <c r="V1061" s="73"/>
      <c r="W1061" s="73"/>
      <c r="X1061" s="73"/>
      <c r="Y1061" s="73"/>
      <c r="Z1061" s="73"/>
      <c r="AA1061" s="73"/>
      <c r="AB1061" s="73"/>
      <c r="AC1061" s="73"/>
      <c r="AD1061" s="73"/>
      <c r="AE1061" s="73"/>
      <c r="AF1061" s="73"/>
    </row>
    <row r="1062" spans="1:32" ht="10.199999999999999">
      <c r="A1062" s="73"/>
      <c r="B1062" s="73"/>
      <c r="C1062" s="73"/>
      <c r="D1062" s="73"/>
      <c r="E1062" s="73"/>
      <c r="F1062" s="73"/>
      <c r="G1062" s="73"/>
      <c r="H1062" s="73"/>
      <c r="I1062" s="73"/>
      <c r="J1062" s="73"/>
      <c r="K1062" s="73"/>
      <c r="L1062" s="73"/>
      <c r="M1062" s="73"/>
      <c r="N1062" s="73"/>
      <c r="O1062" s="73"/>
      <c r="P1062" s="73"/>
      <c r="Q1062" s="73"/>
      <c r="R1062" s="73"/>
      <c r="S1062" s="73"/>
      <c r="T1062" s="73"/>
      <c r="U1062" s="73"/>
      <c r="V1062" s="73"/>
      <c r="W1062" s="73"/>
      <c r="X1062" s="73"/>
      <c r="Y1062" s="73"/>
      <c r="Z1062" s="73"/>
      <c r="AA1062" s="73"/>
      <c r="AB1062" s="73"/>
      <c r="AC1062" s="73"/>
      <c r="AD1062" s="73"/>
      <c r="AE1062" s="73"/>
      <c r="AF1062" s="73"/>
    </row>
    <row r="1063" spans="1:32" ht="10.199999999999999">
      <c r="A1063" s="73"/>
      <c r="B1063" s="73"/>
      <c r="C1063" s="73"/>
      <c r="D1063" s="73"/>
      <c r="E1063" s="73"/>
      <c r="F1063" s="73"/>
      <c r="G1063" s="73"/>
      <c r="H1063" s="73"/>
      <c r="I1063" s="73"/>
      <c r="J1063" s="73"/>
      <c r="K1063" s="73"/>
      <c r="L1063" s="73"/>
      <c r="M1063" s="73"/>
      <c r="N1063" s="73"/>
      <c r="O1063" s="73"/>
      <c r="P1063" s="73"/>
      <c r="Q1063" s="73"/>
      <c r="R1063" s="73"/>
      <c r="S1063" s="73"/>
      <c r="T1063" s="73"/>
      <c r="U1063" s="73"/>
      <c r="V1063" s="73"/>
      <c r="W1063" s="73"/>
      <c r="X1063" s="73"/>
      <c r="Y1063" s="73"/>
      <c r="Z1063" s="73"/>
      <c r="AA1063" s="73"/>
      <c r="AB1063" s="73"/>
      <c r="AC1063" s="73"/>
      <c r="AD1063" s="73"/>
      <c r="AE1063" s="73"/>
      <c r="AF1063" s="73"/>
    </row>
    <row r="1064" spans="1:32" ht="10.199999999999999">
      <c r="A1064" s="73"/>
      <c r="B1064" s="73"/>
      <c r="C1064" s="73"/>
      <c r="D1064" s="73"/>
      <c r="E1064" s="73"/>
      <c r="F1064" s="73"/>
      <c r="G1064" s="73"/>
      <c r="H1064" s="73"/>
      <c r="I1064" s="73"/>
      <c r="J1064" s="73"/>
      <c r="K1064" s="73"/>
      <c r="L1064" s="73"/>
      <c r="M1064" s="73"/>
      <c r="N1064" s="73"/>
      <c r="O1064" s="73"/>
      <c r="P1064" s="73"/>
      <c r="Q1064" s="73"/>
      <c r="R1064" s="73"/>
      <c r="S1064" s="73"/>
      <c r="T1064" s="73"/>
      <c r="U1064" s="73"/>
      <c r="V1064" s="73"/>
      <c r="W1064" s="73"/>
      <c r="X1064" s="73"/>
      <c r="Y1064" s="73"/>
      <c r="Z1064" s="73"/>
      <c r="AA1064" s="73"/>
      <c r="AB1064" s="73"/>
      <c r="AC1064" s="73"/>
      <c r="AD1064" s="73"/>
      <c r="AE1064" s="73"/>
      <c r="AF1064" s="73"/>
    </row>
    <row r="1065" spans="1:32" ht="10.199999999999999">
      <c r="A1065" s="73"/>
      <c r="B1065" s="73"/>
      <c r="C1065" s="73"/>
      <c r="D1065" s="73"/>
      <c r="E1065" s="73"/>
      <c r="F1065" s="73"/>
      <c r="G1065" s="73"/>
      <c r="H1065" s="73"/>
      <c r="I1065" s="73"/>
      <c r="J1065" s="73"/>
      <c r="K1065" s="73"/>
      <c r="L1065" s="73"/>
      <c r="M1065" s="73"/>
      <c r="N1065" s="73"/>
      <c r="O1065" s="73"/>
      <c r="P1065" s="73"/>
      <c r="Q1065" s="73"/>
      <c r="R1065" s="73"/>
      <c r="S1065" s="73"/>
      <c r="T1065" s="73"/>
      <c r="U1065" s="73"/>
      <c r="V1065" s="73"/>
      <c r="W1065" s="73"/>
      <c r="X1065" s="73"/>
      <c r="Y1065" s="73"/>
      <c r="Z1065" s="73"/>
      <c r="AA1065" s="73"/>
      <c r="AB1065" s="73"/>
      <c r="AC1065" s="73"/>
      <c r="AD1065" s="73"/>
      <c r="AE1065" s="73"/>
      <c r="AF1065" s="73"/>
    </row>
    <row r="1066" spans="1:32" ht="10.199999999999999">
      <c r="A1066" s="73"/>
      <c r="B1066" s="73"/>
      <c r="C1066" s="73"/>
      <c r="D1066" s="73"/>
      <c r="E1066" s="73"/>
      <c r="F1066" s="73"/>
      <c r="G1066" s="73"/>
      <c r="H1066" s="73"/>
      <c r="I1066" s="73"/>
      <c r="J1066" s="73"/>
      <c r="K1066" s="73"/>
      <c r="L1066" s="73"/>
      <c r="M1066" s="73"/>
      <c r="N1066" s="73"/>
      <c r="O1066" s="73"/>
      <c r="P1066" s="73"/>
      <c r="Q1066" s="73"/>
      <c r="R1066" s="73"/>
      <c r="S1066" s="73"/>
      <c r="T1066" s="73"/>
      <c r="U1066" s="73"/>
      <c r="V1066" s="73"/>
      <c r="W1066" s="73"/>
      <c r="X1066" s="73"/>
      <c r="Y1066" s="73"/>
      <c r="Z1066" s="73"/>
      <c r="AA1066" s="73"/>
      <c r="AB1066" s="73"/>
      <c r="AC1066" s="73"/>
      <c r="AD1066" s="73"/>
      <c r="AE1066" s="73"/>
      <c r="AF1066" s="73"/>
    </row>
    <row r="1067" spans="1:32" ht="10.199999999999999">
      <c r="A1067" s="73"/>
      <c r="B1067" s="73"/>
      <c r="C1067" s="73"/>
      <c r="D1067" s="73"/>
      <c r="E1067" s="73"/>
      <c r="F1067" s="73"/>
      <c r="G1067" s="73"/>
      <c r="H1067" s="73"/>
      <c r="I1067" s="73"/>
      <c r="J1067" s="73"/>
      <c r="K1067" s="73"/>
      <c r="L1067" s="73"/>
      <c r="M1067" s="73"/>
      <c r="N1067" s="73"/>
      <c r="O1067" s="73"/>
      <c r="P1067" s="73"/>
      <c r="Q1067" s="73"/>
      <c r="R1067" s="73"/>
      <c r="S1067" s="73"/>
      <c r="T1067" s="73"/>
      <c r="U1067" s="73"/>
      <c r="V1067" s="73"/>
      <c r="W1067" s="73"/>
      <c r="X1067" s="73"/>
      <c r="Y1067" s="73"/>
      <c r="Z1067" s="73"/>
      <c r="AA1067" s="73"/>
      <c r="AB1067" s="73"/>
      <c r="AC1067" s="73"/>
      <c r="AD1067" s="73"/>
      <c r="AE1067" s="73"/>
      <c r="AF1067" s="73"/>
    </row>
    <row r="1068" spans="1:32" ht="10.199999999999999">
      <c r="A1068" s="73"/>
      <c r="B1068" s="73"/>
      <c r="C1068" s="73"/>
      <c r="D1068" s="73"/>
      <c r="E1068" s="73"/>
      <c r="F1068" s="73"/>
      <c r="G1068" s="73"/>
      <c r="H1068" s="73"/>
      <c r="I1068" s="73"/>
      <c r="J1068" s="73"/>
      <c r="K1068" s="73"/>
      <c r="L1068" s="73"/>
      <c r="M1068" s="73"/>
      <c r="N1068" s="73"/>
      <c r="O1068" s="73"/>
      <c r="P1068" s="73"/>
      <c r="Q1068" s="73"/>
      <c r="R1068" s="73"/>
      <c r="S1068" s="73"/>
      <c r="T1068" s="73"/>
      <c r="U1068" s="73"/>
      <c r="V1068" s="73"/>
      <c r="W1068" s="73"/>
      <c r="X1068" s="73"/>
      <c r="Y1068" s="73"/>
      <c r="Z1068" s="73"/>
      <c r="AA1068" s="73"/>
      <c r="AB1068" s="73"/>
      <c r="AC1068" s="73"/>
      <c r="AD1068" s="73"/>
      <c r="AE1068" s="73"/>
      <c r="AF1068" s="73"/>
    </row>
    <row r="1069" spans="1:32" ht="10.199999999999999">
      <c r="A1069" s="73"/>
      <c r="B1069" s="73"/>
      <c r="C1069" s="73"/>
      <c r="D1069" s="73"/>
      <c r="E1069" s="73"/>
      <c r="F1069" s="73"/>
      <c r="G1069" s="73"/>
      <c r="H1069" s="73"/>
      <c r="I1069" s="73"/>
      <c r="J1069" s="73"/>
      <c r="K1069" s="73"/>
      <c r="L1069" s="73"/>
      <c r="M1069" s="73"/>
      <c r="N1069" s="73"/>
      <c r="O1069" s="73"/>
      <c r="P1069" s="73"/>
      <c r="Q1069" s="73"/>
      <c r="R1069" s="73"/>
      <c r="S1069" s="73"/>
      <c r="T1069" s="73"/>
      <c r="U1069" s="73"/>
      <c r="V1069" s="73"/>
      <c r="W1069" s="73"/>
      <c r="X1069" s="73"/>
      <c r="Y1069" s="73"/>
      <c r="Z1069" s="73"/>
      <c r="AA1069" s="73"/>
      <c r="AB1069" s="73"/>
      <c r="AC1069" s="73"/>
      <c r="AD1069" s="73"/>
      <c r="AE1069" s="73"/>
      <c r="AF1069" s="73"/>
    </row>
    <row r="1070" spans="1:32" ht="10.199999999999999">
      <c r="A1070" s="73"/>
      <c r="B1070" s="73"/>
      <c r="C1070" s="73"/>
      <c r="D1070" s="73"/>
      <c r="E1070" s="73"/>
      <c r="F1070" s="73"/>
      <c r="G1070" s="73"/>
      <c r="H1070" s="73"/>
      <c r="I1070" s="73"/>
      <c r="J1070" s="73"/>
      <c r="K1070" s="73"/>
      <c r="L1070" s="73"/>
      <c r="M1070" s="73"/>
      <c r="N1070" s="73"/>
      <c r="O1070" s="73"/>
      <c r="P1070" s="73"/>
      <c r="Q1070" s="73"/>
      <c r="R1070" s="73"/>
      <c r="S1070" s="73"/>
      <c r="T1070" s="73"/>
      <c r="U1070" s="73"/>
      <c r="V1070" s="73"/>
      <c r="W1070" s="73"/>
      <c r="X1070" s="73"/>
      <c r="Y1070" s="73"/>
      <c r="Z1070" s="73"/>
      <c r="AA1070" s="73"/>
      <c r="AB1070" s="73"/>
      <c r="AC1070" s="73"/>
      <c r="AD1070" s="73"/>
      <c r="AE1070" s="73"/>
      <c r="AF1070" s="73"/>
    </row>
    <row r="1071" spans="1:32" ht="10.199999999999999">
      <c r="A1071" s="73"/>
      <c r="B1071" s="73"/>
      <c r="C1071" s="73"/>
      <c r="D1071" s="73"/>
      <c r="E1071" s="73"/>
      <c r="F1071" s="73"/>
      <c r="G1071" s="73"/>
      <c r="H1071" s="73"/>
      <c r="I1071" s="73"/>
      <c r="J1071" s="73"/>
      <c r="K1071" s="73"/>
      <c r="L1071" s="73"/>
      <c r="M1071" s="73"/>
      <c r="N1071" s="73"/>
      <c r="O1071" s="73"/>
      <c r="P1071" s="73"/>
      <c r="Q1071" s="73"/>
      <c r="R1071" s="73"/>
      <c r="S1071" s="73"/>
      <c r="T1071" s="73"/>
      <c r="U1071" s="73"/>
      <c r="V1071" s="73"/>
      <c r="W1071" s="73"/>
      <c r="X1071" s="73"/>
      <c r="Y1071" s="73"/>
      <c r="Z1071" s="73"/>
      <c r="AA1071" s="73"/>
      <c r="AB1071" s="73"/>
      <c r="AC1071" s="73"/>
      <c r="AD1071" s="73"/>
      <c r="AE1071" s="73"/>
      <c r="AF1071" s="73"/>
    </row>
    <row r="1072" spans="1:32" ht="10.199999999999999">
      <c r="A1072" s="73"/>
      <c r="B1072" s="73"/>
      <c r="C1072" s="73"/>
      <c r="D1072" s="73"/>
      <c r="E1072" s="73"/>
      <c r="F1072" s="73"/>
      <c r="G1072" s="73"/>
      <c r="H1072" s="73"/>
      <c r="I1072" s="73"/>
      <c r="J1072" s="73"/>
      <c r="K1072" s="73"/>
      <c r="L1072" s="73"/>
      <c r="M1072" s="73"/>
      <c r="N1072" s="73"/>
      <c r="O1072" s="73"/>
      <c r="P1072" s="73"/>
      <c r="Q1072" s="73"/>
      <c r="R1072" s="73"/>
      <c r="S1072" s="73"/>
      <c r="T1072" s="73"/>
      <c r="U1072" s="73"/>
      <c r="V1072" s="73"/>
      <c r="W1072" s="73"/>
      <c r="X1072" s="73"/>
      <c r="Y1072" s="73"/>
      <c r="Z1072" s="73"/>
      <c r="AA1072" s="73"/>
      <c r="AB1072" s="73"/>
      <c r="AC1072" s="73"/>
      <c r="AD1072" s="73"/>
      <c r="AE1072" s="73"/>
      <c r="AF1072" s="73"/>
    </row>
    <row r="1073" spans="1:32" ht="10.199999999999999">
      <c r="A1073" s="73"/>
      <c r="B1073" s="73"/>
      <c r="C1073" s="73"/>
      <c r="D1073" s="73"/>
      <c r="E1073" s="73"/>
      <c r="F1073" s="73"/>
      <c r="G1073" s="73"/>
      <c r="H1073" s="73"/>
      <c r="I1073" s="73"/>
      <c r="J1073" s="73"/>
      <c r="K1073" s="73"/>
      <c r="L1073" s="73"/>
      <c r="M1073" s="73"/>
      <c r="N1073" s="73"/>
      <c r="O1073" s="73"/>
      <c r="P1073" s="73"/>
      <c r="Q1073" s="73"/>
      <c r="R1073" s="73"/>
      <c r="S1073" s="73"/>
      <c r="T1073" s="73"/>
      <c r="U1073" s="73"/>
      <c r="V1073" s="73"/>
      <c r="W1073" s="73"/>
      <c r="X1073" s="73"/>
      <c r="Y1073" s="73"/>
      <c r="Z1073" s="73"/>
      <c r="AA1073" s="73"/>
      <c r="AB1073" s="73"/>
      <c r="AC1073" s="73"/>
      <c r="AD1073" s="73"/>
      <c r="AE1073" s="73"/>
      <c r="AF1073" s="73"/>
    </row>
    <row r="1074" spans="1:32" ht="10.199999999999999">
      <c r="A1074" s="73"/>
      <c r="B1074" s="73"/>
      <c r="C1074" s="73"/>
      <c r="D1074" s="73"/>
      <c r="E1074" s="73"/>
      <c r="F1074" s="73"/>
      <c r="G1074" s="73"/>
      <c r="H1074" s="73"/>
      <c r="I1074" s="73"/>
      <c r="J1074" s="73"/>
      <c r="K1074" s="73"/>
      <c r="L1074" s="73"/>
      <c r="M1074" s="73"/>
      <c r="N1074" s="73"/>
      <c r="O1074" s="73"/>
      <c r="P1074" s="73"/>
      <c r="Q1074" s="73"/>
      <c r="R1074" s="73"/>
      <c r="S1074" s="73"/>
      <c r="T1074" s="73"/>
      <c r="U1074" s="73"/>
      <c r="V1074" s="73"/>
      <c r="W1074" s="73"/>
      <c r="X1074" s="73"/>
      <c r="Y1074" s="73"/>
      <c r="Z1074" s="73"/>
      <c r="AA1074" s="73"/>
      <c r="AB1074" s="73"/>
      <c r="AC1074" s="73"/>
      <c r="AD1074" s="73"/>
      <c r="AE1074" s="73"/>
      <c r="AF1074" s="73"/>
    </row>
    <row r="1075" spans="1:32" ht="10.199999999999999">
      <c r="A1075" s="73"/>
      <c r="B1075" s="73"/>
      <c r="C1075" s="73"/>
      <c r="D1075" s="73"/>
      <c r="E1075" s="73"/>
      <c r="F1075" s="73"/>
      <c r="G1075" s="73"/>
      <c r="H1075" s="73"/>
      <c r="I1075" s="73"/>
      <c r="J1075" s="73"/>
      <c r="K1075" s="73"/>
      <c r="L1075" s="73"/>
      <c r="M1075" s="73"/>
      <c r="N1075" s="73"/>
      <c r="O1075" s="73"/>
      <c r="P1075" s="73"/>
      <c r="Q1075" s="73"/>
      <c r="R1075" s="73"/>
      <c r="S1075" s="73"/>
      <c r="T1075" s="73"/>
      <c r="U1075" s="73"/>
      <c r="V1075" s="73"/>
      <c r="W1075" s="73"/>
      <c r="X1075" s="73"/>
      <c r="Y1075" s="73"/>
      <c r="Z1075" s="73"/>
      <c r="AA1075" s="73"/>
      <c r="AB1075" s="73"/>
      <c r="AC1075" s="73"/>
      <c r="AD1075" s="73"/>
      <c r="AE1075" s="73"/>
      <c r="AF1075" s="73"/>
    </row>
    <row r="1076" spans="1:32" ht="10.199999999999999">
      <c r="A1076" s="73"/>
      <c r="B1076" s="73"/>
      <c r="C1076" s="73"/>
      <c r="D1076" s="73"/>
      <c r="E1076" s="73"/>
      <c r="F1076" s="73"/>
      <c r="G1076" s="73"/>
      <c r="H1076" s="73"/>
      <c r="I1076" s="73"/>
      <c r="J1076" s="73"/>
      <c r="K1076" s="73"/>
      <c r="L1076" s="73"/>
      <c r="M1076" s="73"/>
      <c r="N1076" s="73"/>
      <c r="O1076" s="73"/>
      <c r="P1076" s="73"/>
      <c r="Q1076" s="73"/>
      <c r="R1076" s="73"/>
      <c r="S1076" s="73"/>
      <c r="T1076" s="73"/>
      <c r="U1076" s="73"/>
      <c r="V1076" s="73"/>
      <c r="W1076" s="73"/>
      <c r="X1076" s="73"/>
      <c r="Y1076" s="73"/>
      <c r="Z1076" s="73"/>
      <c r="AA1076" s="73"/>
      <c r="AB1076" s="73"/>
      <c r="AC1076" s="73"/>
      <c r="AD1076" s="73"/>
      <c r="AE1076" s="73"/>
      <c r="AF1076" s="73"/>
    </row>
    <row r="1077" spans="1:32" ht="10.199999999999999">
      <c r="A1077" s="73"/>
      <c r="B1077" s="73"/>
      <c r="C1077" s="73"/>
      <c r="D1077" s="73"/>
      <c r="E1077" s="73"/>
      <c r="F1077" s="73"/>
      <c r="G1077" s="73"/>
      <c r="H1077" s="73"/>
      <c r="I1077" s="73"/>
      <c r="J1077" s="73"/>
      <c r="K1077" s="73"/>
      <c r="L1077" s="73"/>
      <c r="M1077" s="73"/>
      <c r="N1077" s="73"/>
      <c r="O1077" s="73"/>
      <c r="P1077" s="73"/>
      <c r="Q1077" s="73"/>
      <c r="R1077" s="73"/>
      <c r="S1077" s="73"/>
      <c r="T1077" s="73"/>
      <c r="U1077" s="73"/>
      <c r="V1077" s="73"/>
      <c r="W1077" s="73"/>
      <c r="X1077" s="73"/>
      <c r="Y1077" s="73"/>
      <c r="Z1077" s="73"/>
      <c r="AA1077" s="73"/>
      <c r="AB1077" s="73"/>
      <c r="AC1077" s="73"/>
      <c r="AD1077" s="73"/>
      <c r="AE1077" s="73"/>
      <c r="AF1077" s="73"/>
    </row>
    <row r="1078" spans="1:32" ht="10.199999999999999">
      <c r="A1078" s="73"/>
      <c r="B1078" s="73"/>
      <c r="C1078" s="73"/>
      <c r="D1078" s="73"/>
      <c r="E1078" s="73"/>
      <c r="F1078" s="73"/>
      <c r="G1078" s="73"/>
      <c r="H1078" s="73"/>
      <c r="I1078" s="73"/>
      <c r="J1078" s="73"/>
      <c r="K1078" s="73"/>
      <c r="L1078" s="73"/>
      <c r="M1078" s="73"/>
      <c r="N1078" s="73"/>
      <c r="O1078" s="73"/>
      <c r="P1078" s="73"/>
      <c r="Q1078" s="73"/>
      <c r="R1078" s="73"/>
      <c r="S1078" s="73"/>
      <c r="T1078" s="73"/>
      <c r="U1078" s="73"/>
      <c r="V1078" s="73"/>
      <c r="W1078" s="73"/>
      <c r="X1078" s="73"/>
      <c r="Y1078" s="73"/>
      <c r="Z1078" s="73"/>
      <c r="AA1078" s="73"/>
      <c r="AB1078" s="73"/>
      <c r="AC1078" s="73"/>
      <c r="AD1078" s="73"/>
      <c r="AE1078" s="73"/>
      <c r="AF1078" s="73"/>
    </row>
    <row r="1079" spans="1:32" ht="10.199999999999999">
      <c r="A1079" s="73"/>
      <c r="B1079" s="73"/>
      <c r="C1079" s="73"/>
      <c r="D1079" s="73"/>
      <c r="E1079" s="73"/>
      <c r="F1079" s="73"/>
      <c r="G1079" s="73"/>
      <c r="H1079" s="73"/>
      <c r="I1079" s="73"/>
      <c r="J1079" s="73"/>
      <c r="K1079" s="73"/>
      <c r="L1079" s="73"/>
      <c r="M1079" s="73"/>
      <c r="N1079" s="73"/>
      <c r="O1079" s="73"/>
      <c r="P1079" s="73"/>
      <c r="Q1079" s="73"/>
      <c r="R1079" s="73"/>
      <c r="S1079" s="73"/>
      <c r="T1079" s="73"/>
      <c r="U1079" s="73"/>
      <c r="V1079" s="73"/>
      <c r="W1079" s="73"/>
      <c r="X1079" s="73"/>
      <c r="Y1079" s="73"/>
      <c r="Z1079" s="73"/>
      <c r="AA1079" s="73"/>
      <c r="AB1079" s="73"/>
      <c r="AC1079" s="73"/>
      <c r="AD1079" s="73"/>
      <c r="AE1079" s="73"/>
      <c r="AF1079" s="73"/>
    </row>
    <row r="1080" spans="1:32" ht="10.199999999999999">
      <c r="A1080" s="73"/>
      <c r="B1080" s="73"/>
      <c r="C1080" s="73"/>
      <c r="D1080" s="73"/>
      <c r="E1080" s="73"/>
      <c r="F1080" s="73"/>
      <c r="G1080" s="73"/>
      <c r="H1080" s="73"/>
      <c r="I1080" s="73"/>
      <c r="J1080" s="73"/>
      <c r="K1080" s="73"/>
      <c r="L1080" s="73"/>
      <c r="M1080" s="73"/>
      <c r="N1080" s="73"/>
      <c r="O1080" s="73"/>
      <c r="P1080" s="73"/>
      <c r="Q1080" s="73"/>
      <c r="R1080" s="73"/>
      <c r="S1080" s="73"/>
      <c r="T1080" s="73"/>
      <c r="U1080" s="73"/>
      <c r="V1080" s="73"/>
      <c r="W1080" s="73"/>
      <c r="X1080" s="73"/>
      <c r="Y1080" s="73"/>
      <c r="Z1080" s="73"/>
      <c r="AA1080" s="73"/>
      <c r="AB1080" s="73"/>
      <c r="AC1080" s="73"/>
      <c r="AD1080" s="73"/>
      <c r="AE1080" s="73"/>
      <c r="AF1080" s="73"/>
    </row>
    <row r="1081" spans="1:32" ht="10.199999999999999">
      <c r="A1081" s="73"/>
      <c r="B1081" s="73"/>
      <c r="C1081" s="73"/>
      <c r="D1081" s="73"/>
      <c r="E1081" s="73"/>
      <c r="F1081" s="73"/>
      <c r="G1081" s="73"/>
      <c r="H1081" s="73"/>
      <c r="I1081" s="73"/>
      <c r="J1081" s="73"/>
      <c r="K1081" s="73"/>
      <c r="L1081" s="73"/>
      <c r="M1081" s="73"/>
      <c r="N1081" s="73"/>
      <c r="O1081" s="73"/>
      <c r="P1081" s="73"/>
      <c r="Q1081" s="73"/>
      <c r="R1081" s="73"/>
      <c r="S1081" s="73"/>
      <c r="T1081" s="73"/>
      <c r="U1081" s="73"/>
      <c r="V1081" s="73"/>
      <c r="W1081" s="73"/>
      <c r="X1081" s="73"/>
      <c r="Y1081" s="73"/>
      <c r="Z1081" s="73"/>
      <c r="AA1081" s="73"/>
      <c r="AB1081" s="73"/>
      <c r="AC1081" s="73"/>
      <c r="AD1081" s="73"/>
      <c r="AE1081" s="73"/>
      <c r="AF1081" s="73"/>
    </row>
    <row r="1082" spans="1:32" ht="10.199999999999999">
      <c r="A1082" s="73"/>
      <c r="B1082" s="73"/>
      <c r="C1082" s="73"/>
      <c r="D1082" s="73"/>
      <c r="E1082" s="73"/>
      <c r="F1082" s="73"/>
      <c r="G1082" s="73"/>
      <c r="H1082" s="73"/>
      <c r="I1082" s="73"/>
      <c r="J1082" s="73"/>
      <c r="K1082" s="73"/>
      <c r="L1082" s="73"/>
      <c r="M1082" s="73"/>
      <c r="N1082" s="73"/>
      <c r="O1082" s="73"/>
      <c r="P1082" s="73"/>
      <c r="Q1082" s="73"/>
      <c r="R1082" s="73"/>
      <c r="S1082" s="73"/>
      <c r="T1082" s="73"/>
      <c r="U1082" s="73"/>
      <c r="V1082" s="73"/>
      <c r="W1082" s="73"/>
      <c r="X1082" s="73"/>
      <c r="Y1082" s="73"/>
      <c r="Z1082" s="73"/>
      <c r="AA1082" s="73"/>
      <c r="AB1082" s="73"/>
      <c r="AC1082" s="73"/>
      <c r="AD1082" s="73"/>
      <c r="AE1082" s="73"/>
      <c r="AF1082" s="73"/>
    </row>
    <row r="1083" spans="1:32" ht="10.199999999999999">
      <c r="A1083" s="73"/>
      <c r="B1083" s="73"/>
      <c r="C1083" s="73"/>
      <c r="D1083" s="73"/>
      <c r="E1083" s="73"/>
      <c r="F1083" s="73"/>
      <c r="G1083" s="73"/>
      <c r="H1083" s="73"/>
      <c r="I1083" s="73"/>
      <c r="J1083" s="73"/>
      <c r="K1083" s="73"/>
      <c r="L1083" s="73"/>
      <c r="M1083" s="73"/>
      <c r="N1083" s="73"/>
      <c r="O1083" s="73"/>
      <c r="P1083" s="73"/>
      <c r="Q1083" s="73"/>
      <c r="R1083" s="73"/>
      <c r="S1083" s="73"/>
      <c r="T1083" s="73"/>
      <c r="U1083" s="73"/>
      <c r="V1083" s="73"/>
      <c r="W1083" s="73"/>
      <c r="X1083" s="73"/>
      <c r="Y1083" s="73"/>
      <c r="Z1083" s="73"/>
      <c r="AA1083" s="73"/>
      <c r="AB1083" s="73"/>
      <c r="AC1083" s="73"/>
      <c r="AD1083" s="73"/>
      <c r="AE1083" s="73"/>
      <c r="AF1083" s="73"/>
    </row>
    <row r="1084" spans="1:32" ht="10.199999999999999">
      <c r="A1084" s="73"/>
      <c r="B1084" s="73"/>
      <c r="C1084" s="73"/>
      <c r="D1084" s="73"/>
      <c r="E1084" s="73"/>
      <c r="F1084" s="73"/>
      <c r="G1084" s="73"/>
      <c r="H1084" s="73"/>
      <c r="I1084" s="73"/>
      <c r="J1084" s="73"/>
      <c r="K1084" s="73"/>
      <c r="L1084" s="73"/>
      <c r="M1084" s="73"/>
      <c r="N1084" s="73"/>
      <c r="O1084" s="73"/>
      <c r="P1084" s="73"/>
      <c r="Q1084" s="73"/>
      <c r="R1084" s="73"/>
      <c r="S1084" s="73"/>
      <c r="T1084" s="73"/>
      <c r="U1084" s="73"/>
      <c r="V1084" s="73"/>
      <c r="W1084" s="73"/>
      <c r="X1084" s="73"/>
      <c r="Y1084" s="73"/>
      <c r="Z1084" s="73"/>
      <c r="AA1084" s="73"/>
      <c r="AB1084" s="73"/>
      <c r="AC1084" s="73"/>
      <c r="AD1084" s="73"/>
      <c r="AE1084" s="73"/>
      <c r="AF1084" s="73"/>
    </row>
    <row r="1085" spans="1:32" ht="10.199999999999999">
      <c r="A1085" s="73"/>
      <c r="B1085" s="73"/>
      <c r="C1085" s="73"/>
      <c r="D1085" s="73"/>
      <c r="E1085" s="73"/>
      <c r="F1085" s="73"/>
      <c r="G1085" s="73"/>
      <c r="H1085" s="73"/>
      <c r="I1085" s="73"/>
      <c r="J1085" s="73"/>
      <c r="K1085" s="73"/>
      <c r="L1085" s="73"/>
      <c r="M1085" s="73"/>
      <c r="N1085" s="73"/>
      <c r="O1085" s="73"/>
      <c r="P1085" s="73"/>
      <c r="Q1085" s="73"/>
      <c r="R1085" s="73"/>
      <c r="S1085" s="73"/>
      <c r="T1085" s="73"/>
      <c r="U1085" s="73"/>
      <c r="V1085" s="73"/>
      <c r="W1085" s="73"/>
      <c r="X1085" s="73"/>
      <c r="Y1085" s="73"/>
      <c r="Z1085" s="73"/>
      <c r="AA1085" s="73"/>
      <c r="AB1085" s="73"/>
      <c r="AC1085" s="73"/>
      <c r="AD1085" s="73"/>
      <c r="AE1085" s="73"/>
      <c r="AF1085" s="73"/>
    </row>
    <row r="1086" spans="1:32" ht="10.199999999999999">
      <c r="A1086" s="73"/>
      <c r="B1086" s="73"/>
      <c r="C1086" s="73"/>
      <c r="D1086" s="73"/>
      <c r="E1086" s="73"/>
      <c r="F1086" s="73"/>
      <c r="G1086" s="73"/>
      <c r="H1086" s="73"/>
      <c r="I1086" s="73"/>
      <c r="J1086" s="73"/>
      <c r="K1086" s="73"/>
      <c r="L1086" s="73"/>
      <c r="M1086" s="73"/>
      <c r="N1086" s="73"/>
      <c r="O1086" s="73"/>
      <c r="P1086" s="73"/>
      <c r="Q1086" s="73"/>
      <c r="R1086" s="73"/>
      <c r="S1086" s="73"/>
      <c r="T1086" s="73"/>
      <c r="U1086" s="73"/>
      <c r="V1086" s="73"/>
      <c r="W1086" s="73"/>
      <c r="X1086" s="73"/>
      <c r="Y1086" s="73"/>
      <c r="Z1086" s="73"/>
      <c r="AA1086" s="73"/>
      <c r="AB1086" s="73"/>
      <c r="AC1086" s="73"/>
      <c r="AD1086" s="73"/>
      <c r="AE1086" s="73"/>
      <c r="AF1086" s="73"/>
    </row>
    <row r="1087" spans="1:32" ht="10.199999999999999">
      <c r="A1087" s="73"/>
      <c r="B1087" s="73"/>
      <c r="C1087" s="73"/>
      <c r="D1087" s="73"/>
      <c r="E1087" s="73"/>
      <c r="F1087" s="73"/>
      <c r="G1087" s="73"/>
      <c r="H1087" s="73"/>
      <c r="I1087" s="73"/>
      <c r="J1087" s="73"/>
      <c r="K1087" s="73"/>
      <c r="L1087" s="73"/>
      <c r="M1087" s="73"/>
      <c r="N1087" s="73"/>
      <c r="O1087" s="73"/>
      <c r="P1087" s="73"/>
      <c r="Q1087" s="73"/>
      <c r="R1087" s="73"/>
      <c r="S1087" s="73"/>
      <c r="T1087" s="73"/>
      <c r="U1087" s="73"/>
      <c r="V1087" s="73"/>
      <c r="W1087" s="73"/>
      <c r="X1087" s="73"/>
      <c r="Y1087" s="73"/>
      <c r="Z1087" s="73"/>
      <c r="AA1087" s="73"/>
      <c r="AB1087" s="73"/>
      <c r="AC1087" s="73"/>
      <c r="AD1087" s="73"/>
      <c r="AE1087" s="73"/>
      <c r="AF1087" s="73"/>
    </row>
    <row r="1088" spans="1:32" ht="10.199999999999999">
      <c r="A1088" s="73"/>
      <c r="B1088" s="73"/>
      <c r="C1088" s="73"/>
      <c r="D1088" s="73"/>
      <c r="E1088" s="73"/>
      <c r="F1088" s="73"/>
      <c r="G1088" s="73"/>
      <c r="H1088" s="73"/>
      <c r="I1088" s="73"/>
      <c r="J1088" s="73"/>
      <c r="K1088" s="73"/>
      <c r="L1088" s="73"/>
      <c r="M1088" s="73"/>
      <c r="N1088" s="73"/>
      <c r="O1088" s="73"/>
      <c r="P1088" s="73"/>
      <c r="Q1088" s="73"/>
      <c r="R1088" s="73"/>
      <c r="S1088" s="73"/>
      <c r="T1088" s="73"/>
      <c r="U1088" s="73"/>
      <c r="V1088" s="73"/>
      <c r="W1088" s="73"/>
      <c r="X1088" s="73"/>
      <c r="Y1088" s="73"/>
      <c r="Z1088" s="73"/>
      <c r="AA1088" s="73"/>
      <c r="AB1088" s="73"/>
      <c r="AC1088" s="73"/>
      <c r="AD1088" s="73"/>
      <c r="AE1088" s="73"/>
      <c r="AF1088" s="73"/>
    </row>
    <row r="1089" spans="1:32" ht="10.199999999999999">
      <c r="A1089" s="73"/>
      <c r="B1089" s="73"/>
      <c r="C1089" s="73"/>
      <c r="D1089" s="73"/>
      <c r="E1089" s="73"/>
      <c r="F1089" s="73"/>
      <c r="G1089" s="73"/>
      <c r="H1089" s="73"/>
      <c r="I1089" s="73"/>
      <c r="J1089" s="73"/>
      <c r="K1089" s="73"/>
      <c r="L1089" s="73"/>
      <c r="M1089" s="73"/>
      <c r="N1089" s="73"/>
      <c r="O1089" s="73"/>
      <c r="P1089" s="73"/>
      <c r="Q1089" s="73"/>
      <c r="R1089" s="73"/>
      <c r="S1089" s="73"/>
      <c r="T1089" s="73"/>
      <c r="U1089" s="73"/>
      <c r="V1089" s="73"/>
      <c r="W1089" s="73"/>
      <c r="X1089" s="73"/>
      <c r="Y1089" s="73"/>
      <c r="Z1089" s="73"/>
      <c r="AA1089" s="73"/>
      <c r="AB1089" s="73"/>
      <c r="AC1089" s="73"/>
      <c r="AD1089" s="73"/>
      <c r="AE1089" s="73"/>
      <c r="AF1089" s="73"/>
    </row>
    <row r="1090" spans="1:32" ht="10.199999999999999">
      <c r="A1090" s="73"/>
      <c r="B1090" s="73"/>
      <c r="C1090" s="73"/>
      <c r="D1090" s="73"/>
      <c r="E1090" s="73"/>
      <c r="F1090" s="73"/>
      <c r="G1090" s="73"/>
      <c r="H1090" s="73"/>
      <c r="I1090" s="73"/>
      <c r="J1090" s="73"/>
      <c r="K1090" s="73"/>
      <c r="L1090" s="73"/>
      <c r="M1090" s="73"/>
      <c r="N1090" s="73"/>
      <c r="O1090" s="73"/>
      <c r="P1090" s="73"/>
      <c r="Q1090" s="73"/>
      <c r="R1090" s="73"/>
      <c r="S1090" s="73"/>
      <c r="T1090" s="73"/>
      <c r="U1090" s="73"/>
      <c r="V1090" s="73"/>
      <c r="W1090" s="73"/>
      <c r="X1090" s="73"/>
      <c r="Y1090" s="73"/>
      <c r="Z1090" s="73"/>
      <c r="AA1090" s="73"/>
      <c r="AB1090" s="73"/>
      <c r="AC1090" s="73"/>
      <c r="AD1090" s="73"/>
      <c r="AE1090" s="73"/>
      <c r="AF1090" s="73"/>
    </row>
    <row r="1091" spans="1:32" ht="10.199999999999999">
      <c r="A1091" s="73"/>
      <c r="B1091" s="73"/>
      <c r="C1091" s="73"/>
      <c r="D1091" s="73"/>
      <c r="E1091" s="73"/>
      <c r="F1091" s="73"/>
      <c r="G1091" s="73"/>
      <c r="H1091" s="73"/>
      <c r="I1091" s="73"/>
      <c r="J1091" s="73"/>
      <c r="K1091" s="73"/>
      <c r="L1091" s="73"/>
      <c r="M1091" s="73"/>
      <c r="N1091" s="73"/>
      <c r="O1091" s="73"/>
      <c r="P1091" s="73"/>
      <c r="Q1091" s="73"/>
      <c r="R1091" s="73"/>
      <c r="S1091" s="73"/>
      <c r="T1091" s="73"/>
      <c r="U1091" s="73"/>
      <c r="V1091" s="73"/>
      <c r="W1091" s="73"/>
      <c r="X1091" s="73"/>
      <c r="Y1091" s="73"/>
      <c r="Z1091" s="73"/>
      <c r="AA1091" s="73"/>
      <c r="AB1091" s="73"/>
      <c r="AC1091" s="73"/>
      <c r="AD1091" s="73"/>
      <c r="AE1091" s="73"/>
      <c r="AF1091" s="73"/>
    </row>
    <row r="1092" spans="1:32" ht="10.199999999999999">
      <c r="A1092" s="73"/>
      <c r="B1092" s="73"/>
      <c r="C1092" s="73"/>
      <c r="D1092" s="73"/>
      <c r="E1092" s="73"/>
      <c r="F1092" s="73"/>
      <c r="G1092" s="73"/>
      <c r="H1092" s="73"/>
      <c r="I1092" s="73"/>
      <c r="J1092" s="73"/>
      <c r="K1092" s="73"/>
      <c r="L1092" s="73"/>
      <c r="M1092" s="73"/>
      <c r="N1092" s="73"/>
      <c r="O1092" s="73"/>
      <c r="P1092" s="73"/>
      <c r="Q1092" s="73"/>
      <c r="R1092" s="73"/>
      <c r="S1092" s="73"/>
      <c r="T1092" s="73"/>
      <c r="U1092" s="73"/>
      <c r="V1092" s="73"/>
      <c r="W1092" s="73"/>
      <c r="X1092" s="73"/>
      <c r="Y1092" s="73"/>
      <c r="Z1092" s="73"/>
      <c r="AA1092" s="73"/>
      <c r="AB1092" s="73"/>
      <c r="AC1092" s="73"/>
      <c r="AD1092" s="73"/>
      <c r="AE1092" s="73"/>
      <c r="AF1092" s="73"/>
    </row>
    <row r="1093" spans="1:32" ht="10.199999999999999">
      <c r="A1093" s="73"/>
      <c r="B1093" s="73"/>
      <c r="C1093" s="73"/>
      <c r="D1093" s="73"/>
      <c r="E1093" s="73"/>
      <c r="F1093" s="73"/>
      <c r="G1093" s="73"/>
      <c r="H1093" s="73"/>
      <c r="I1093" s="73"/>
      <c r="J1093" s="73"/>
      <c r="K1093" s="73"/>
      <c r="L1093" s="73"/>
      <c r="M1093" s="73"/>
      <c r="N1093" s="73"/>
      <c r="O1093" s="73"/>
      <c r="P1093" s="73"/>
      <c r="Q1093" s="73"/>
      <c r="R1093" s="73"/>
      <c r="S1093" s="73"/>
      <c r="T1093" s="73"/>
      <c r="U1093" s="73"/>
      <c r="V1093" s="73"/>
      <c r="W1093" s="73"/>
      <c r="X1093" s="73"/>
      <c r="Y1093" s="73"/>
      <c r="Z1093" s="73"/>
      <c r="AA1093" s="73"/>
      <c r="AB1093" s="73"/>
      <c r="AC1093" s="73"/>
      <c r="AD1093" s="73"/>
      <c r="AE1093" s="73"/>
      <c r="AF1093" s="73"/>
    </row>
    <row r="1094" spans="1:32" ht="10.199999999999999">
      <c r="A1094" s="73"/>
      <c r="B1094" s="73"/>
      <c r="C1094" s="73"/>
      <c r="D1094" s="73"/>
      <c r="E1094" s="73"/>
      <c r="F1094" s="73"/>
      <c r="G1094" s="73"/>
      <c r="H1094" s="73"/>
      <c r="I1094" s="73"/>
      <c r="J1094" s="73"/>
      <c r="K1094" s="73"/>
      <c r="L1094" s="73"/>
      <c r="M1094" s="73"/>
      <c r="N1094" s="73"/>
      <c r="O1094" s="73"/>
      <c r="P1094" s="73"/>
      <c r="Q1094" s="73"/>
      <c r="R1094" s="73"/>
      <c r="S1094" s="73"/>
      <c r="T1094" s="73"/>
      <c r="U1094" s="73"/>
      <c r="V1094" s="73"/>
      <c r="W1094" s="73"/>
      <c r="X1094" s="73"/>
      <c r="Y1094" s="73"/>
      <c r="Z1094" s="73"/>
      <c r="AA1094" s="73"/>
      <c r="AB1094" s="73"/>
      <c r="AC1094" s="73"/>
      <c r="AD1094" s="73"/>
      <c r="AE1094" s="73"/>
      <c r="AF1094" s="73"/>
    </row>
    <row r="1095" spans="1:32" ht="10.199999999999999">
      <c r="A1095" s="73"/>
      <c r="B1095" s="73"/>
      <c r="C1095" s="73"/>
      <c r="D1095" s="73"/>
      <c r="E1095" s="73"/>
      <c r="F1095" s="73"/>
      <c r="G1095" s="73"/>
      <c r="H1095" s="73"/>
      <c r="I1095" s="73"/>
      <c r="J1095" s="73"/>
      <c r="K1095" s="73"/>
      <c r="L1095" s="73"/>
      <c r="M1095" s="73"/>
      <c r="N1095" s="73"/>
      <c r="O1095" s="73"/>
      <c r="P1095" s="73"/>
      <c r="Q1095" s="73"/>
      <c r="R1095" s="73"/>
      <c r="S1095" s="73"/>
      <c r="T1095" s="73"/>
      <c r="U1095" s="73"/>
      <c r="V1095" s="73"/>
      <c r="W1095" s="73"/>
      <c r="X1095" s="73"/>
      <c r="Y1095" s="73"/>
      <c r="Z1095" s="73"/>
      <c r="AA1095" s="73"/>
      <c r="AB1095" s="73"/>
      <c r="AC1095" s="73"/>
      <c r="AD1095" s="73"/>
      <c r="AE1095" s="73"/>
      <c r="AF1095" s="73"/>
    </row>
    <row r="1096" spans="1:32" ht="10.199999999999999">
      <c r="A1096" s="73"/>
      <c r="B1096" s="73"/>
      <c r="C1096" s="73"/>
      <c r="D1096" s="73"/>
      <c r="E1096" s="73"/>
      <c r="F1096" s="73"/>
      <c r="G1096" s="73"/>
      <c r="H1096" s="73"/>
      <c r="I1096" s="73"/>
      <c r="J1096" s="73"/>
      <c r="K1096" s="73"/>
      <c r="L1096" s="73"/>
      <c r="M1096" s="73"/>
      <c r="N1096" s="73"/>
      <c r="O1096" s="73"/>
      <c r="P1096" s="73"/>
      <c r="Q1096" s="73"/>
      <c r="R1096" s="73"/>
      <c r="S1096" s="73"/>
      <c r="T1096" s="73"/>
      <c r="U1096" s="73"/>
      <c r="V1096" s="73"/>
      <c r="W1096" s="73"/>
      <c r="X1096" s="73"/>
      <c r="Y1096" s="73"/>
      <c r="Z1096" s="73"/>
      <c r="AA1096" s="73"/>
      <c r="AB1096" s="73"/>
      <c r="AC1096" s="73"/>
      <c r="AD1096" s="73"/>
      <c r="AE1096" s="73"/>
      <c r="AF1096" s="73"/>
    </row>
    <row r="1097" spans="1:32" ht="10.199999999999999">
      <c r="A1097" s="73"/>
      <c r="B1097" s="73"/>
      <c r="C1097" s="73"/>
      <c r="D1097" s="73"/>
      <c r="E1097" s="73"/>
      <c r="F1097" s="73"/>
      <c r="G1097" s="73"/>
      <c r="H1097" s="73"/>
      <c r="I1097" s="73"/>
      <c r="J1097" s="73"/>
      <c r="K1097" s="73"/>
      <c r="L1097" s="73"/>
      <c r="M1097" s="73"/>
      <c r="N1097" s="73"/>
      <c r="O1097" s="73"/>
      <c r="P1097" s="73"/>
      <c r="Q1097" s="73"/>
      <c r="R1097" s="73"/>
      <c r="S1097" s="73"/>
      <c r="T1097" s="73"/>
      <c r="U1097" s="73"/>
      <c r="V1097" s="73"/>
      <c r="W1097" s="73"/>
      <c r="X1097" s="73"/>
      <c r="Y1097" s="73"/>
      <c r="Z1097" s="73"/>
      <c r="AA1097" s="73"/>
      <c r="AB1097" s="73"/>
      <c r="AC1097" s="73"/>
      <c r="AD1097" s="73"/>
      <c r="AE1097" s="73"/>
      <c r="AF1097" s="73"/>
    </row>
    <row r="1098" spans="1:32" ht="10.199999999999999">
      <c r="A1098" s="73"/>
      <c r="B1098" s="73"/>
      <c r="C1098" s="73"/>
      <c r="D1098" s="73"/>
      <c r="E1098" s="73"/>
      <c r="F1098" s="73"/>
      <c r="G1098" s="73"/>
      <c r="H1098" s="73"/>
      <c r="I1098" s="73"/>
      <c r="J1098" s="73"/>
      <c r="K1098" s="73"/>
      <c r="L1098" s="73"/>
      <c r="M1098" s="73"/>
      <c r="N1098" s="73"/>
      <c r="O1098" s="73"/>
      <c r="P1098" s="73"/>
      <c r="Q1098" s="73"/>
      <c r="R1098" s="73"/>
      <c r="S1098" s="73"/>
      <c r="T1098" s="73"/>
      <c r="U1098" s="73"/>
      <c r="V1098" s="73"/>
      <c r="W1098" s="73"/>
      <c r="X1098" s="73"/>
      <c r="Y1098" s="73"/>
      <c r="Z1098" s="73"/>
      <c r="AA1098" s="73"/>
      <c r="AB1098" s="73"/>
      <c r="AC1098" s="73"/>
      <c r="AD1098" s="73"/>
      <c r="AE1098" s="73"/>
      <c r="AF1098" s="73"/>
    </row>
    <row r="1099" spans="1:32" ht="10.199999999999999">
      <c r="A1099" s="73"/>
      <c r="B1099" s="73"/>
      <c r="C1099" s="73"/>
      <c r="D1099" s="73"/>
      <c r="E1099" s="73"/>
      <c r="F1099" s="73"/>
      <c r="G1099" s="73"/>
      <c r="H1099" s="73"/>
      <c r="I1099" s="73"/>
      <c r="J1099" s="73"/>
      <c r="K1099" s="73"/>
      <c r="L1099" s="73"/>
      <c r="M1099" s="73"/>
      <c r="N1099" s="73"/>
      <c r="O1099" s="73"/>
      <c r="P1099" s="73"/>
      <c r="Q1099" s="73"/>
      <c r="R1099" s="73"/>
      <c r="S1099" s="73"/>
      <c r="T1099" s="73"/>
      <c r="U1099" s="73"/>
      <c r="V1099" s="73"/>
      <c r="W1099" s="73"/>
      <c r="X1099" s="73"/>
      <c r="Y1099" s="73"/>
      <c r="Z1099" s="73"/>
      <c r="AA1099" s="73"/>
      <c r="AB1099" s="73"/>
      <c r="AC1099" s="73"/>
      <c r="AD1099" s="73"/>
      <c r="AE1099" s="73"/>
      <c r="AF1099" s="73"/>
    </row>
    <row r="1100" spans="1:32" ht="10.199999999999999">
      <c r="A1100" s="73"/>
      <c r="B1100" s="73"/>
      <c r="C1100" s="73"/>
      <c r="D1100" s="73"/>
      <c r="E1100" s="73"/>
      <c r="F1100" s="73"/>
      <c r="G1100" s="73"/>
      <c r="H1100" s="73"/>
      <c r="I1100" s="73"/>
      <c r="J1100" s="73"/>
      <c r="K1100" s="73"/>
      <c r="L1100" s="73"/>
      <c r="M1100" s="73"/>
      <c r="N1100" s="73"/>
      <c r="O1100" s="73"/>
      <c r="P1100" s="73"/>
      <c r="Q1100" s="73"/>
      <c r="R1100" s="73"/>
      <c r="S1100" s="73"/>
      <c r="T1100" s="73"/>
      <c r="U1100" s="73"/>
      <c r="V1100" s="73"/>
      <c r="W1100" s="73"/>
      <c r="X1100" s="73"/>
      <c r="Y1100" s="73"/>
      <c r="Z1100" s="73"/>
      <c r="AA1100" s="73"/>
      <c r="AB1100" s="73"/>
      <c r="AC1100" s="73"/>
      <c r="AD1100" s="73"/>
      <c r="AE1100" s="73"/>
      <c r="AF1100" s="73"/>
    </row>
    <row r="1101" spans="1:32" ht="10.199999999999999">
      <c r="A1101" s="73"/>
      <c r="B1101" s="73"/>
      <c r="C1101" s="73"/>
      <c r="D1101" s="73"/>
      <c r="E1101" s="73"/>
      <c r="F1101" s="73"/>
      <c r="G1101" s="73"/>
      <c r="H1101" s="73"/>
      <c r="I1101" s="73"/>
      <c r="J1101" s="73"/>
      <c r="K1101" s="73"/>
      <c r="L1101" s="73"/>
      <c r="M1101" s="73"/>
      <c r="N1101" s="73"/>
      <c r="O1101" s="73"/>
      <c r="P1101" s="73"/>
      <c r="Q1101" s="73"/>
      <c r="R1101" s="73"/>
      <c r="S1101" s="73"/>
      <c r="T1101" s="73"/>
      <c r="U1101" s="73"/>
      <c r="V1101" s="73"/>
      <c r="W1101" s="73"/>
      <c r="X1101" s="73"/>
      <c r="Y1101" s="73"/>
      <c r="Z1101" s="73"/>
      <c r="AA1101" s="73"/>
      <c r="AB1101" s="73"/>
      <c r="AC1101" s="73"/>
      <c r="AD1101" s="73"/>
      <c r="AE1101" s="73"/>
      <c r="AF1101" s="73"/>
    </row>
    <row r="1102" spans="1:32" ht="10.199999999999999">
      <c r="A1102" s="73"/>
      <c r="B1102" s="73"/>
      <c r="C1102" s="73"/>
      <c r="D1102" s="73"/>
      <c r="E1102" s="73"/>
      <c r="F1102" s="73"/>
      <c r="G1102" s="73"/>
      <c r="H1102" s="73"/>
      <c r="I1102" s="73"/>
      <c r="J1102" s="73"/>
      <c r="K1102" s="73"/>
      <c r="L1102" s="73"/>
      <c r="M1102" s="73"/>
      <c r="N1102" s="73"/>
      <c r="O1102" s="73"/>
      <c r="P1102" s="73"/>
      <c r="Q1102" s="73"/>
      <c r="R1102" s="73"/>
      <c r="S1102" s="73"/>
      <c r="T1102" s="73"/>
      <c r="U1102" s="73"/>
      <c r="V1102" s="73"/>
      <c r="W1102" s="73"/>
      <c r="X1102" s="73"/>
      <c r="Y1102" s="73"/>
      <c r="Z1102" s="73"/>
      <c r="AA1102" s="73"/>
      <c r="AB1102" s="73"/>
      <c r="AC1102" s="73"/>
      <c r="AD1102" s="73"/>
      <c r="AE1102" s="73"/>
      <c r="AF1102" s="73"/>
    </row>
    <row r="1103" spans="1:32" ht="10.199999999999999">
      <c r="A1103" s="73"/>
      <c r="B1103" s="73"/>
      <c r="C1103" s="73"/>
      <c r="D1103" s="73"/>
      <c r="E1103" s="73"/>
      <c r="F1103" s="73"/>
      <c r="G1103" s="73"/>
      <c r="H1103" s="73"/>
      <c r="I1103" s="73"/>
      <c r="J1103" s="73"/>
      <c r="K1103" s="73"/>
      <c r="L1103" s="73"/>
      <c r="M1103" s="73"/>
      <c r="N1103" s="73"/>
      <c r="O1103" s="73"/>
      <c r="P1103" s="73"/>
      <c r="Q1103" s="73"/>
      <c r="R1103" s="73"/>
      <c r="S1103" s="73"/>
      <c r="T1103" s="73"/>
      <c r="U1103" s="73"/>
      <c r="V1103" s="73"/>
      <c r="W1103" s="73"/>
      <c r="X1103" s="73"/>
      <c r="Y1103" s="73"/>
      <c r="Z1103" s="73"/>
      <c r="AA1103" s="73"/>
      <c r="AB1103" s="73"/>
      <c r="AC1103" s="73"/>
      <c r="AD1103" s="73"/>
      <c r="AE1103" s="73"/>
      <c r="AF1103" s="73"/>
    </row>
    <row r="1104" spans="1:32" ht="10.199999999999999">
      <c r="A1104" s="73"/>
      <c r="B1104" s="73"/>
      <c r="C1104" s="73"/>
      <c r="D1104" s="73"/>
      <c r="E1104" s="73"/>
      <c r="F1104" s="73"/>
      <c r="G1104" s="73"/>
      <c r="H1104" s="73"/>
      <c r="I1104" s="73"/>
      <c r="J1104" s="73"/>
      <c r="K1104" s="73"/>
      <c r="L1104" s="73"/>
      <c r="M1104" s="73"/>
      <c r="N1104" s="73"/>
      <c r="O1104" s="73"/>
      <c r="P1104" s="73"/>
      <c r="Q1104" s="73"/>
      <c r="R1104" s="73"/>
      <c r="S1104" s="73"/>
      <c r="T1104" s="73"/>
      <c r="U1104" s="73"/>
      <c r="V1104" s="73"/>
      <c r="W1104" s="73"/>
      <c r="X1104" s="73"/>
      <c r="Y1104" s="73"/>
      <c r="Z1104" s="73"/>
      <c r="AA1104" s="73"/>
      <c r="AB1104" s="73"/>
      <c r="AC1104" s="73"/>
      <c r="AD1104" s="73"/>
      <c r="AE1104" s="73"/>
      <c r="AF1104" s="73"/>
    </row>
    <row r="1105" spans="1:32" ht="10.199999999999999">
      <c r="A1105" s="73"/>
      <c r="B1105" s="73"/>
      <c r="C1105" s="73"/>
      <c r="D1105" s="73"/>
      <c r="E1105" s="73"/>
      <c r="F1105" s="73"/>
      <c r="G1105" s="73"/>
      <c r="H1105" s="73"/>
      <c r="I1105" s="73"/>
      <c r="J1105" s="73"/>
      <c r="K1105" s="73"/>
      <c r="L1105" s="73"/>
      <c r="M1105" s="73"/>
      <c r="N1105" s="73"/>
      <c r="O1105" s="73"/>
      <c r="P1105" s="73"/>
      <c r="Q1105" s="73"/>
      <c r="R1105" s="73"/>
      <c r="S1105" s="73"/>
      <c r="T1105" s="73"/>
      <c r="U1105" s="73"/>
      <c r="V1105" s="73"/>
      <c r="W1105" s="73"/>
      <c r="X1105" s="73"/>
      <c r="Y1105" s="73"/>
      <c r="Z1105" s="73"/>
      <c r="AA1105" s="73"/>
      <c r="AB1105" s="73"/>
      <c r="AC1105" s="73"/>
      <c r="AD1105" s="73"/>
      <c r="AE1105" s="73"/>
      <c r="AF1105" s="73"/>
    </row>
    <row r="1106" spans="1:32" ht="10.199999999999999">
      <c r="A1106" s="73"/>
      <c r="B1106" s="73"/>
      <c r="C1106" s="73"/>
      <c r="D1106" s="73"/>
      <c r="E1106" s="73"/>
      <c r="F1106" s="73"/>
      <c r="G1106" s="73"/>
      <c r="H1106" s="73"/>
      <c r="I1106" s="73"/>
      <c r="J1106" s="73"/>
      <c r="K1106" s="73"/>
      <c r="L1106" s="73"/>
      <c r="M1106" s="73"/>
      <c r="N1106" s="73"/>
      <c r="O1106" s="73"/>
      <c r="P1106" s="73"/>
      <c r="Q1106" s="73"/>
      <c r="R1106" s="73"/>
      <c r="S1106" s="73"/>
      <c r="T1106" s="73"/>
      <c r="U1106" s="73"/>
      <c r="V1106" s="73"/>
      <c r="W1106" s="73"/>
      <c r="X1106" s="73"/>
      <c r="Y1106" s="73"/>
      <c r="Z1106" s="73"/>
      <c r="AA1106" s="73"/>
      <c r="AB1106" s="73"/>
      <c r="AC1106" s="73"/>
      <c r="AD1106" s="73"/>
      <c r="AE1106" s="73"/>
      <c r="AF1106" s="73"/>
    </row>
    <row r="1107" spans="1:32" ht="10.199999999999999">
      <c r="A1107" s="73"/>
      <c r="B1107" s="73"/>
      <c r="C1107" s="73"/>
      <c r="D1107" s="73"/>
      <c r="E1107" s="73"/>
      <c r="F1107" s="73"/>
      <c r="G1107" s="73"/>
      <c r="H1107" s="73"/>
      <c r="I1107" s="73"/>
      <c r="J1107" s="73"/>
      <c r="K1107" s="73"/>
      <c r="L1107" s="73"/>
      <c r="M1107" s="73"/>
      <c r="N1107" s="73"/>
      <c r="O1107" s="73"/>
      <c r="P1107" s="73"/>
      <c r="Q1107" s="73"/>
      <c r="R1107" s="73"/>
      <c r="S1107" s="73"/>
      <c r="T1107" s="73"/>
      <c r="U1107" s="73"/>
      <c r="V1107" s="73"/>
      <c r="W1107" s="73"/>
      <c r="X1107" s="73"/>
      <c r="Y1107" s="73"/>
      <c r="Z1107" s="73"/>
      <c r="AA1107" s="73"/>
      <c r="AB1107" s="73"/>
      <c r="AC1107" s="73"/>
      <c r="AD1107" s="73"/>
      <c r="AE1107" s="73"/>
      <c r="AF1107" s="73"/>
    </row>
    <row r="1108" spans="1:32" ht="10.199999999999999">
      <c r="A1108" s="73"/>
      <c r="B1108" s="73"/>
      <c r="C1108" s="73"/>
      <c r="D1108" s="73"/>
      <c r="E1108" s="73"/>
      <c r="F1108" s="73"/>
      <c r="G1108" s="73"/>
      <c r="H1108" s="73"/>
      <c r="I1108" s="73"/>
      <c r="J1108" s="73"/>
      <c r="K1108" s="73"/>
      <c r="L1108" s="73"/>
      <c r="M1108" s="73"/>
      <c r="N1108" s="73"/>
      <c r="O1108" s="73"/>
      <c r="P1108" s="73"/>
      <c r="Q1108" s="73"/>
      <c r="R1108" s="73"/>
      <c r="S1108" s="73"/>
      <c r="T1108" s="73"/>
      <c r="U1108" s="73"/>
      <c r="V1108" s="73"/>
      <c r="W1108" s="73"/>
      <c r="X1108" s="73"/>
      <c r="Y1108" s="73"/>
      <c r="Z1108" s="73"/>
      <c r="AA1108" s="73"/>
      <c r="AB1108" s="73"/>
      <c r="AC1108" s="73"/>
      <c r="AD1108" s="73"/>
      <c r="AE1108" s="73"/>
      <c r="AF1108" s="73"/>
    </row>
    <row r="1109" spans="1:32" ht="10.199999999999999">
      <c r="A1109" s="73"/>
      <c r="B1109" s="73"/>
      <c r="C1109" s="73"/>
      <c r="D1109" s="73"/>
      <c r="E1109" s="73"/>
      <c r="F1109" s="73"/>
      <c r="G1109" s="73"/>
      <c r="H1109" s="73"/>
      <c r="I1109" s="73"/>
      <c r="J1109" s="73"/>
      <c r="K1109" s="73"/>
      <c r="L1109" s="73"/>
      <c r="M1109" s="73"/>
      <c r="N1109" s="73"/>
      <c r="O1109" s="73"/>
      <c r="P1109" s="73"/>
      <c r="Q1109" s="73"/>
      <c r="R1109" s="73"/>
      <c r="S1109" s="73"/>
      <c r="T1109" s="73"/>
      <c r="U1109" s="73"/>
      <c r="V1109" s="73"/>
      <c r="W1109" s="73"/>
      <c r="X1109" s="73"/>
      <c r="Y1109" s="73"/>
      <c r="Z1109" s="73"/>
      <c r="AA1109" s="73"/>
      <c r="AB1109" s="73"/>
      <c r="AC1109" s="73"/>
      <c r="AD1109" s="73"/>
      <c r="AE1109" s="73"/>
      <c r="AF1109" s="73"/>
    </row>
    <row r="1110" spans="1:32" ht="10.199999999999999">
      <c r="A1110" s="73"/>
      <c r="B1110" s="73"/>
      <c r="C1110" s="73"/>
      <c r="D1110" s="73"/>
      <c r="E1110" s="73"/>
      <c r="F1110" s="73"/>
      <c r="G1110" s="73"/>
      <c r="H1110" s="73"/>
      <c r="I1110" s="73"/>
      <c r="J1110" s="73"/>
      <c r="K1110" s="73"/>
      <c r="L1110" s="73"/>
      <c r="M1110" s="73"/>
      <c r="N1110" s="73"/>
      <c r="O1110" s="73"/>
      <c r="P1110" s="73"/>
      <c r="Q1110" s="73"/>
      <c r="R1110" s="73"/>
      <c r="S1110" s="73"/>
      <c r="T1110" s="73"/>
      <c r="U1110" s="73"/>
      <c r="V1110" s="73"/>
      <c r="W1110" s="73"/>
      <c r="X1110" s="73"/>
      <c r="Y1110" s="73"/>
      <c r="Z1110" s="73"/>
      <c r="AA1110" s="73"/>
      <c r="AB1110" s="73"/>
      <c r="AC1110" s="73"/>
      <c r="AD1110" s="73"/>
      <c r="AE1110" s="73"/>
      <c r="AF1110" s="73"/>
    </row>
    <row r="1111" spans="1:32" ht="10.199999999999999">
      <c r="A1111" s="73"/>
      <c r="B1111" s="73"/>
      <c r="C1111" s="73"/>
      <c r="D1111" s="73"/>
      <c r="E1111" s="73"/>
      <c r="F1111" s="73"/>
      <c r="G1111" s="73"/>
      <c r="H1111" s="73"/>
      <c r="I1111" s="73"/>
      <c r="J1111" s="73"/>
      <c r="K1111" s="73"/>
      <c r="L1111" s="73"/>
      <c r="M1111" s="73"/>
      <c r="N1111" s="73"/>
      <c r="O1111" s="73"/>
      <c r="P1111" s="73"/>
      <c r="Q1111" s="73"/>
      <c r="R1111" s="73"/>
      <c r="S1111" s="73"/>
      <c r="T1111" s="73"/>
      <c r="U1111" s="73"/>
      <c r="V1111" s="73"/>
      <c r="W1111" s="73"/>
      <c r="X1111" s="73"/>
      <c r="Y1111" s="73"/>
      <c r="Z1111" s="73"/>
      <c r="AA1111" s="73"/>
      <c r="AB1111" s="73"/>
      <c r="AC1111" s="73"/>
      <c r="AD1111" s="73"/>
      <c r="AE1111" s="73"/>
      <c r="AF1111" s="73"/>
    </row>
    <row r="1112" spans="1:32" ht="10.199999999999999">
      <c r="A1112" s="73"/>
      <c r="B1112" s="73"/>
      <c r="C1112" s="73"/>
      <c r="D1112" s="73"/>
      <c r="E1112" s="73"/>
      <c r="F1112" s="73"/>
      <c r="G1112" s="73"/>
      <c r="H1112" s="73"/>
      <c r="I1112" s="73"/>
      <c r="J1112" s="73"/>
      <c r="K1112" s="73"/>
      <c r="L1112" s="73"/>
      <c r="M1112" s="73"/>
      <c r="N1112" s="73"/>
      <c r="O1112" s="73"/>
      <c r="P1112" s="73"/>
      <c r="Q1112" s="73"/>
      <c r="R1112" s="73"/>
      <c r="S1112" s="73"/>
      <c r="T1112" s="73"/>
      <c r="U1112" s="73"/>
      <c r="V1112" s="73"/>
      <c r="W1112" s="73"/>
      <c r="X1112" s="73"/>
      <c r="Y1112" s="73"/>
      <c r="Z1112" s="73"/>
      <c r="AA1112" s="73"/>
      <c r="AB1112" s="73"/>
      <c r="AC1112" s="73"/>
      <c r="AD1112" s="73"/>
      <c r="AE1112" s="73"/>
      <c r="AF1112" s="73"/>
    </row>
    <row r="1113" spans="1:32" ht="10.199999999999999">
      <c r="A1113" s="73"/>
      <c r="B1113" s="73"/>
      <c r="C1113" s="73"/>
      <c r="D1113" s="73"/>
      <c r="E1113" s="73"/>
      <c r="F1113" s="73"/>
      <c r="G1113" s="73"/>
      <c r="H1113" s="73"/>
      <c r="I1113" s="73"/>
      <c r="J1113" s="73"/>
      <c r="K1113" s="73"/>
      <c r="L1113" s="73"/>
      <c r="M1113" s="73"/>
      <c r="N1113" s="73"/>
      <c r="O1113" s="73"/>
      <c r="P1113" s="73"/>
      <c r="Q1113" s="73"/>
      <c r="R1113" s="73"/>
      <c r="S1113" s="73"/>
      <c r="T1113" s="73"/>
      <c r="U1113" s="73"/>
      <c r="V1113" s="73"/>
      <c r="W1113" s="73"/>
      <c r="X1113" s="73"/>
      <c r="Y1113" s="73"/>
      <c r="Z1113" s="73"/>
      <c r="AA1113" s="73"/>
      <c r="AB1113" s="73"/>
      <c r="AC1113" s="73"/>
      <c r="AD1113" s="73"/>
      <c r="AE1113" s="73"/>
      <c r="AF1113" s="73"/>
    </row>
    <row r="1114" spans="1:32" ht="10.199999999999999">
      <c r="A1114" s="73"/>
      <c r="B1114" s="73"/>
      <c r="C1114" s="73"/>
      <c r="D1114" s="73"/>
      <c r="E1114" s="73"/>
      <c r="F1114" s="73"/>
      <c r="G1114" s="73"/>
      <c r="H1114" s="73"/>
      <c r="I1114" s="73"/>
      <c r="J1114" s="73"/>
      <c r="K1114" s="73"/>
      <c r="L1114" s="73"/>
      <c r="M1114" s="73"/>
      <c r="N1114" s="73"/>
      <c r="O1114" s="73"/>
      <c r="P1114" s="73"/>
      <c r="Q1114" s="73"/>
      <c r="R1114" s="73"/>
      <c r="S1114" s="73"/>
      <c r="T1114" s="73"/>
      <c r="U1114" s="73"/>
      <c r="V1114" s="73"/>
      <c r="W1114" s="73"/>
      <c r="X1114" s="73"/>
      <c r="Y1114" s="73"/>
      <c r="Z1114" s="73"/>
      <c r="AA1114" s="73"/>
      <c r="AB1114" s="73"/>
      <c r="AC1114" s="73"/>
      <c r="AD1114" s="73"/>
      <c r="AE1114" s="73"/>
      <c r="AF1114" s="73"/>
    </row>
    <row r="1115" spans="1:32" ht="10.199999999999999">
      <c r="A1115" s="73"/>
      <c r="B1115" s="73"/>
      <c r="C1115" s="73"/>
      <c r="D1115" s="73"/>
      <c r="E1115" s="73"/>
      <c r="F1115" s="73"/>
      <c r="G1115" s="73"/>
      <c r="H1115" s="73"/>
      <c r="I1115" s="73"/>
      <c r="J1115" s="73"/>
      <c r="K1115" s="73"/>
      <c r="L1115" s="73"/>
      <c r="M1115" s="73"/>
      <c r="N1115" s="73"/>
      <c r="O1115" s="73"/>
      <c r="P1115" s="73"/>
      <c r="Q1115" s="73"/>
      <c r="R1115" s="73"/>
      <c r="S1115" s="73"/>
      <c r="T1115" s="73"/>
      <c r="U1115" s="73"/>
      <c r="V1115" s="73"/>
      <c r="W1115" s="73"/>
      <c r="X1115" s="73"/>
      <c r="Y1115" s="73"/>
      <c r="Z1115" s="73"/>
      <c r="AA1115" s="73"/>
      <c r="AB1115" s="73"/>
      <c r="AC1115" s="73"/>
      <c r="AD1115" s="73"/>
      <c r="AE1115" s="73"/>
      <c r="AF1115" s="73"/>
    </row>
    <row r="1116" spans="1:32" ht="10.199999999999999">
      <c r="A1116" s="73"/>
      <c r="B1116" s="73"/>
      <c r="C1116" s="73"/>
      <c r="D1116" s="73"/>
      <c r="E1116" s="73"/>
      <c r="F1116" s="73"/>
      <c r="G1116" s="73"/>
      <c r="H1116" s="73"/>
      <c r="I1116" s="73"/>
      <c r="J1116" s="73"/>
      <c r="K1116" s="73"/>
      <c r="L1116" s="73"/>
      <c r="M1116" s="73"/>
      <c r="N1116" s="73"/>
      <c r="O1116" s="73"/>
      <c r="P1116" s="73"/>
      <c r="Q1116" s="73"/>
      <c r="R1116" s="73"/>
      <c r="S1116" s="73"/>
      <c r="T1116" s="73"/>
      <c r="U1116" s="73"/>
      <c r="V1116" s="73"/>
      <c r="W1116" s="73"/>
      <c r="X1116" s="73"/>
      <c r="Y1116" s="73"/>
      <c r="Z1116" s="73"/>
      <c r="AA1116" s="73"/>
      <c r="AB1116" s="73"/>
      <c r="AC1116" s="73"/>
      <c r="AD1116" s="73"/>
      <c r="AE1116" s="73"/>
      <c r="AF1116" s="73"/>
    </row>
    <row r="1117" spans="1:32" ht="10.199999999999999">
      <c r="A1117" s="73"/>
      <c r="B1117" s="73"/>
      <c r="C1117" s="73"/>
      <c r="D1117" s="73"/>
      <c r="E1117" s="73"/>
      <c r="F1117" s="73"/>
      <c r="G1117" s="73"/>
      <c r="H1117" s="73"/>
      <c r="I1117" s="73"/>
      <c r="J1117" s="73"/>
      <c r="K1117" s="73"/>
      <c r="L1117" s="73"/>
      <c r="M1117" s="73"/>
      <c r="N1117" s="73"/>
      <c r="O1117" s="73"/>
      <c r="P1117" s="73"/>
      <c r="Q1117" s="73"/>
      <c r="R1117" s="73"/>
      <c r="S1117" s="73"/>
      <c r="T1117" s="73"/>
      <c r="U1117" s="73"/>
      <c r="V1117" s="73"/>
      <c r="W1117" s="73"/>
      <c r="X1117" s="73"/>
      <c r="Y1117" s="73"/>
      <c r="Z1117" s="73"/>
      <c r="AA1117" s="73"/>
      <c r="AB1117" s="73"/>
      <c r="AC1117" s="73"/>
      <c r="AD1117" s="73"/>
      <c r="AE1117" s="73"/>
      <c r="AF1117" s="73"/>
    </row>
    <row r="1118" spans="1:32" ht="10.199999999999999">
      <c r="A1118" s="73"/>
      <c r="B1118" s="73"/>
      <c r="C1118" s="73"/>
      <c r="D1118" s="73"/>
      <c r="E1118" s="73"/>
      <c r="F1118" s="73"/>
      <c r="G1118" s="73"/>
      <c r="H1118" s="73"/>
      <c r="I1118" s="73"/>
      <c r="J1118" s="73"/>
      <c r="K1118" s="73"/>
      <c r="L1118" s="73"/>
      <c r="M1118" s="73"/>
      <c r="N1118" s="73"/>
      <c r="O1118" s="73"/>
      <c r="P1118" s="73"/>
      <c r="Q1118" s="73"/>
      <c r="R1118" s="73"/>
      <c r="S1118" s="73"/>
      <c r="T1118" s="73"/>
      <c r="U1118" s="73"/>
      <c r="V1118" s="73"/>
      <c r="W1118" s="73"/>
      <c r="X1118" s="73"/>
      <c r="Y1118" s="73"/>
      <c r="Z1118" s="73"/>
      <c r="AA1118" s="73"/>
      <c r="AB1118" s="73"/>
      <c r="AC1118" s="73"/>
      <c r="AD1118" s="73"/>
      <c r="AE1118" s="73"/>
      <c r="AF1118" s="73"/>
    </row>
    <row r="1119" spans="1:32" ht="10.199999999999999">
      <c r="A1119" s="73"/>
      <c r="B1119" s="73"/>
      <c r="C1119" s="73"/>
      <c r="D1119" s="73"/>
      <c r="E1119" s="73"/>
      <c r="F1119" s="73"/>
      <c r="G1119" s="73"/>
      <c r="H1119" s="73"/>
      <c r="I1119" s="73"/>
      <c r="J1119" s="73"/>
      <c r="K1119" s="73"/>
      <c r="L1119" s="73"/>
      <c r="M1119" s="73"/>
      <c r="N1119" s="73"/>
      <c r="O1119" s="73"/>
      <c r="P1119" s="73"/>
      <c r="Q1119" s="73"/>
      <c r="R1119" s="73"/>
      <c r="S1119" s="73"/>
      <c r="T1119" s="73"/>
      <c r="U1119" s="73"/>
      <c r="V1119" s="73"/>
      <c r="W1119" s="73"/>
      <c r="X1119" s="73"/>
      <c r="Y1119" s="73"/>
      <c r="Z1119" s="73"/>
      <c r="AA1119" s="73"/>
      <c r="AB1119" s="73"/>
      <c r="AC1119" s="73"/>
      <c r="AD1119" s="73"/>
      <c r="AE1119" s="73"/>
      <c r="AF1119" s="73"/>
    </row>
    <row r="1120" spans="1:32" ht="10.199999999999999">
      <c r="A1120" s="73"/>
      <c r="B1120" s="73"/>
      <c r="C1120" s="73"/>
      <c r="D1120" s="73"/>
      <c r="E1120" s="73"/>
      <c r="F1120" s="73"/>
      <c r="G1120" s="73"/>
      <c r="H1120" s="73"/>
      <c r="I1120" s="73"/>
      <c r="J1120" s="73"/>
      <c r="K1120" s="73"/>
      <c r="L1120" s="73"/>
      <c r="M1120" s="73"/>
      <c r="N1120" s="73"/>
      <c r="O1120" s="73"/>
      <c r="P1120" s="73"/>
      <c r="Q1120" s="73"/>
      <c r="R1120" s="73"/>
      <c r="S1120" s="73"/>
      <c r="T1120" s="73"/>
      <c r="U1120" s="73"/>
      <c r="V1120" s="73"/>
      <c r="W1120" s="73"/>
      <c r="X1120" s="73"/>
      <c r="Y1120" s="73"/>
      <c r="Z1120" s="73"/>
      <c r="AA1120" s="73"/>
      <c r="AB1120" s="73"/>
      <c r="AC1120" s="73"/>
      <c r="AD1120" s="73"/>
      <c r="AE1120" s="73"/>
      <c r="AF1120" s="73"/>
    </row>
    <row r="1121" spans="1:32" ht="10.199999999999999">
      <c r="A1121" s="73"/>
      <c r="B1121" s="73"/>
      <c r="C1121" s="73"/>
      <c r="D1121" s="73"/>
      <c r="E1121" s="73"/>
      <c r="F1121" s="73"/>
      <c r="G1121" s="73"/>
      <c r="H1121" s="73"/>
      <c r="I1121" s="73"/>
      <c r="J1121" s="73"/>
      <c r="K1121" s="73"/>
      <c r="L1121" s="73"/>
      <c r="M1121" s="73"/>
      <c r="N1121" s="73"/>
      <c r="O1121" s="73"/>
      <c r="P1121" s="73"/>
      <c r="Q1121" s="73"/>
      <c r="R1121" s="73"/>
      <c r="S1121" s="73"/>
      <c r="T1121" s="73"/>
      <c r="U1121" s="73"/>
      <c r="V1121" s="73"/>
      <c r="W1121" s="73"/>
      <c r="X1121" s="73"/>
      <c r="Y1121" s="73"/>
      <c r="Z1121" s="73"/>
      <c r="AA1121" s="73"/>
      <c r="AB1121" s="73"/>
      <c r="AC1121" s="73"/>
      <c r="AD1121" s="73"/>
      <c r="AE1121" s="73"/>
      <c r="AF1121" s="73"/>
    </row>
    <row r="1122" spans="1:32" ht="10.199999999999999">
      <c r="A1122" s="73"/>
      <c r="B1122" s="73"/>
      <c r="C1122" s="73"/>
      <c r="D1122" s="73"/>
      <c r="E1122" s="73"/>
      <c r="F1122" s="73"/>
      <c r="G1122" s="73"/>
      <c r="H1122" s="73"/>
      <c r="I1122" s="73"/>
      <c r="J1122" s="73"/>
      <c r="K1122" s="73"/>
      <c r="L1122" s="73"/>
      <c r="M1122" s="73"/>
      <c r="N1122" s="73"/>
      <c r="O1122" s="73"/>
      <c r="P1122" s="73"/>
      <c r="Q1122" s="73"/>
      <c r="R1122" s="73"/>
      <c r="S1122" s="73"/>
      <c r="T1122" s="73"/>
      <c r="U1122" s="73"/>
      <c r="V1122" s="73"/>
      <c r="W1122" s="73"/>
      <c r="X1122" s="73"/>
      <c r="Y1122" s="73"/>
      <c r="Z1122" s="73"/>
      <c r="AA1122" s="73"/>
      <c r="AB1122" s="73"/>
      <c r="AC1122" s="73"/>
      <c r="AD1122" s="73"/>
      <c r="AE1122" s="73"/>
      <c r="AF1122" s="73"/>
    </row>
    <row r="1123" spans="1:32" ht="10.199999999999999">
      <c r="A1123" s="73"/>
      <c r="B1123" s="73"/>
      <c r="C1123" s="73"/>
      <c r="D1123" s="73"/>
      <c r="E1123" s="73"/>
      <c r="F1123" s="73"/>
      <c r="G1123" s="73"/>
      <c r="H1123" s="73"/>
      <c r="I1123" s="73"/>
      <c r="J1123" s="73"/>
      <c r="K1123" s="73"/>
      <c r="L1123" s="73"/>
      <c r="M1123" s="73"/>
      <c r="N1123" s="73"/>
      <c r="O1123" s="73"/>
      <c r="P1123" s="73"/>
      <c r="Q1123" s="73"/>
      <c r="R1123" s="73"/>
      <c r="S1123" s="73"/>
      <c r="T1123" s="73"/>
      <c r="U1123" s="73"/>
      <c r="V1123" s="73"/>
      <c r="W1123" s="73"/>
      <c r="X1123" s="73"/>
      <c r="Y1123" s="73"/>
      <c r="Z1123" s="73"/>
      <c r="AA1123" s="73"/>
      <c r="AB1123" s="73"/>
      <c r="AC1123" s="73"/>
      <c r="AD1123" s="73"/>
      <c r="AE1123" s="73"/>
      <c r="AF1123" s="73"/>
    </row>
    <row r="1124" spans="1:32" ht="10.199999999999999">
      <c r="A1124" s="73"/>
      <c r="B1124" s="73"/>
      <c r="C1124" s="73"/>
      <c r="D1124" s="73"/>
      <c r="E1124" s="73"/>
      <c r="F1124" s="73"/>
      <c r="G1124" s="73"/>
      <c r="H1124" s="73"/>
      <c r="I1124" s="73"/>
      <c r="J1124" s="73"/>
      <c r="K1124" s="73"/>
      <c r="L1124" s="73"/>
      <c r="M1124" s="73"/>
      <c r="N1124" s="73"/>
      <c r="O1124" s="73"/>
      <c r="P1124" s="73"/>
      <c r="Q1124" s="73"/>
      <c r="R1124" s="73"/>
      <c r="S1124" s="73"/>
      <c r="T1124" s="73"/>
      <c r="U1124" s="73"/>
      <c r="V1124" s="73"/>
      <c r="W1124" s="73"/>
      <c r="X1124" s="73"/>
      <c r="Y1124" s="73"/>
      <c r="Z1124" s="73"/>
      <c r="AA1124" s="73"/>
      <c r="AB1124" s="73"/>
      <c r="AC1124" s="73"/>
      <c r="AD1124" s="73"/>
      <c r="AE1124" s="73"/>
      <c r="AF1124" s="73"/>
    </row>
    <row r="1125" spans="1:32" ht="10.199999999999999">
      <c r="A1125" s="73"/>
      <c r="B1125" s="73"/>
      <c r="C1125" s="73"/>
      <c r="D1125" s="73"/>
      <c r="E1125" s="73"/>
      <c r="F1125" s="73"/>
      <c r="G1125" s="73"/>
      <c r="H1125" s="73"/>
      <c r="I1125" s="73"/>
      <c r="J1125" s="73"/>
      <c r="K1125" s="73"/>
      <c r="L1125" s="73"/>
      <c r="M1125" s="73"/>
      <c r="N1125" s="73"/>
      <c r="O1125" s="73"/>
      <c r="P1125" s="73"/>
      <c r="Q1125" s="73"/>
      <c r="R1125" s="73"/>
      <c r="S1125" s="73"/>
      <c r="T1125" s="73"/>
      <c r="U1125" s="73"/>
      <c r="V1125" s="73"/>
      <c r="W1125" s="73"/>
      <c r="X1125" s="73"/>
      <c r="Y1125" s="73"/>
      <c r="Z1125" s="73"/>
      <c r="AA1125" s="73"/>
      <c r="AB1125" s="73"/>
      <c r="AC1125" s="73"/>
      <c r="AD1125" s="73"/>
      <c r="AE1125" s="73"/>
      <c r="AF1125" s="73"/>
    </row>
    <row r="1126" spans="1:32" ht="10.199999999999999">
      <c r="A1126" s="73"/>
      <c r="B1126" s="73"/>
      <c r="C1126" s="73"/>
      <c r="D1126" s="73"/>
      <c r="E1126" s="73"/>
      <c r="F1126" s="73"/>
      <c r="G1126" s="73"/>
      <c r="H1126" s="73"/>
      <c r="I1126" s="73"/>
      <c r="J1126" s="73"/>
      <c r="K1126" s="73"/>
      <c r="L1126" s="73"/>
      <c r="M1126" s="73"/>
      <c r="N1126" s="73"/>
      <c r="O1126" s="73"/>
      <c r="P1126" s="73"/>
      <c r="Q1126" s="73"/>
      <c r="R1126" s="73"/>
      <c r="S1126" s="73"/>
      <c r="T1126" s="73"/>
      <c r="U1126" s="73"/>
      <c r="V1126" s="73"/>
      <c r="W1126" s="73"/>
      <c r="X1126" s="73"/>
      <c r="Y1126" s="73"/>
      <c r="Z1126" s="73"/>
      <c r="AA1126" s="73"/>
      <c r="AB1126" s="73"/>
      <c r="AC1126" s="73"/>
      <c r="AD1126" s="73"/>
      <c r="AE1126" s="73"/>
      <c r="AF1126" s="73"/>
    </row>
    <row r="1127" spans="1:32" ht="10.199999999999999">
      <c r="A1127" s="73"/>
      <c r="B1127" s="73"/>
      <c r="C1127" s="73"/>
      <c r="D1127" s="73"/>
      <c r="E1127" s="73"/>
      <c r="F1127" s="73"/>
      <c r="G1127" s="73"/>
      <c r="H1127" s="73"/>
      <c r="I1127" s="73"/>
      <c r="J1127" s="73"/>
      <c r="K1127" s="73"/>
      <c r="L1127" s="73"/>
      <c r="M1127" s="73"/>
      <c r="N1127" s="73"/>
      <c r="O1127" s="73"/>
      <c r="P1127" s="73"/>
      <c r="Q1127" s="73"/>
      <c r="R1127" s="73"/>
      <c r="S1127" s="73"/>
      <c r="T1127" s="73"/>
      <c r="U1127" s="73"/>
      <c r="V1127" s="73"/>
      <c r="W1127" s="73"/>
      <c r="X1127" s="73"/>
      <c r="Y1127" s="73"/>
      <c r="Z1127" s="73"/>
      <c r="AA1127" s="73"/>
      <c r="AB1127" s="73"/>
      <c r="AC1127" s="73"/>
      <c r="AD1127" s="73"/>
      <c r="AE1127" s="73"/>
      <c r="AF1127" s="73"/>
    </row>
    <row r="1128" spans="1:32" ht="10.199999999999999">
      <c r="A1128" s="73"/>
      <c r="B1128" s="73"/>
      <c r="C1128" s="73"/>
      <c r="D1128" s="73"/>
      <c r="E1128" s="73"/>
      <c r="F1128" s="73"/>
      <c r="G1128" s="73"/>
      <c r="H1128" s="73"/>
      <c r="I1128" s="73"/>
      <c r="J1128" s="73"/>
      <c r="K1128" s="73"/>
      <c r="L1128" s="73"/>
      <c r="M1128" s="73"/>
      <c r="N1128" s="73"/>
      <c r="O1128" s="73"/>
      <c r="P1128" s="73"/>
      <c r="Q1128" s="73"/>
      <c r="R1128" s="73"/>
      <c r="S1128" s="73"/>
      <c r="T1128" s="73"/>
      <c r="U1128" s="73"/>
      <c r="V1128" s="73"/>
      <c r="W1128" s="73"/>
      <c r="X1128" s="73"/>
      <c r="Y1128" s="73"/>
      <c r="Z1128" s="73"/>
      <c r="AA1128" s="73"/>
      <c r="AB1128" s="73"/>
      <c r="AC1128" s="73"/>
      <c r="AD1128" s="73"/>
      <c r="AE1128" s="73"/>
      <c r="AF1128" s="73"/>
    </row>
    <row r="1129" spans="1:32" ht="10.199999999999999">
      <c r="A1129" s="73"/>
      <c r="B1129" s="73"/>
      <c r="C1129" s="73"/>
      <c r="D1129" s="73"/>
      <c r="E1129" s="73"/>
      <c r="F1129" s="73"/>
      <c r="G1129" s="73"/>
      <c r="H1129" s="73"/>
      <c r="I1129" s="73"/>
      <c r="J1129" s="73"/>
      <c r="K1129" s="73"/>
      <c r="L1129" s="73"/>
      <c r="M1129" s="73"/>
      <c r="N1129" s="73"/>
      <c r="O1129" s="73"/>
      <c r="P1129" s="73"/>
      <c r="Q1129" s="73"/>
      <c r="R1129" s="73"/>
      <c r="S1129" s="73"/>
      <c r="T1129" s="73"/>
      <c r="U1129" s="73"/>
      <c r="V1129" s="73"/>
      <c r="W1129" s="73"/>
      <c r="X1129" s="73"/>
      <c r="Y1129" s="73"/>
      <c r="Z1129" s="73"/>
      <c r="AA1129" s="73"/>
      <c r="AB1129" s="73"/>
      <c r="AC1129" s="73"/>
      <c r="AD1129" s="73"/>
      <c r="AE1129" s="73"/>
      <c r="AF1129" s="73"/>
    </row>
    <row r="1130" spans="1:32" ht="10.199999999999999">
      <c r="A1130" s="73"/>
      <c r="B1130" s="73"/>
      <c r="C1130" s="73"/>
      <c r="D1130" s="73"/>
      <c r="E1130" s="73"/>
      <c r="F1130" s="73"/>
      <c r="G1130" s="73"/>
      <c r="H1130" s="73"/>
      <c r="I1130" s="73"/>
      <c r="J1130" s="73"/>
      <c r="K1130" s="73"/>
      <c r="L1130" s="73"/>
      <c r="M1130" s="73"/>
      <c r="N1130" s="73"/>
      <c r="O1130" s="73"/>
      <c r="P1130" s="73"/>
      <c r="Q1130" s="73"/>
      <c r="R1130" s="73"/>
      <c r="S1130" s="73"/>
      <c r="T1130" s="73"/>
      <c r="U1130" s="73"/>
      <c r="V1130" s="73"/>
      <c r="W1130" s="73"/>
      <c r="X1130" s="73"/>
      <c r="Y1130" s="73"/>
      <c r="Z1130" s="73"/>
      <c r="AA1130" s="73"/>
      <c r="AB1130" s="73"/>
      <c r="AC1130" s="73"/>
      <c r="AD1130" s="73"/>
      <c r="AE1130" s="73"/>
      <c r="AF1130" s="73"/>
    </row>
    <row r="1131" spans="1:32" ht="10.199999999999999">
      <c r="A1131" s="73"/>
      <c r="B1131" s="73"/>
      <c r="C1131" s="73"/>
      <c r="D1131" s="73"/>
      <c r="E1131" s="73"/>
      <c r="F1131" s="73"/>
      <c r="G1131" s="73"/>
      <c r="H1131" s="73"/>
      <c r="I1131" s="73"/>
      <c r="J1131" s="73"/>
      <c r="K1131" s="73"/>
      <c r="L1131" s="73"/>
      <c r="M1131" s="73"/>
      <c r="N1131" s="73"/>
      <c r="O1131" s="73"/>
      <c r="P1131" s="73"/>
      <c r="Q1131" s="73"/>
      <c r="R1131" s="73"/>
      <c r="S1131" s="73"/>
      <c r="T1131" s="73"/>
      <c r="U1131" s="73"/>
      <c r="V1131" s="73"/>
      <c r="W1131" s="73"/>
      <c r="X1131" s="73"/>
      <c r="Y1131" s="73"/>
      <c r="Z1131" s="73"/>
      <c r="AA1131" s="73"/>
      <c r="AB1131" s="73"/>
      <c r="AC1131" s="73"/>
      <c r="AD1131" s="73"/>
      <c r="AE1131" s="73"/>
      <c r="AF1131" s="73"/>
    </row>
    <row r="1132" spans="1:32" ht="10.199999999999999">
      <c r="A1132" s="73"/>
      <c r="B1132" s="73"/>
      <c r="C1132" s="73"/>
      <c r="D1132" s="73"/>
      <c r="E1132" s="73"/>
      <c r="F1132" s="73"/>
      <c r="G1132" s="73"/>
      <c r="H1132" s="73"/>
      <c r="I1132" s="73"/>
      <c r="J1132" s="73"/>
      <c r="K1132" s="73"/>
      <c r="L1132" s="73"/>
      <c r="M1132" s="73"/>
      <c r="N1132" s="73"/>
      <c r="O1132" s="73"/>
      <c r="P1132" s="73"/>
      <c r="Q1132" s="73"/>
      <c r="R1132" s="73"/>
      <c r="S1132" s="73"/>
      <c r="T1132" s="73"/>
      <c r="U1132" s="73"/>
      <c r="V1132" s="73"/>
      <c r="W1132" s="73"/>
      <c r="X1132" s="73"/>
      <c r="Y1132" s="73"/>
      <c r="Z1132" s="73"/>
      <c r="AA1132" s="73"/>
      <c r="AB1132" s="73"/>
      <c r="AC1132" s="73"/>
      <c r="AD1132" s="73"/>
      <c r="AE1132" s="73"/>
      <c r="AF1132" s="73"/>
    </row>
    <row r="1133" spans="1:32" ht="10.199999999999999">
      <c r="A1133" s="73"/>
      <c r="B1133" s="73"/>
      <c r="C1133" s="73"/>
      <c r="D1133" s="73"/>
      <c r="E1133" s="73"/>
      <c r="F1133" s="73"/>
      <c r="G1133" s="73"/>
      <c r="H1133" s="73"/>
      <c r="I1133" s="73"/>
      <c r="J1133" s="73"/>
      <c r="K1133" s="73"/>
      <c r="L1133" s="73"/>
      <c r="M1133" s="73"/>
      <c r="N1133" s="73"/>
      <c r="O1133" s="73"/>
      <c r="P1133" s="73"/>
      <c r="Q1133" s="73"/>
      <c r="R1133" s="73"/>
      <c r="S1133" s="73"/>
      <c r="T1133" s="73"/>
      <c r="U1133" s="73"/>
      <c r="V1133" s="73"/>
      <c r="W1133" s="73"/>
      <c r="X1133" s="73"/>
      <c r="Y1133" s="73"/>
      <c r="Z1133" s="73"/>
      <c r="AA1133" s="73"/>
      <c r="AB1133" s="73"/>
      <c r="AC1133" s="73"/>
      <c r="AD1133" s="73"/>
      <c r="AE1133" s="73"/>
      <c r="AF1133" s="73"/>
    </row>
    <row r="1134" spans="1:32" ht="10.199999999999999">
      <c r="A1134" s="73"/>
      <c r="B1134" s="73"/>
      <c r="C1134" s="73"/>
      <c r="D1134" s="73"/>
      <c r="E1134" s="73"/>
      <c r="F1134" s="73"/>
      <c r="G1134" s="73"/>
      <c r="H1134" s="73"/>
      <c r="I1134" s="73"/>
      <c r="J1134" s="73"/>
      <c r="K1134" s="73"/>
      <c r="L1134" s="73"/>
      <c r="M1134" s="73"/>
      <c r="N1134" s="73"/>
      <c r="O1134" s="73"/>
      <c r="P1134" s="73"/>
      <c r="Q1134" s="73"/>
      <c r="R1134" s="73"/>
      <c r="S1134" s="73"/>
      <c r="T1134" s="73"/>
      <c r="U1134" s="73"/>
      <c r="V1134" s="73"/>
      <c r="W1134" s="73"/>
      <c r="X1134" s="73"/>
      <c r="Y1134" s="73"/>
      <c r="Z1134" s="73"/>
      <c r="AA1134" s="73"/>
      <c r="AB1134" s="73"/>
      <c r="AC1134" s="73"/>
      <c r="AD1134" s="73"/>
      <c r="AE1134" s="73"/>
      <c r="AF1134" s="73"/>
    </row>
    <row r="1135" spans="1:32" ht="10.199999999999999">
      <c r="A1135" s="73"/>
      <c r="B1135" s="73"/>
      <c r="C1135" s="73"/>
      <c r="D1135" s="73"/>
      <c r="E1135" s="73"/>
      <c r="F1135" s="73"/>
      <c r="G1135" s="73"/>
      <c r="H1135" s="73"/>
      <c r="I1135" s="73"/>
      <c r="J1135" s="73"/>
      <c r="K1135" s="73"/>
      <c r="L1135" s="73"/>
      <c r="M1135" s="73"/>
      <c r="N1135" s="73"/>
      <c r="O1135" s="73"/>
      <c r="P1135" s="73"/>
      <c r="Q1135" s="73"/>
      <c r="R1135" s="73"/>
      <c r="S1135" s="73"/>
      <c r="T1135" s="73"/>
      <c r="U1135" s="73"/>
      <c r="V1135" s="73"/>
      <c r="W1135" s="73"/>
      <c r="X1135" s="73"/>
      <c r="Y1135" s="73"/>
      <c r="Z1135" s="73"/>
      <c r="AA1135" s="73"/>
      <c r="AB1135" s="73"/>
      <c r="AC1135" s="73"/>
      <c r="AD1135" s="73"/>
      <c r="AE1135" s="73"/>
      <c r="AF1135" s="73"/>
    </row>
    <row r="1136" spans="1:32" ht="10.199999999999999">
      <c r="A1136" s="73"/>
      <c r="B1136" s="73"/>
      <c r="C1136" s="73"/>
      <c r="D1136" s="73"/>
      <c r="E1136" s="73"/>
      <c r="F1136" s="73"/>
      <c r="G1136" s="73"/>
      <c r="H1136" s="73"/>
      <c r="I1136" s="73"/>
      <c r="J1136" s="73"/>
      <c r="K1136" s="73"/>
      <c r="L1136" s="73"/>
      <c r="M1136" s="73"/>
      <c r="N1136" s="73"/>
      <c r="O1136" s="73"/>
      <c r="P1136" s="73"/>
      <c r="Q1136" s="73"/>
      <c r="R1136" s="73"/>
      <c r="S1136" s="73"/>
      <c r="T1136" s="73"/>
      <c r="U1136" s="73"/>
      <c r="V1136" s="73"/>
      <c r="W1136" s="73"/>
      <c r="X1136" s="73"/>
      <c r="Y1136" s="73"/>
      <c r="Z1136" s="73"/>
      <c r="AA1136" s="73"/>
      <c r="AB1136" s="73"/>
      <c r="AC1136" s="73"/>
      <c r="AD1136" s="73"/>
      <c r="AE1136" s="73"/>
      <c r="AF1136" s="73"/>
    </row>
    <row r="1137" spans="1:32" ht="10.199999999999999">
      <c r="A1137" s="73"/>
      <c r="B1137" s="73"/>
      <c r="C1137" s="73"/>
      <c r="D1137" s="73"/>
      <c r="E1137" s="73"/>
      <c r="F1137" s="73"/>
      <c r="G1137" s="73"/>
      <c r="H1137" s="73"/>
      <c r="I1137" s="73"/>
      <c r="J1137" s="73"/>
      <c r="K1137" s="73"/>
      <c r="L1137" s="73"/>
      <c r="M1137" s="73"/>
      <c r="N1137" s="73"/>
      <c r="O1137" s="73"/>
      <c r="P1137" s="73"/>
      <c r="Q1137" s="73"/>
      <c r="R1137" s="73"/>
      <c r="S1137" s="73"/>
      <c r="T1137" s="73"/>
      <c r="U1137" s="73"/>
      <c r="V1137" s="73"/>
      <c r="W1137" s="73"/>
      <c r="X1137" s="73"/>
      <c r="Y1137" s="73"/>
      <c r="Z1137" s="73"/>
      <c r="AA1137" s="73"/>
      <c r="AB1137" s="73"/>
      <c r="AC1137" s="73"/>
      <c r="AD1137" s="73"/>
      <c r="AE1137" s="73"/>
      <c r="AF1137" s="73"/>
    </row>
    <row r="1138" spans="1:32" ht="10.199999999999999">
      <c r="A1138" s="73"/>
      <c r="B1138" s="73"/>
      <c r="C1138" s="73"/>
      <c r="D1138" s="73"/>
      <c r="E1138" s="73"/>
      <c r="F1138" s="73"/>
      <c r="G1138" s="73"/>
      <c r="H1138" s="73"/>
      <c r="I1138" s="73"/>
      <c r="J1138" s="73"/>
      <c r="K1138" s="73"/>
      <c r="L1138" s="73"/>
      <c r="M1138" s="73"/>
      <c r="N1138" s="73"/>
      <c r="O1138" s="73"/>
      <c r="P1138" s="73"/>
      <c r="Q1138" s="73"/>
      <c r="R1138" s="73"/>
      <c r="S1138" s="73"/>
      <c r="T1138" s="73"/>
      <c r="U1138" s="73"/>
      <c r="V1138" s="73"/>
      <c r="W1138" s="73"/>
      <c r="X1138" s="73"/>
      <c r="Y1138" s="73"/>
      <c r="Z1138" s="73"/>
      <c r="AA1138" s="73"/>
      <c r="AB1138" s="73"/>
      <c r="AC1138" s="73"/>
      <c r="AD1138" s="73"/>
      <c r="AE1138" s="73"/>
      <c r="AF1138" s="73"/>
    </row>
    <row r="1139" spans="1:32" ht="10.199999999999999">
      <c r="A1139" s="73"/>
      <c r="B1139" s="73"/>
      <c r="C1139" s="73"/>
      <c r="D1139" s="73"/>
      <c r="E1139" s="73"/>
      <c r="F1139" s="73"/>
      <c r="G1139" s="73"/>
      <c r="H1139" s="73"/>
      <c r="I1139" s="73"/>
      <c r="J1139" s="73"/>
      <c r="K1139" s="73"/>
      <c r="L1139" s="73"/>
      <c r="M1139" s="73"/>
      <c r="N1139" s="73"/>
      <c r="O1139" s="73"/>
      <c r="P1139" s="73"/>
      <c r="Q1139" s="73"/>
      <c r="R1139" s="73"/>
      <c r="S1139" s="73"/>
      <c r="T1139" s="73"/>
      <c r="U1139" s="73"/>
      <c r="V1139" s="73"/>
      <c r="W1139" s="73"/>
      <c r="X1139" s="73"/>
      <c r="Y1139" s="73"/>
      <c r="Z1139" s="73"/>
      <c r="AA1139" s="73"/>
      <c r="AB1139" s="73"/>
      <c r="AC1139" s="73"/>
      <c r="AD1139" s="73"/>
      <c r="AE1139" s="73"/>
      <c r="AF1139" s="73"/>
    </row>
    <row r="1140" spans="1:32" ht="10.199999999999999">
      <c r="A1140" s="73"/>
      <c r="B1140" s="73"/>
      <c r="C1140" s="73"/>
      <c r="D1140" s="73"/>
      <c r="E1140" s="73"/>
      <c r="F1140" s="73"/>
      <c r="G1140" s="73"/>
      <c r="H1140" s="73"/>
      <c r="I1140" s="73"/>
      <c r="J1140" s="73"/>
      <c r="K1140" s="73"/>
      <c r="L1140" s="73"/>
      <c r="M1140" s="73"/>
      <c r="N1140" s="73"/>
      <c r="O1140" s="73"/>
      <c r="P1140" s="73"/>
      <c r="Q1140" s="73"/>
      <c r="R1140" s="73"/>
      <c r="S1140" s="73"/>
      <c r="T1140" s="73"/>
      <c r="U1140" s="73"/>
      <c r="V1140" s="73"/>
      <c r="W1140" s="73"/>
      <c r="X1140" s="73"/>
      <c r="Y1140" s="73"/>
      <c r="Z1140" s="73"/>
      <c r="AA1140" s="73"/>
      <c r="AB1140" s="73"/>
      <c r="AC1140" s="73"/>
      <c r="AD1140" s="73"/>
      <c r="AE1140" s="73"/>
      <c r="AF1140" s="73"/>
    </row>
    <row r="1141" spans="1:32" ht="10.199999999999999">
      <c r="A1141" s="73"/>
      <c r="B1141" s="73"/>
      <c r="C1141" s="73"/>
      <c r="D1141" s="73"/>
      <c r="E1141" s="73"/>
      <c r="F1141" s="73"/>
      <c r="G1141" s="73"/>
      <c r="H1141" s="73"/>
      <c r="I1141" s="73"/>
      <c r="J1141" s="73"/>
      <c r="K1141" s="73"/>
      <c r="L1141" s="73"/>
      <c r="M1141" s="73"/>
      <c r="N1141" s="73"/>
      <c r="O1141" s="73"/>
      <c r="P1141" s="73"/>
      <c r="Q1141" s="73"/>
      <c r="R1141" s="73"/>
      <c r="S1141" s="73"/>
      <c r="T1141" s="73"/>
      <c r="U1141" s="73"/>
      <c r="V1141" s="73"/>
      <c r="W1141" s="73"/>
      <c r="X1141" s="73"/>
      <c r="Y1141" s="73"/>
      <c r="Z1141" s="73"/>
      <c r="AA1141" s="73"/>
      <c r="AB1141" s="73"/>
      <c r="AC1141" s="73"/>
      <c r="AD1141" s="73"/>
      <c r="AE1141" s="73"/>
      <c r="AF1141" s="73"/>
    </row>
    <row r="1142" spans="1:32" ht="10.199999999999999">
      <c r="A1142" s="73"/>
      <c r="B1142" s="73"/>
      <c r="C1142" s="73"/>
      <c r="D1142" s="73"/>
      <c r="E1142" s="73"/>
      <c r="F1142" s="73"/>
      <c r="G1142" s="73"/>
      <c r="H1142" s="73"/>
      <c r="I1142" s="73"/>
      <c r="J1142" s="73"/>
      <c r="K1142" s="73"/>
      <c r="L1142" s="73"/>
      <c r="M1142" s="73"/>
      <c r="N1142" s="73"/>
      <c r="O1142" s="73"/>
      <c r="P1142" s="73"/>
      <c r="Q1142" s="73"/>
      <c r="R1142" s="73"/>
      <c r="S1142" s="73"/>
      <c r="T1142" s="73"/>
      <c r="U1142" s="73"/>
      <c r="V1142" s="73"/>
      <c r="W1142" s="73"/>
      <c r="X1142" s="73"/>
      <c r="Y1142" s="73"/>
      <c r="Z1142" s="73"/>
      <c r="AA1142" s="73"/>
      <c r="AB1142" s="73"/>
      <c r="AC1142" s="73"/>
      <c r="AD1142" s="73"/>
      <c r="AE1142" s="73"/>
      <c r="AF1142" s="73"/>
    </row>
    <row r="1143" spans="1:32" ht="10.199999999999999">
      <c r="A1143" s="73"/>
      <c r="B1143" s="73"/>
      <c r="C1143" s="73"/>
      <c r="D1143" s="73"/>
      <c r="E1143" s="73"/>
      <c r="F1143" s="73"/>
      <c r="G1143" s="73"/>
      <c r="H1143" s="73"/>
      <c r="I1143" s="73"/>
      <c r="J1143" s="73"/>
      <c r="K1143" s="73"/>
      <c r="L1143" s="73"/>
      <c r="M1143" s="73"/>
      <c r="N1143" s="73"/>
      <c r="O1143" s="73"/>
      <c r="P1143" s="73"/>
      <c r="Q1143" s="73"/>
      <c r="R1143" s="73"/>
      <c r="S1143" s="73"/>
      <c r="T1143" s="73"/>
      <c r="U1143" s="73"/>
      <c r="V1143" s="73"/>
      <c r="W1143" s="73"/>
      <c r="X1143" s="73"/>
      <c r="Y1143" s="73"/>
      <c r="Z1143" s="73"/>
      <c r="AA1143" s="73"/>
      <c r="AB1143" s="73"/>
      <c r="AC1143" s="73"/>
      <c r="AD1143" s="73"/>
      <c r="AE1143" s="73"/>
      <c r="AF1143" s="73"/>
    </row>
    <row r="1144" spans="1:32" ht="10.199999999999999">
      <c r="A1144" s="73"/>
      <c r="B1144" s="73"/>
      <c r="C1144" s="73"/>
      <c r="D1144" s="73"/>
      <c r="E1144" s="73"/>
      <c r="F1144" s="73"/>
      <c r="G1144" s="73"/>
      <c r="H1144" s="73"/>
      <c r="I1144" s="73"/>
      <c r="J1144" s="73"/>
      <c r="K1144" s="73"/>
      <c r="L1144" s="73"/>
      <c r="M1144" s="73"/>
      <c r="N1144" s="73"/>
      <c r="O1144" s="73"/>
      <c r="P1144" s="73"/>
      <c r="Q1144" s="73"/>
      <c r="R1144" s="73"/>
      <c r="S1144" s="73"/>
      <c r="T1144" s="73"/>
      <c r="U1144" s="73"/>
      <c r="V1144" s="73"/>
      <c r="W1144" s="73"/>
      <c r="X1144" s="73"/>
      <c r="Y1144" s="73"/>
      <c r="Z1144" s="73"/>
      <c r="AA1144" s="73"/>
      <c r="AB1144" s="73"/>
      <c r="AC1144" s="73"/>
      <c r="AD1144" s="73"/>
      <c r="AE1144" s="73"/>
      <c r="AF1144" s="73"/>
    </row>
    <row r="1145" spans="1:32" ht="10.199999999999999">
      <c r="A1145" s="73"/>
      <c r="B1145" s="73"/>
      <c r="C1145" s="73"/>
      <c r="D1145" s="73"/>
      <c r="E1145" s="73"/>
      <c r="F1145" s="73"/>
      <c r="G1145" s="73"/>
      <c r="H1145" s="73"/>
      <c r="I1145" s="73"/>
      <c r="J1145" s="73"/>
      <c r="K1145" s="73"/>
      <c r="L1145" s="73"/>
      <c r="M1145" s="73"/>
      <c r="N1145" s="73"/>
      <c r="O1145" s="73"/>
      <c r="P1145" s="73"/>
      <c r="Q1145" s="73"/>
      <c r="R1145" s="73"/>
      <c r="S1145" s="73"/>
      <c r="T1145" s="73"/>
      <c r="U1145" s="73"/>
      <c r="V1145" s="73"/>
      <c r="W1145" s="73"/>
      <c r="X1145" s="73"/>
      <c r="Y1145" s="73"/>
      <c r="Z1145" s="73"/>
      <c r="AA1145" s="73"/>
      <c r="AB1145" s="73"/>
      <c r="AC1145" s="73"/>
      <c r="AD1145" s="73"/>
      <c r="AE1145" s="73"/>
      <c r="AF1145" s="73"/>
    </row>
    <row r="1146" spans="1:32" ht="10.199999999999999">
      <c r="A1146" s="73"/>
      <c r="B1146" s="73"/>
      <c r="C1146" s="73"/>
      <c r="D1146" s="73"/>
      <c r="E1146" s="73"/>
      <c r="F1146" s="73"/>
      <c r="G1146" s="73"/>
      <c r="H1146" s="73"/>
      <c r="I1146" s="73"/>
      <c r="J1146" s="73"/>
      <c r="K1146" s="73"/>
      <c r="L1146" s="73"/>
      <c r="M1146" s="73"/>
      <c r="N1146" s="73"/>
      <c r="O1146" s="73"/>
      <c r="P1146" s="73"/>
      <c r="Q1146" s="73"/>
      <c r="R1146" s="73"/>
      <c r="S1146" s="73"/>
      <c r="T1146" s="73"/>
      <c r="U1146" s="73"/>
      <c r="V1146" s="73"/>
      <c r="W1146" s="73"/>
      <c r="X1146" s="73"/>
      <c r="Y1146" s="73"/>
      <c r="Z1146" s="73"/>
      <c r="AA1146" s="73"/>
      <c r="AB1146" s="73"/>
      <c r="AC1146" s="73"/>
      <c r="AD1146" s="73"/>
      <c r="AE1146" s="73"/>
      <c r="AF1146" s="73"/>
    </row>
    <row r="1147" spans="1:32" ht="10.199999999999999">
      <c r="A1147" s="73"/>
      <c r="B1147" s="73"/>
      <c r="C1147" s="73"/>
      <c r="D1147" s="73"/>
      <c r="E1147" s="73"/>
      <c r="F1147" s="73"/>
      <c r="G1147" s="73"/>
      <c r="H1147" s="73"/>
      <c r="I1147" s="73"/>
      <c r="J1147" s="73"/>
      <c r="K1147" s="73"/>
      <c r="L1147" s="73"/>
      <c r="M1147" s="73"/>
      <c r="N1147" s="73"/>
      <c r="O1147" s="73"/>
      <c r="P1147" s="73"/>
      <c r="Q1147" s="73"/>
      <c r="R1147" s="73"/>
      <c r="S1147" s="73"/>
      <c r="T1147" s="73"/>
      <c r="U1147" s="73"/>
      <c r="V1147" s="73"/>
      <c r="W1147" s="73"/>
      <c r="X1147" s="73"/>
      <c r="Y1147" s="73"/>
      <c r="Z1147" s="73"/>
      <c r="AA1147" s="73"/>
      <c r="AB1147" s="73"/>
      <c r="AC1147" s="73"/>
      <c r="AD1147" s="73"/>
      <c r="AE1147" s="73"/>
      <c r="AF1147" s="73"/>
    </row>
    <row r="1148" spans="1:32" ht="10.199999999999999">
      <c r="A1148" s="73"/>
      <c r="B1148" s="73"/>
      <c r="C1148" s="73"/>
      <c r="D1148" s="73"/>
      <c r="E1148" s="73"/>
      <c r="F1148" s="73"/>
      <c r="G1148" s="73"/>
      <c r="H1148" s="73"/>
      <c r="I1148" s="73"/>
      <c r="J1148" s="73"/>
      <c r="K1148" s="73"/>
      <c r="L1148" s="73"/>
      <c r="M1148" s="73"/>
      <c r="N1148" s="73"/>
      <c r="O1148" s="73"/>
      <c r="P1148" s="73"/>
      <c r="Q1148" s="73"/>
      <c r="R1148" s="73"/>
      <c r="S1148" s="73"/>
      <c r="T1148" s="73"/>
      <c r="U1148" s="73"/>
      <c r="V1148" s="73"/>
      <c r="W1148" s="73"/>
      <c r="X1148" s="73"/>
      <c r="Y1148" s="73"/>
      <c r="Z1148" s="73"/>
      <c r="AA1148" s="73"/>
      <c r="AB1148" s="73"/>
      <c r="AC1148" s="73"/>
      <c r="AD1148" s="73"/>
      <c r="AE1148" s="73"/>
      <c r="AF1148" s="73"/>
    </row>
    <row r="1149" spans="1:32" ht="10.199999999999999">
      <c r="A1149" s="73"/>
      <c r="B1149" s="73"/>
      <c r="C1149" s="73"/>
      <c r="D1149" s="73"/>
      <c r="E1149" s="73"/>
      <c r="F1149" s="73"/>
      <c r="G1149" s="73"/>
      <c r="H1149" s="73"/>
      <c r="I1149" s="73"/>
      <c r="J1149" s="73"/>
      <c r="K1149" s="73"/>
      <c r="L1149" s="73"/>
      <c r="M1149" s="73"/>
      <c r="N1149" s="73"/>
      <c r="O1149" s="73"/>
      <c r="P1149" s="73"/>
      <c r="Q1149" s="73"/>
      <c r="R1149" s="73"/>
      <c r="S1149" s="73"/>
      <c r="T1149" s="73"/>
      <c r="U1149" s="73"/>
      <c r="V1149" s="73"/>
      <c r="W1149" s="73"/>
      <c r="X1149" s="73"/>
      <c r="Y1149" s="73"/>
      <c r="Z1149" s="73"/>
      <c r="AA1149" s="73"/>
      <c r="AB1149" s="73"/>
      <c r="AC1149" s="73"/>
      <c r="AD1149" s="73"/>
      <c r="AE1149" s="73"/>
      <c r="AF1149" s="73"/>
    </row>
    <row r="1150" spans="1:32" ht="10.199999999999999">
      <c r="A1150" s="73"/>
      <c r="B1150" s="73"/>
      <c r="C1150" s="73"/>
      <c r="D1150" s="73"/>
      <c r="E1150" s="73"/>
      <c r="F1150" s="73"/>
      <c r="G1150" s="73"/>
      <c r="H1150" s="73"/>
      <c r="I1150" s="73"/>
      <c r="J1150" s="73"/>
      <c r="K1150" s="73"/>
      <c r="L1150" s="73"/>
      <c r="M1150" s="73"/>
      <c r="N1150" s="73"/>
      <c r="O1150" s="73"/>
      <c r="P1150" s="73"/>
      <c r="Q1150" s="73"/>
      <c r="R1150" s="73"/>
      <c r="S1150" s="73"/>
      <c r="T1150" s="73"/>
      <c r="U1150" s="73"/>
      <c r="V1150" s="73"/>
      <c r="W1150" s="73"/>
      <c r="X1150" s="73"/>
      <c r="Y1150" s="73"/>
      <c r="Z1150" s="73"/>
      <c r="AA1150" s="73"/>
      <c r="AB1150" s="73"/>
      <c r="AC1150" s="73"/>
      <c r="AD1150" s="73"/>
      <c r="AE1150" s="73"/>
      <c r="AF1150" s="73"/>
    </row>
    <row r="1151" spans="1:32" ht="10.199999999999999">
      <c r="A1151" s="73"/>
      <c r="B1151" s="73"/>
      <c r="C1151" s="73"/>
      <c r="D1151" s="73"/>
      <c r="E1151" s="73"/>
      <c r="F1151" s="73"/>
      <c r="G1151" s="73"/>
      <c r="H1151" s="73"/>
      <c r="I1151" s="73"/>
      <c r="J1151" s="73"/>
      <c r="K1151" s="73"/>
      <c r="L1151" s="73"/>
      <c r="M1151" s="73"/>
      <c r="N1151" s="73"/>
      <c r="O1151" s="73"/>
      <c r="P1151" s="73"/>
      <c r="Q1151" s="73"/>
      <c r="R1151" s="73"/>
      <c r="S1151" s="73"/>
      <c r="T1151" s="73"/>
      <c r="U1151" s="73"/>
      <c r="V1151" s="73"/>
      <c r="W1151" s="73"/>
      <c r="X1151" s="73"/>
      <c r="Y1151" s="73"/>
      <c r="Z1151" s="73"/>
      <c r="AA1151" s="73"/>
      <c r="AB1151" s="73"/>
      <c r="AC1151" s="73"/>
      <c r="AD1151" s="73"/>
      <c r="AE1151" s="73"/>
      <c r="AF1151" s="73"/>
    </row>
    <row r="1152" spans="1:32" ht="10.199999999999999">
      <c r="A1152" s="73"/>
      <c r="B1152" s="73"/>
      <c r="C1152" s="73"/>
      <c r="D1152" s="73"/>
      <c r="E1152" s="73"/>
      <c r="F1152" s="73"/>
      <c r="G1152" s="73"/>
      <c r="H1152" s="73"/>
      <c r="I1152" s="73"/>
      <c r="J1152" s="73"/>
      <c r="K1152" s="73"/>
      <c r="L1152" s="73"/>
      <c r="M1152" s="73"/>
      <c r="N1152" s="73"/>
      <c r="O1152" s="73"/>
      <c r="P1152" s="73"/>
      <c r="Q1152" s="73"/>
      <c r="R1152" s="73"/>
      <c r="S1152" s="73"/>
      <c r="T1152" s="73"/>
      <c r="U1152" s="73"/>
      <c r="V1152" s="73"/>
      <c r="W1152" s="73"/>
      <c r="X1152" s="73"/>
      <c r="Y1152" s="73"/>
      <c r="Z1152" s="73"/>
      <c r="AA1152" s="73"/>
      <c r="AB1152" s="73"/>
      <c r="AC1152" s="73"/>
      <c r="AD1152" s="73"/>
      <c r="AE1152" s="73"/>
      <c r="AF1152" s="73"/>
    </row>
    <row r="1153" spans="1:32" ht="10.199999999999999">
      <c r="A1153" s="73"/>
      <c r="B1153" s="73"/>
      <c r="C1153" s="73"/>
      <c r="D1153" s="73"/>
      <c r="E1153" s="73"/>
      <c r="F1153" s="73"/>
      <c r="G1153" s="73"/>
      <c r="H1153" s="73"/>
      <c r="I1153" s="73"/>
      <c r="J1153" s="73"/>
      <c r="K1153" s="73"/>
      <c r="L1153" s="73"/>
      <c r="M1153" s="73"/>
      <c r="N1153" s="73"/>
      <c r="O1153" s="73"/>
      <c r="P1153" s="73"/>
      <c r="Q1153" s="73"/>
      <c r="R1153" s="73"/>
      <c r="S1153" s="73"/>
      <c r="T1153" s="73"/>
      <c r="U1153" s="73"/>
      <c r="V1153" s="73"/>
      <c r="W1153" s="73"/>
      <c r="X1153" s="73"/>
      <c r="Y1153" s="73"/>
      <c r="Z1153" s="73"/>
      <c r="AA1153" s="73"/>
      <c r="AB1153" s="73"/>
      <c r="AC1153" s="73"/>
      <c r="AD1153" s="73"/>
      <c r="AE1153" s="73"/>
      <c r="AF1153" s="73"/>
    </row>
    <row r="1154" spans="1:32" ht="10.199999999999999">
      <c r="A1154" s="73"/>
      <c r="B1154" s="73"/>
      <c r="C1154" s="73"/>
      <c r="D1154" s="73"/>
      <c r="E1154" s="73"/>
      <c r="F1154" s="73"/>
      <c r="G1154" s="73"/>
      <c r="H1154" s="73"/>
      <c r="I1154" s="73"/>
      <c r="J1154" s="73"/>
      <c r="K1154" s="73"/>
      <c r="L1154" s="73"/>
      <c r="M1154" s="73"/>
      <c r="N1154" s="73"/>
      <c r="O1154" s="73"/>
      <c r="P1154" s="73"/>
      <c r="Q1154" s="73"/>
      <c r="R1154" s="73"/>
      <c r="S1154" s="73"/>
      <c r="T1154" s="73"/>
      <c r="U1154" s="73"/>
      <c r="V1154" s="73"/>
      <c r="W1154" s="73"/>
      <c r="X1154" s="73"/>
      <c r="Y1154" s="73"/>
      <c r="Z1154" s="73"/>
      <c r="AA1154" s="73"/>
      <c r="AB1154" s="73"/>
      <c r="AC1154" s="73"/>
      <c r="AD1154" s="73"/>
      <c r="AE1154" s="73"/>
      <c r="AF1154" s="73"/>
    </row>
    <row r="1155" spans="1:32" ht="10.199999999999999">
      <c r="A1155" s="73"/>
      <c r="B1155" s="73"/>
      <c r="C1155" s="73"/>
      <c r="D1155" s="73"/>
      <c r="E1155" s="73"/>
      <c r="F1155" s="73"/>
      <c r="G1155" s="73"/>
      <c r="H1155" s="73"/>
      <c r="I1155" s="73"/>
      <c r="J1155" s="73"/>
      <c r="K1155" s="73"/>
      <c r="L1155" s="73"/>
      <c r="M1155" s="73"/>
      <c r="N1155" s="73"/>
      <c r="O1155" s="73"/>
      <c r="P1155" s="73"/>
      <c r="Q1155" s="73"/>
      <c r="R1155" s="73"/>
      <c r="S1155" s="73"/>
      <c r="T1155" s="73"/>
      <c r="U1155" s="73"/>
      <c r="V1155" s="73"/>
      <c r="W1155" s="73"/>
      <c r="X1155" s="73"/>
      <c r="Y1155" s="73"/>
      <c r="Z1155" s="73"/>
      <c r="AA1155" s="73"/>
      <c r="AB1155" s="73"/>
      <c r="AC1155" s="73"/>
      <c r="AD1155" s="73"/>
      <c r="AE1155" s="73"/>
      <c r="AF1155" s="73"/>
    </row>
    <row r="1156" spans="1:32" ht="10.199999999999999">
      <c r="A1156" s="73"/>
      <c r="B1156" s="73"/>
      <c r="C1156" s="73"/>
      <c r="D1156" s="73"/>
      <c r="E1156" s="73"/>
      <c r="F1156" s="73"/>
      <c r="G1156" s="73"/>
      <c r="H1156" s="73"/>
      <c r="I1156" s="73"/>
      <c r="J1156" s="73"/>
      <c r="K1156" s="73"/>
      <c r="L1156" s="73"/>
      <c r="M1156" s="73"/>
      <c r="N1156" s="73"/>
      <c r="O1156" s="73"/>
      <c r="P1156" s="73"/>
      <c r="Q1156" s="73"/>
      <c r="R1156" s="73"/>
      <c r="S1156" s="73"/>
      <c r="T1156" s="73"/>
      <c r="U1156" s="73"/>
      <c r="V1156" s="73"/>
      <c r="W1156" s="73"/>
      <c r="X1156" s="73"/>
      <c r="Y1156" s="73"/>
      <c r="Z1156" s="73"/>
      <c r="AA1156" s="73"/>
      <c r="AB1156" s="73"/>
      <c r="AC1156" s="73"/>
      <c r="AD1156" s="73"/>
      <c r="AE1156" s="73"/>
      <c r="AF1156" s="73"/>
    </row>
    <row r="1157" spans="1:32" ht="10.199999999999999">
      <c r="A1157" s="73"/>
      <c r="B1157" s="73"/>
      <c r="C1157" s="73"/>
      <c r="D1157" s="73"/>
      <c r="E1157" s="73"/>
      <c r="F1157" s="73"/>
      <c r="G1157" s="73"/>
      <c r="H1157" s="73"/>
      <c r="I1157" s="73"/>
      <c r="J1157" s="73"/>
      <c r="K1157" s="73"/>
      <c r="L1157" s="73"/>
      <c r="M1157" s="73"/>
      <c r="N1157" s="73"/>
      <c r="O1157" s="73"/>
      <c r="P1157" s="73"/>
      <c r="Q1157" s="73"/>
      <c r="R1157" s="73"/>
      <c r="S1157" s="73"/>
      <c r="T1157" s="73"/>
      <c r="U1157" s="73"/>
      <c r="V1157" s="73"/>
      <c r="W1157" s="73"/>
      <c r="X1157" s="73"/>
      <c r="Y1157" s="73"/>
      <c r="Z1157" s="73"/>
      <c r="AA1157" s="73"/>
      <c r="AB1157" s="73"/>
      <c r="AC1157" s="73"/>
      <c r="AD1157" s="73"/>
      <c r="AE1157" s="73"/>
      <c r="AF1157" s="73"/>
    </row>
    <row r="1158" spans="1:32" ht="10.199999999999999">
      <c r="A1158" s="73"/>
      <c r="B1158" s="73"/>
      <c r="C1158" s="73"/>
      <c r="D1158" s="73"/>
      <c r="E1158" s="73"/>
      <c r="F1158" s="73"/>
      <c r="G1158" s="73"/>
      <c r="H1158" s="73"/>
      <c r="I1158" s="73"/>
      <c r="J1158" s="73"/>
      <c r="K1158" s="73"/>
      <c r="L1158" s="73"/>
      <c r="M1158" s="73"/>
      <c r="N1158" s="73"/>
      <c r="O1158" s="73"/>
      <c r="P1158" s="73"/>
      <c r="Q1158" s="73"/>
      <c r="R1158" s="73"/>
      <c r="S1158" s="73"/>
      <c r="T1158" s="73"/>
      <c r="U1158" s="73"/>
      <c r="V1158" s="73"/>
      <c r="W1158" s="73"/>
      <c r="X1158" s="73"/>
      <c r="Y1158" s="73"/>
      <c r="Z1158" s="73"/>
      <c r="AA1158" s="73"/>
      <c r="AB1158" s="73"/>
      <c r="AC1158" s="73"/>
      <c r="AD1158" s="73"/>
      <c r="AE1158" s="73"/>
      <c r="AF1158" s="73"/>
    </row>
    <row r="1159" spans="1:32" ht="10.199999999999999">
      <c r="A1159" s="73"/>
      <c r="B1159" s="73"/>
      <c r="C1159" s="73"/>
      <c r="D1159" s="73"/>
      <c r="E1159" s="73"/>
      <c r="F1159" s="73"/>
      <c r="G1159" s="73"/>
      <c r="H1159" s="73"/>
      <c r="I1159" s="73"/>
      <c r="J1159" s="73"/>
      <c r="K1159" s="73"/>
      <c r="L1159" s="73"/>
      <c r="M1159" s="73"/>
      <c r="N1159" s="73"/>
      <c r="O1159" s="73"/>
      <c r="P1159" s="73"/>
      <c r="Q1159" s="73"/>
      <c r="R1159" s="73"/>
      <c r="S1159" s="73"/>
      <c r="T1159" s="73"/>
      <c r="U1159" s="73"/>
      <c r="V1159" s="73"/>
      <c r="W1159" s="73"/>
      <c r="X1159" s="73"/>
      <c r="Y1159" s="73"/>
      <c r="Z1159" s="73"/>
      <c r="AA1159" s="73"/>
      <c r="AB1159" s="73"/>
      <c r="AC1159" s="73"/>
      <c r="AD1159" s="73"/>
      <c r="AE1159" s="73"/>
      <c r="AF1159" s="73"/>
    </row>
    <row r="1160" spans="1:32" ht="10.199999999999999">
      <c r="A1160" s="73"/>
      <c r="B1160" s="73"/>
      <c r="C1160" s="73"/>
      <c r="D1160" s="73"/>
      <c r="E1160" s="73"/>
      <c r="F1160" s="73"/>
      <c r="G1160" s="73"/>
      <c r="H1160" s="73"/>
      <c r="I1160" s="73"/>
      <c r="J1160" s="73"/>
      <c r="K1160" s="73"/>
      <c r="L1160" s="73"/>
      <c r="M1160" s="73"/>
      <c r="N1160" s="73"/>
      <c r="O1160" s="73"/>
      <c r="P1160" s="73"/>
      <c r="Q1160" s="73"/>
      <c r="R1160" s="73"/>
      <c r="S1160" s="73"/>
      <c r="T1160" s="73"/>
      <c r="U1160" s="73"/>
      <c r="V1160" s="73"/>
      <c r="W1160" s="73"/>
      <c r="X1160" s="73"/>
      <c r="Y1160" s="73"/>
      <c r="Z1160" s="73"/>
      <c r="AA1160" s="73"/>
      <c r="AB1160" s="73"/>
      <c r="AC1160" s="73"/>
      <c r="AD1160" s="73"/>
      <c r="AE1160" s="73"/>
      <c r="AF1160" s="73"/>
    </row>
    <row r="1161" spans="1:32" ht="10.199999999999999">
      <c r="A1161" s="73"/>
      <c r="B1161" s="73"/>
      <c r="C1161" s="73"/>
      <c r="D1161" s="73"/>
      <c r="E1161" s="73"/>
      <c r="F1161" s="73"/>
      <c r="G1161" s="73"/>
      <c r="H1161" s="73"/>
      <c r="I1161" s="73"/>
      <c r="J1161" s="73"/>
      <c r="K1161" s="73"/>
      <c r="L1161" s="73"/>
      <c r="M1161" s="73"/>
      <c r="N1161" s="73"/>
      <c r="O1161" s="73"/>
      <c r="P1161" s="73"/>
      <c r="Q1161" s="73"/>
      <c r="R1161" s="73"/>
      <c r="S1161" s="73"/>
      <c r="T1161" s="73"/>
      <c r="U1161" s="73"/>
      <c r="V1161" s="73"/>
      <c r="W1161" s="73"/>
      <c r="X1161" s="73"/>
      <c r="Y1161" s="73"/>
      <c r="Z1161" s="73"/>
      <c r="AA1161" s="73"/>
      <c r="AB1161" s="73"/>
      <c r="AC1161" s="73"/>
      <c r="AD1161" s="73"/>
      <c r="AE1161" s="73"/>
      <c r="AF1161" s="73"/>
    </row>
    <row r="1162" spans="1:32" ht="10.199999999999999">
      <c r="A1162" s="73"/>
      <c r="B1162" s="73"/>
      <c r="C1162" s="73"/>
      <c r="D1162" s="73"/>
      <c r="E1162" s="73"/>
      <c r="F1162" s="73"/>
      <c r="G1162" s="73"/>
      <c r="H1162" s="73"/>
      <c r="I1162" s="73"/>
      <c r="J1162" s="73"/>
      <c r="K1162" s="73"/>
      <c r="L1162" s="73"/>
      <c r="M1162" s="73"/>
      <c r="N1162" s="73"/>
      <c r="O1162" s="73"/>
      <c r="P1162" s="73"/>
      <c r="Q1162" s="73"/>
      <c r="R1162" s="73"/>
      <c r="S1162" s="73"/>
      <c r="T1162" s="73"/>
      <c r="U1162" s="73"/>
      <c r="V1162" s="73"/>
      <c r="W1162" s="73"/>
      <c r="X1162" s="73"/>
      <c r="Y1162" s="73"/>
      <c r="Z1162" s="73"/>
      <c r="AA1162" s="73"/>
      <c r="AB1162" s="73"/>
      <c r="AC1162" s="73"/>
      <c r="AD1162" s="73"/>
      <c r="AE1162" s="73"/>
      <c r="AF1162" s="73"/>
    </row>
    <row r="1163" spans="1:32" ht="10.199999999999999">
      <c r="A1163" s="73"/>
      <c r="B1163" s="73"/>
      <c r="C1163" s="73"/>
      <c r="D1163" s="73"/>
      <c r="E1163" s="73"/>
      <c r="F1163" s="73"/>
      <c r="G1163" s="73"/>
      <c r="H1163" s="73"/>
      <c r="I1163" s="73"/>
      <c r="J1163" s="73"/>
      <c r="K1163" s="73"/>
      <c r="L1163" s="73"/>
      <c r="M1163" s="73"/>
      <c r="N1163" s="73"/>
      <c r="O1163" s="73"/>
      <c r="P1163" s="73"/>
      <c r="Q1163" s="73"/>
      <c r="R1163" s="73"/>
      <c r="S1163" s="73"/>
      <c r="T1163" s="73"/>
      <c r="U1163" s="73"/>
      <c r="V1163" s="73"/>
      <c r="W1163" s="73"/>
      <c r="X1163" s="73"/>
      <c r="Y1163" s="73"/>
      <c r="Z1163" s="73"/>
      <c r="AA1163" s="73"/>
      <c r="AB1163" s="73"/>
      <c r="AC1163" s="73"/>
      <c r="AD1163" s="73"/>
      <c r="AE1163" s="73"/>
      <c r="AF1163" s="73"/>
    </row>
    <row r="1164" spans="1:32" ht="10.199999999999999">
      <c r="A1164" s="73"/>
      <c r="B1164" s="73"/>
      <c r="C1164" s="73"/>
      <c r="D1164" s="73"/>
      <c r="E1164" s="73"/>
      <c r="F1164" s="73"/>
      <c r="G1164" s="73"/>
      <c r="H1164" s="73"/>
      <c r="I1164" s="73"/>
      <c r="J1164" s="73"/>
      <c r="K1164" s="73"/>
      <c r="L1164" s="73"/>
      <c r="M1164" s="73"/>
      <c r="N1164" s="73"/>
      <c r="O1164" s="73"/>
      <c r="P1164" s="73"/>
      <c r="Q1164" s="73"/>
      <c r="R1164" s="73"/>
      <c r="S1164" s="73"/>
      <c r="T1164" s="73"/>
      <c r="U1164" s="73"/>
      <c r="V1164" s="73"/>
      <c r="W1164" s="73"/>
      <c r="X1164" s="73"/>
      <c r="Y1164" s="73"/>
      <c r="Z1164" s="73"/>
      <c r="AA1164" s="73"/>
      <c r="AB1164" s="73"/>
      <c r="AC1164" s="73"/>
      <c r="AD1164" s="73"/>
      <c r="AE1164" s="73"/>
      <c r="AF1164" s="73"/>
    </row>
    <row r="1165" spans="1:32" ht="10.199999999999999">
      <c r="A1165" s="73"/>
      <c r="B1165" s="73"/>
      <c r="C1165" s="73"/>
      <c r="D1165" s="73"/>
      <c r="E1165" s="73"/>
      <c r="F1165" s="73"/>
      <c r="G1165" s="73"/>
      <c r="H1165" s="73"/>
      <c r="I1165" s="73"/>
      <c r="J1165" s="73"/>
      <c r="K1165" s="73"/>
      <c r="L1165" s="73"/>
      <c r="M1165" s="73"/>
      <c r="N1165" s="73"/>
      <c r="O1165" s="73"/>
      <c r="P1165" s="73"/>
      <c r="Q1165" s="73"/>
      <c r="R1165" s="73"/>
      <c r="S1165" s="73"/>
      <c r="T1165" s="73"/>
      <c r="U1165" s="73"/>
      <c r="V1165" s="73"/>
      <c r="W1165" s="73"/>
      <c r="X1165" s="73"/>
      <c r="Y1165" s="73"/>
      <c r="Z1165" s="73"/>
      <c r="AA1165" s="73"/>
      <c r="AB1165" s="73"/>
      <c r="AC1165" s="73"/>
      <c r="AD1165" s="73"/>
      <c r="AE1165" s="73"/>
      <c r="AF1165" s="73"/>
    </row>
    <row r="1166" spans="1:32" ht="10.199999999999999">
      <c r="A1166" s="73"/>
      <c r="B1166" s="73"/>
      <c r="C1166" s="73"/>
      <c r="D1166" s="73"/>
      <c r="E1166" s="73"/>
      <c r="F1166" s="73"/>
      <c r="G1166" s="73"/>
      <c r="H1166" s="73"/>
      <c r="I1166" s="73"/>
      <c r="J1166" s="73"/>
      <c r="K1166" s="73"/>
      <c r="L1166" s="73"/>
      <c r="M1166" s="73"/>
      <c r="N1166" s="73"/>
      <c r="O1166" s="73"/>
      <c r="P1166" s="73"/>
      <c r="Q1166" s="73"/>
      <c r="R1166" s="73"/>
      <c r="S1166" s="73"/>
      <c r="T1166" s="73"/>
      <c r="U1166" s="73"/>
      <c r="V1166" s="73"/>
      <c r="W1166" s="73"/>
      <c r="X1166" s="73"/>
      <c r="Y1166" s="73"/>
      <c r="Z1166" s="73"/>
      <c r="AA1166" s="73"/>
      <c r="AB1166" s="73"/>
      <c r="AC1166" s="73"/>
      <c r="AD1166" s="73"/>
      <c r="AE1166" s="73"/>
      <c r="AF1166" s="73"/>
    </row>
    <row r="1167" spans="1:32" ht="10.199999999999999">
      <c r="A1167" s="73"/>
      <c r="B1167" s="73"/>
      <c r="C1167" s="73"/>
      <c r="D1167" s="73"/>
      <c r="E1167" s="73"/>
      <c r="F1167" s="73"/>
      <c r="G1167" s="73"/>
      <c r="H1167" s="73"/>
      <c r="I1167" s="73"/>
      <c r="J1167" s="73"/>
      <c r="K1167" s="73"/>
      <c r="L1167" s="73"/>
      <c r="M1167" s="73"/>
      <c r="N1167" s="73"/>
      <c r="O1167" s="73"/>
      <c r="P1167" s="73"/>
      <c r="Q1167" s="73"/>
      <c r="R1167" s="73"/>
      <c r="S1167" s="73"/>
      <c r="T1167" s="73"/>
      <c r="U1167" s="73"/>
      <c r="V1167" s="73"/>
      <c r="W1167" s="73"/>
      <c r="X1167" s="73"/>
      <c r="Y1167" s="73"/>
      <c r="Z1167" s="73"/>
      <c r="AA1167" s="73"/>
      <c r="AB1167" s="73"/>
      <c r="AC1167" s="73"/>
      <c r="AD1167" s="73"/>
      <c r="AE1167" s="73"/>
      <c r="AF1167" s="73"/>
    </row>
    <row r="1168" spans="1:32" ht="10.199999999999999">
      <c r="A1168" s="73"/>
      <c r="B1168" s="73"/>
      <c r="C1168" s="73"/>
      <c r="D1168" s="73"/>
      <c r="E1168" s="73"/>
      <c r="F1168" s="73"/>
      <c r="G1168" s="73"/>
      <c r="H1168" s="73"/>
      <c r="I1168" s="73"/>
      <c r="J1168" s="73"/>
      <c r="K1168" s="73"/>
      <c r="L1168" s="73"/>
      <c r="M1168" s="73"/>
      <c r="N1168" s="73"/>
      <c r="O1168" s="73"/>
      <c r="P1168" s="73"/>
      <c r="Q1168" s="73"/>
      <c r="R1168" s="73"/>
      <c r="S1168" s="73"/>
      <c r="T1168" s="73"/>
      <c r="U1168" s="73"/>
      <c r="V1168" s="73"/>
      <c r="W1168" s="73"/>
      <c r="X1168" s="73"/>
      <c r="Y1168" s="73"/>
      <c r="Z1168" s="73"/>
      <c r="AA1168" s="73"/>
      <c r="AB1168" s="73"/>
      <c r="AC1168" s="73"/>
      <c r="AD1168" s="73"/>
      <c r="AE1168" s="73"/>
      <c r="AF1168" s="73"/>
    </row>
    <row r="1169" spans="1:32" ht="10.199999999999999">
      <c r="A1169" s="73"/>
      <c r="B1169" s="73"/>
      <c r="C1169" s="73"/>
      <c r="D1169" s="73"/>
      <c r="E1169" s="73"/>
      <c r="F1169" s="73"/>
      <c r="G1169" s="73"/>
      <c r="H1169" s="73"/>
      <c r="I1169" s="73"/>
      <c r="J1169" s="73"/>
      <c r="K1169" s="73"/>
      <c r="L1169" s="73"/>
      <c r="M1169" s="73"/>
      <c r="N1169" s="73"/>
      <c r="O1169" s="73"/>
      <c r="P1169" s="73"/>
      <c r="Q1169" s="73"/>
      <c r="R1169" s="73"/>
      <c r="S1169" s="73"/>
      <c r="T1169" s="73"/>
      <c r="U1169" s="73"/>
      <c r="V1169" s="73"/>
      <c r="W1169" s="73"/>
      <c r="X1169" s="73"/>
      <c r="Y1169" s="73"/>
      <c r="Z1169" s="73"/>
      <c r="AA1169" s="73"/>
      <c r="AB1169" s="73"/>
      <c r="AC1169" s="73"/>
      <c r="AD1169" s="73"/>
      <c r="AE1169" s="73"/>
      <c r="AF1169" s="73"/>
    </row>
    <row r="1170" spans="1:32" ht="10.199999999999999">
      <c r="A1170" s="73"/>
      <c r="B1170" s="73"/>
      <c r="C1170" s="73"/>
      <c r="D1170" s="73"/>
      <c r="E1170" s="73"/>
      <c r="F1170" s="73"/>
      <c r="G1170" s="73"/>
      <c r="H1170" s="73"/>
      <c r="I1170" s="73"/>
      <c r="J1170" s="73"/>
      <c r="K1170" s="73"/>
      <c r="L1170" s="73"/>
      <c r="M1170" s="73"/>
      <c r="N1170" s="73"/>
      <c r="O1170" s="73"/>
      <c r="P1170" s="73"/>
      <c r="Q1170" s="73"/>
      <c r="R1170" s="73"/>
      <c r="S1170" s="73"/>
      <c r="T1170" s="73"/>
      <c r="U1170" s="73"/>
      <c r="V1170" s="73"/>
      <c r="W1170" s="73"/>
      <c r="X1170" s="73"/>
      <c r="Y1170" s="73"/>
      <c r="Z1170" s="73"/>
      <c r="AA1170" s="73"/>
      <c r="AB1170" s="73"/>
      <c r="AC1170" s="73"/>
      <c r="AD1170" s="73"/>
      <c r="AE1170" s="73"/>
      <c r="AF1170" s="73"/>
    </row>
    <row r="1171" spans="1:32" ht="10.199999999999999">
      <c r="A1171" s="73"/>
      <c r="B1171" s="73"/>
      <c r="C1171" s="73"/>
      <c r="D1171" s="73"/>
      <c r="E1171" s="73"/>
      <c r="F1171" s="73"/>
      <c r="G1171" s="73"/>
      <c r="H1171" s="73"/>
      <c r="I1171" s="73"/>
      <c r="J1171" s="73"/>
      <c r="K1171" s="73"/>
      <c r="L1171" s="73"/>
      <c r="M1171" s="73"/>
      <c r="N1171" s="73"/>
      <c r="O1171" s="73"/>
      <c r="P1171" s="73"/>
      <c r="Q1171" s="73"/>
      <c r="R1171" s="73"/>
      <c r="S1171" s="73"/>
      <c r="T1171" s="73"/>
      <c r="U1171" s="73"/>
      <c r="V1171" s="73"/>
      <c r="W1171" s="73"/>
      <c r="X1171" s="73"/>
      <c r="Y1171" s="73"/>
      <c r="Z1171" s="73"/>
      <c r="AA1171" s="73"/>
      <c r="AB1171" s="73"/>
      <c r="AC1171" s="73"/>
      <c r="AD1171" s="73"/>
      <c r="AE1171" s="73"/>
      <c r="AF1171" s="73"/>
    </row>
    <row r="1172" spans="1:32" ht="10.199999999999999">
      <c r="A1172" s="73"/>
      <c r="B1172" s="73"/>
      <c r="C1172" s="73"/>
      <c r="D1172" s="73"/>
      <c r="E1172" s="73"/>
      <c r="F1172" s="73"/>
      <c r="G1172" s="73"/>
      <c r="H1172" s="73"/>
      <c r="I1172" s="73"/>
      <c r="J1172" s="73"/>
      <c r="K1172" s="73"/>
      <c r="L1172" s="73"/>
      <c r="M1172" s="73"/>
      <c r="N1172" s="73"/>
      <c r="O1172" s="73"/>
      <c r="P1172" s="73"/>
      <c r="Q1172" s="73"/>
      <c r="R1172" s="73"/>
      <c r="S1172" s="73"/>
      <c r="T1172" s="73"/>
      <c r="U1172" s="73"/>
      <c r="V1172" s="73"/>
      <c r="W1172" s="73"/>
      <c r="X1172" s="73"/>
      <c r="Y1172" s="73"/>
      <c r="Z1172" s="73"/>
      <c r="AA1172" s="73"/>
      <c r="AB1172" s="73"/>
      <c r="AC1172" s="73"/>
      <c r="AD1172" s="73"/>
      <c r="AE1172" s="73"/>
      <c r="AF1172" s="73"/>
    </row>
    <row r="1173" spans="1:32" ht="10.199999999999999">
      <c r="A1173" s="73"/>
      <c r="B1173" s="73"/>
      <c r="C1173" s="73"/>
      <c r="D1173" s="73"/>
      <c r="E1173" s="73"/>
      <c r="F1173" s="73"/>
      <c r="G1173" s="73"/>
      <c r="H1173" s="73"/>
      <c r="I1173" s="73"/>
      <c r="J1173" s="73"/>
      <c r="K1173" s="73"/>
      <c r="L1173" s="73"/>
      <c r="M1173" s="73"/>
      <c r="N1173" s="73"/>
      <c r="O1173" s="73"/>
      <c r="P1173" s="73"/>
      <c r="Q1173" s="73"/>
      <c r="R1173" s="73"/>
      <c r="S1173" s="73"/>
      <c r="T1173" s="73"/>
      <c r="U1173" s="73"/>
      <c r="V1173" s="73"/>
      <c r="W1173" s="73"/>
      <c r="X1173" s="73"/>
      <c r="Y1173" s="73"/>
      <c r="Z1173" s="73"/>
      <c r="AA1173" s="73"/>
      <c r="AB1173" s="73"/>
      <c r="AC1173" s="73"/>
      <c r="AD1173" s="73"/>
      <c r="AE1173" s="73"/>
      <c r="AF1173" s="73"/>
    </row>
    <row r="1174" spans="1:32" ht="10.199999999999999">
      <c r="A1174" s="73"/>
      <c r="B1174" s="73"/>
      <c r="C1174" s="73"/>
      <c r="D1174" s="73"/>
      <c r="E1174" s="73"/>
      <c r="F1174" s="73"/>
      <c r="G1174" s="73"/>
      <c r="H1174" s="73"/>
      <c r="I1174" s="73"/>
      <c r="J1174" s="73"/>
      <c r="K1174" s="73"/>
      <c r="L1174" s="73"/>
      <c r="M1174" s="73"/>
      <c r="N1174" s="73"/>
      <c r="O1174" s="73"/>
      <c r="P1174" s="73"/>
      <c r="Q1174" s="73"/>
      <c r="R1174" s="73"/>
      <c r="S1174" s="73"/>
      <c r="T1174" s="73"/>
      <c r="U1174" s="73"/>
      <c r="V1174" s="73"/>
      <c r="W1174" s="73"/>
      <c r="X1174" s="73"/>
      <c r="Y1174" s="73"/>
      <c r="Z1174" s="73"/>
      <c r="AA1174" s="73"/>
      <c r="AB1174" s="73"/>
      <c r="AC1174" s="73"/>
      <c r="AD1174" s="73"/>
      <c r="AE1174" s="73"/>
      <c r="AF1174" s="73"/>
    </row>
    <row r="1175" spans="1:32" ht="10.199999999999999">
      <c r="A1175" s="73"/>
      <c r="B1175" s="73"/>
      <c r="C1175" s="73"/>
      <c r="D1175" s="73"/>
      <c r="E1175" s="73"/>
      <c r="F1175" s="73"/>
      <c r="G1175" s="73"/>
      <c r="H1175" s="73"/>
      <c r="I1175" s="73"/>
      <c r="J1175" s="73"/>
      <c r="K1175" s="73"/>
      <c r="L1175" s="73"/>
      <c r="M1175" s="73"/>
      <c r="N1175" s="73"/>
      <c r="O1175" s="73"/>
      <c r="P1175" s="73"/>
      <c r="Q1175" s="73"/>
      <c r="R1175" s="73"/>
      <c r="S1175" s="73"/>
      <c r="T1175" s="73"/>
      <c r="U1175" s="73"/>
      <c r="V1175" s="73"/>
      <c r="W1175" s="73"/>
      <c r="X1175" s="73"/>
      <c r="Y1175" s="73"/>
      <c r="Z1175" s="73"/>
      <c r="AA1175" s="73"/>
      <c r="AB1175" s="73"/>
      <c r="AC1175" s="73"/>
      <c r="AD1175" s="73"/>
      <c r="AE1175" s="73"/>
      <c r="AF1175" s="73"/>
    </row>
    <row r="1176" spans="1:32" ht="10.199999999999999">
      <c r="A1176" s="73"/>
      <c r="B1176" s="73"/>
      <c r="C1176" s="73"/>
      <c r="D1176" s="73"/>
      <c r="E1176" s="73"/>
      <c r="F1176" s="73"/>
      <c r="G1176" s="73"/>
      <c r="H1176" s="73"/>
      <c r="I1176" s="73"/>
      <c r="J1176" s="73"/>
      <c r="K1176" s="73"/>
      <c r="L1176" s="73"/>
      <c r="M1176" s="73"/>
      <c r="N1176" s="73"/>
      <c r="O1176" s="73"/>
      <c r="P1176" s="73"/>
      <c r="Q1176" s="73"/>
      <c r="R1176" s="73"/>
      <c r="S1176" s="73"/>
      <c r="T1176" s="73"/>
      <c r="U1176" s="73"/>
      <c r="V1176" s="73"/>
      <c r="W1176" s="73"/>
      <c r="X1176" s="73"/>
      <c r="Y1176" s="73"/>
      <c r="Z1176" s="73"/>
      <c r="AA1176" s="73"/>
      <c r="AB1176" s="73"/>
      <c r="AC1176" s="73"/>
      <c r="AD1176" s="73"/>
      <c r="AE1176" s="73"/>
      <c r="AF1176" s="73"/>
    </row>
    <row r="1177" spans="1:32" ht="10.199999999999999">
      <c r="A1177" s="73"/>
      <c r="B1177" s="73"/>
      <c r="C1177" s="73"/>
      <c r="D1177" s="73"/>
      <c r="E1177" s="73"/>
      <c r="F1177" s="73"/>
      <c r="G1177" s="73"/>
      <c r="H1177" s="73"/>
      <c r="I1177" s="73"/>
      <c r="J1177" s="73"/>
      <c r="K1177" s="73"/>
      <c r="L1177" s="73"/>
      <c r="M1177" s="73"/>
      <c r="N1177" s="73"/>
      <c r="O1177" s="73"/>
      <c r="P1177" s="73"/>
      <c r="Q1177" s="73"/>
      <c r="R1177" s="73"/>
      <c r="S1177" s="73"/>
      <c r="T1177" s="73"/>
      <c r="U1177" s="73"/>
      <c r="V1177" s="73"/>
      <c r="W1177" s="73"/>
      <c r="X1177" s="73"/>
      <c r="Y1177" s="73"/>
      <c r="Z1177" s="73"/>
      <c r="AA1177" s="73"/>
      <c r="AB1177" s="73"/>
      <c r="AC1177" s="73"/>
      <c r="AD1177" s="73"/>
      <c r="AE1177" s="73"/>
      <c r="AF1177" s="73"/>
    </row>
    <row r="1178" spans="1:32" ht="10.199999999999999">
      <c r="A1178" s="73"/>
      <c r="B1178" s="73"/>
      <c r="C1178" s="73"/>
      <c r="D1178" s="73"/>
      <c r="E1178" s="73"/>
      <c r="F1178" s="73"/>
      <c r="G1178" s="73"/>
      <c r="H1178" s="73"/>
      <c r="I1178" s="73"/>
      <c r="J1178" s="73"/>
      <c r="K1178" s="73"/>
      <c r="L1178" s="73"/>
      <c r="M1178" s="73"/>
      <c r="N1178" s="73"/>
      <c r="O1178" s="73"/>
      <c r="P1178" s="73"/>
      <c r="Q1178" s="73"/>
      <c r="R1178" s="73"/>
      <c r="S1178" s="73"/>
      <c r="T1178" s="73"/>
      <c r="U1178" s="73"/>
      <c r="V1178" s="73"/>
      <c r="W1178" s="73"/>
      <c r="X1178" s="73"/>
      <c r="Y1178" s="73"/>
      <c r="Z1178" s="73"/>
      <c r="AA1178" s="73"/>
      <c r="AB1178" s="73"/>
      <c r="AC1178" s="73"/>
      <c r="AD1178" s="73"/>
      <c r="AE1178" s="73"/>
      <c r="AF1178" s="73"/>
    </row>
    <row r="1179" spans="1:32" ht="10.199999999999999">
      <c r="A1179" s="73"/>
      <c r="B1179" s="73"/>
      <c r="C1179" s="73"/>
      <c r="D1179" s="73"/>
      <c r="E1179" s="73"/>
      <c r="F1179" s="73"/>
      <c r="G1179" s="73"/>
      <c r="H1179" s="73"/>
      <c r="I1179" s="73"/>
      <c r="J1179" s="73"/>
      <c r="K1179" s="73"/>
      <c r="L1179" s="73"/>
      <c r="M1179" s="73"/>
      <c r="N1179" s="73"/>
      <c r="O1179" s="73"/>
      <c r="P1179" s="73"/>
      <c r="Q1179" s="73"/>
      <c r="R1179" s="73"/>
      <c r="S1179" s="73"/>
      <c r="T1179" s="73"/>
      <c r="U1179" s="73"/>
      <c r="V1179" s="73"/>
      <c r="W1179" s="73"/>
      <c r="X1179" s="73"/>
      <c r="Y1179" s="73"/>
      <c r="Z1179" s="73"/>
      <c r="AA1179" s="73"/>
      <c r="AB1179" s="73"/>
      <c r="AC1179" s="73"/>
      <c r="AD1179" s="73"/>
      <c r="AE1179" s="73"/>
      <c r="AF1179" s="73"/>
    </row>
    <row r="1180" spans="1:32" ht="10.199999999999999">
      <c r="A1180" s="73"/>
      <c r="B1180" s="73"/>
      <c r="C1180" s="73"/>
      <c r="D1180" s="73"/>
      <c r="E1180" s="73"/>
      <c r="F1180" s="73"/>
      <c r="G1180" s="73"/>
      <c r="H1180" s="73"/>
      <c r="I1180" s="73"/>
      <c r="J1180" s="73"/>
      <c r="K1180" s="73"/>
      <c r="L1180" s="73"/>
      <c r="M1180" s="73"/>
      <c r="N1180" s="73"/>
      <c r="O1180" s="73"/>
      <c r="P1180" s="73"/>
      <c r="Q1180" s="73"/>
      <c r="R1180" s="73"/>
      <c r="S1180" s="73"/>
      <c r="T1180" s="73"/>
      <c r="U1180" s="73"/>
      <c r="V1180" s="73"/>
      <c r="W1180" s="73"/>
      <c r="X1180" s="73"/>
      <c r="Y1180" s="73"/>
      <c r="Z1180" s="73"/>
      <c r="AA1180" s="73"/>
      <c r="AB1180" s="73"/>
      <c r="AC1180" s="73"/>
      <c r="AD1180" s="73"/>
      <c r="AE1180" s="73"/>
      <c r="AF1180" s="73"/>
    </row>
    <row r="1181" spans="1:32" ht="10.199999999999999">
      <c r="A1181" s="73"/>
      <c r="B1181" s="73"/>
      <c r="C1181" s="73"/>
      <c r="D1181" s="73"/>
      <c r="E1181" s="73"/>
      <c r="F1181" s="73"/>
      <c r="G1181" s="73"/>
      <c r="H1181" s="73"/>
      <c r="I1181" s="73"/>
      <c r="J1181" s="73"/>
      <c r="K1181" s="73"/>
      <c r="L1181" s="73"/>
      <c r="M1181" s="73"/>
      <c r="N1181" s="73"/>
      <c r="O1181" s="73"/>
      <c r="P1181" s="73"/>
      <c r="Q1181" s="73"/>
      <c r="R1181" s="73"/>
      <c r="S1181" s="73"/>
      <c r="T1181" s="73"/>
      <c r="U1181" s="73"/>
      <c r="V1181" s="73"/>
      <c r="W1181" s="73"/>
      <c r="X1181" s="73"/>
      <c r="Y1181" s="73"/>
      <c r="Z1181" s="73"/>
      <c r="AA1181" s="73"/>
      <c r="AB1181" s="73"/>
      <c r="AC1181" s="73"/>
      <c r="AD1181" s="73"/>
      <c r="AE1181" s="73"/>
      <c r="AF1181" s="73"/>
    </row>
    <row r="1182" spans="1:32" ht="10.199999999999999">
      <c r="A1182" s="73"/>
      <c r="B1182" s="73"/>
      <c r="C1182" s="73"/>
      <c r="D1182" s="73"/>
      <c r="E1182" s="73"/>
      <c r="F1182" s="73"/>
      <c r="G1182" s="73"/>
      <c r="H1182" s="73"/>
      <c r="I1182" s="73"/>
      <c r="J1182" s="73"/>
      <c r="K1182" s="73"/>
      <c r="L1182" s="73"/>
      <c r="M1182" s="73"/>
      <c r="N1182" s="73"/>
      <c r="O1182" s="73"/>
      <c r="P1182" s="73"/>
      <c r="Q1182" s="73"/>
      <c r="R1182" s="73"/>
      <c r="S1182" s="73"/>
      <c r="T1182" s="73"/>
      <c r="U1182" s="73"/>
      <c r="V1182" s="73"/>
      <c r="W1182" s="73"/>
      <c r="X1182" s="73"/>
      <c r="Y1182" s="73"/>
      <c r="Z1182" s="73"/>
      <c r="AA1182" s="73"/>
      <c r="AB1182" s="73"/>
      <c r="AC1182" s="73"/>
      <c r="AD1182" s="73"/>
      <c r="AE1182" s="73"/>
      <c r="AF1182" s="73"/>
    </row>
    <row r="1183" spans="1:32" ht="10.199999999999999">
      <c r="A1183" s="73"/>
      <c r="B1183" s="73"/>
      <c r="C1183" s="73"/>
      <c r="D1183" s="73"/>
      <c r="E1183" s="73"/>
      <c r="F1183" s="73"/>
      <c r="G1183" s="73"/>
      <c r="H1183" s="73"/>
      <c r="I1183" s="73"/>
      <c r="J1183" s="73"/>
      <c r="K1183" s="73"/>
      <c r="L1183" s="73"/>
      <c r="M1183" s="73"/>
      <c r="N1183" s="73"/>
      <c r="O1183" s="73"/>
      <c r="P1183" s="73"/>
      <c r="Q1183" s="73"/>
      <c r="R1183" s="73"/>
      <c r="S1183" s="73"/>
      <c r="T1183" s="73"/>
      <c r="U1183" s="73"/>
      <c r="V1183" s="73"/>
      <c r="W1183" s="73"/>
      <c r="X1183" s="73"/>
      <c r="Y1183" s="73"/>
      <c r="Z1183" s="73"/>
      <c r="AA1183" s="73"/>
      <c r="AB1183" s="73"/>
      <c r="AC1183" s="73"/>
      <c r="AD1183" s="73"/>
      <c r="AE1183" s="73"/>
      <c r="AF1183" s="73"/>
    </row>
    <row r="1184" spans="1:32" ht="10.199999999999999">
      <c r="A1184" s="73"/>
      <c r="B1184" s="73"/>
      <c r="C1184" s="73"/>
      <c r="D1184" s="73"/>
      <c r="E1184" s="73"/>
      <c r="F1184" s="73"/>
      <c r="G1184" s="73"/>
      <c r="H1184" s="73"/>
      <c r="I1184" s="73"/>
      <c r="J1184" s="73"/>
      <c r="K1184" s="73"/>
      <c r="L1184" s="73"/>
      <c r="M1184" s="73"/>
      <c r="N1184" s="73"/>
      <c r="O1184" s="73"/>
      <c r="P1184" s="73"/>
      <c r="Q1184" s="73"/>
      <c r="R1184" s="73"/>
      <c r="S1184" s="73"/>
      <c r="T1184" s="73"/>
      <c r="U1184" s="73"/>
      <c r="V1184" s="73"/>
      <c r="W1184" s="73"/>
      <c r="X1184" s="73"/>
      <c r="Y1184" s="73"/>
      <c r="Z1184" s="73"/>
      <c r="AA1184" s="73"/>
      <c r="AB1184" s="73"/>
      <c r="AC1184" s="73"/>
      <c r="AD1184" s="73"/>
      <c r="AE1184" s="73"/>
      <c r="AF1184" s="73"/>
    </row>
    <row r="1185" spans="1:32" ht="10.199999999999999">
      <c r="A1185" s="73"/>
      <c r="B1185" s="73"/>
      <c r="C1185" s="73"/>
      <c r="D1185" s="73"/>
      <c r="E1185" s="73"/>
      <c r="F1185" s="73"/>
      <c r="G1185" s="73"/>
      <c r="H1185" s="73"/>
      <c r="I1185" s="73"/>
      <c r="J1185" s="73"/>
      <c r="K1185" s="73"/>
      <c r="L1185" s="73"/>
      <c r="M1185" s="73"/>
      <c r="N1185" s="73"/>
      <c r="O1185" s="73"/>
      <c r="P1185" s="73"/>
      <c r="Q1185" s="73"/>
      <c r="R1185" s="73"/>
      <c r="S1185" s="73"/>
      <c r="T1185" s="73"/>
      <c r="U1185" s="73"/>
      <c r="V1185" s="73"/>
      <c r="W1185" s="73"/>
      <c r="X1185" s="73"/>
      <c r="Y1185" s="73"/>
      <c r="Z1185" s="73"/>
      <c r="AA1185" s="73"/>
      <c r="AB1185" s="73"/>
      <c r="AC1185" s="73"/>
      <c r="AD1185" s="73"/>
      <c r="AE1185" s="73"/>
      <c r="AF1185" s="73"/>
    </row>
    <row r="1186" spans="1:32" ht="10.199999999999999">
      <c r="A1186" s="73"/>
      <c r="B1186" s="73"/>
      <c r="C1186" s="73"/>
      <c r="D1186" s="73"/>
      <c r="E1186" s="73"/>
      <c r="F1186" s="73"/>
      <c r="G1186" s="73"/>
      <c r="H1186" s="73"/>
      <c r="I1186" s="73"/>
      <c r="J1186" s="73"/>
      <c r="K1186" s="73"/>
      <c r="L1186" s="73"/>
      <c r="M1186" s="73"/>
      <c r="N1186" s="73"/>
      <c r="O1186" s="73"/>
      <c r="P1186" s="73"/>
      <c r="Q1186" s="73"/>
      <c r="R1186" s="73"/>
      <c r="S1186" s="73"/>
      <c r="T1186" s="73"/>
      <c r="U1186" s="73"/>
      <c r="V1186" s="73"/>
      <c r="W1186" s="73"/>
      <c r="X1186" s="73"/>
      <c r="Y1186" s="73"/>
      <c r="Z1186" s="73"/>
      <c r="AA1186" s="73"/>
      <c r="AB1186" s="73"/>
      <c r="AC1186" s="73"/>
      <c r="AD1186" s="73"/>
      <c r="AE1186" s="73"/>
      <c r="AF1186" s="73"/>
    </row>
    <row r="1187" spans="1:32" ht="10.199999999999999">
      <c r="A1187" s="73"/>
      <c r="B1187" s="73"/>
      <c r="C1187" s="73"/>
      <c r="D1187" s="73"/>
      <c r="E1187" s="73"/>
      <c r="F1187" s="73"/>
      <c r="G1187" s="73"/>
      <c r="H1187" s="73"/>
      <c r="I1187" s="73"/>
      <c r="J1187" s="73"/>
      <c r="K1187" s="73"/>
      <c r="L1187" s="73"/>
      <c r="M1187" s="73"/>
      <c r="N1187" s="73"/>
      <c r="O1187" s="73"/>
      <c r="P1187" s="73"/>
      <c r="Q1187" s="73"/>
      <c r="R1187" s="73"/>
      <c r="S1187" s="73"/>
      <c r="T1187" s="73"/>
      <c r="U1187" s="73"/>
      <c r="V1187" s="73"/>
      <c r="W1187" s="73"/>
      <c r="X1187" s="73"/>
      <c r="Y1187" s="73"/>
      <c r="Z1187" s="73"/>
      <c r="AA1187" s="73"/>
      <c r="AB1187" s="73"/>
      <c r="AC1187" s="73"/>
      <c r="AD1187" s="73"/>
      <c r="AE1187" s="73"/>
      <c r="AF1187" s="73"/>
    </row>
    <row r="1188" spans="1:32" ht="10.199999999999999">
      <c r="A1188" s="73"/>
      <c r="B1188" s="73"/>
      <c r="C1188" s="73"/>
      <c r="D1188" s="73"/>
      <c r="E1188" s="73"/>
      <c r="F1188" s="73"/>
      <c r="G1188" s="73"/>
      <c r="H1188" s="73"/>
      <c r="I1188" s="73"/>
      <c r="J1188" s="73"/>
      <c r="K1188" s="73"/>
      <c r="L1188" s="73"/>
      <c r="M1188" s="73"/>
      <c r="N1188" s="73"/>
      <c r="O1188" s="73"/>
      <c r="P1188" s="73"/>
      <c r="Q1188" s="73"/>
      <c r="R1188" s="73"/>
      <c r="S1188" s="73"/>
      <c r="T1188" s="73"/>
      <c r="U1188" s="73"/>
      <c r="V1188" s="73"/>
      <c r="W1188" s="73"/>
      <c r="X1188" s="73"/>
      <c r="Y1188" s="73"/>
      <c r="Z1188" s="73"/>
      <c r="AA1188" s="73"/>
      <c r="AB1188" s="73"/>
      <c r="AC1188" s="73"/>
      <c r="AD1188" s="73"/>
      <c r="AE1188" s="73"/>
      <c r="AF1188" s="73"/>
    </row>
    <row r="1189" spans="1:32" ht="10.199999999999999">
      <c r="A1189" s="73"/>
      <c r="B1189" s="73"/>
      <c r="C1189" s="73"/>
      <c r="D1189" s="73"/>
      <c r="E1189" s="73"/>
      <c r="F1189" s="73"/>
      <c r="G1189" s="73"/>
      <c r="H1189" s="73"/>
      <c r="I1189" s="73"/>
      <c r="J1189" s="73"/>
      <c r="K1189" s="73"/>
      <c r="L1189" s="73"/>
      <c r="M1189" s="73"/>
      <c r="N1189" s="73"/>
      <c r="O1189" s="73"/>
      <c r="P1189" s="73"/>
      <c r="Q1189" s="73"/>
      <c r="R1189" s="73"/>
      <c r="S1189" s="73"/>
      <c r="T1189" s="73"/>
      <c r="U1189" s="73"/>
      <c r="V1189" s="73"/>
      <c r="W1189" s="73"/>
      <c r="X1189" s="73"/>
      <c r="Y1189" s="73"/>
      <c r="Z1189" s="73"/>
      <c r="AA1189" s="73"/>
      <c r="AB1189" s="73"/>
      <c r="AC1189" s="73"/>
      <c r="AD1189" s="73"/>
      <c r="AE1189" s="73"/>
      <c r="AF1189" s="73"/>
    </row>
    <row r="1190" spans="1:32" ht="10.199999999999999">
      <c r="A1190" s="73"/>
      <c r="B1190" s="73"/>
      <c r="C1190" s="73"/>
      <c r="D1190" s="73"/>
      <c r="E1190" s="73"/>
      <c r="F1190" s="73"/>
      <c r="G1190" s="73"/>
      <c r="H1190" s="73"/>
      <c r="I1190" s="73"/>
      <c r="J1190" s="73"/>
      <c r="K1190" s="73"/>
      <c r="L1190" s="73"/>
      <c r="M1190" s="73"/>
      <c r="N1190" s="73"/>
      <c r="O1190" s="73"/>
      <c r="P1190" s="73"/>
      <c r="Q1190" s="73"/>
      <c r="R1190" s="73"/>
      <c r="S1190" s="73"/>
      <c r="T1190" s="73"/>
      <c r="U1190" s="73"/>
      <c r="V1190" s="73"/>
      <c r="W1190" s="73"/>
      <c r="X1190" s="73"/>
      <c r="Y1190" s="73"/>
      <c r="Z1190" s="73"/>
      <c r="AA1190" s="73"/>
      <c r="AB1190" s="73"/>
      <c r="AC1190" s="73"/>
      <c r="AD1190" s="73"/>
      <c r="AE1190" s="73"/>
      <c r="AF1190" s="73"/>
    </row>
    <row r="1191" spans="1:32" ht="10.199999999999999">
      <c r="A1191" s="73"/>
      <c r="B1191" s="73"/>
      <c r="C1191" s="73"/>
      <c r="D1191" s="73"/>
      <c r="E1191" s="73"/>
      <c r="F1191" s="73"/>
      <c r="G1191" s="73"/>
      <c r="H1191" s="73"/>
      <c r="I1191" s="73"/>
      <c r="J1191" s="73"/>
      <c r="K1191" s="73"/>
      <c r="L1191" s="73"/>
      <c r="M1191" s="73"/>
      <c r="N1191" s="73"/>
      <c r="O1191" s="73"/>
      <c r="P1191" s="73"/>
      <c r="Q1191" s="73"/>
      <c r="R1191" s="73"/>
      <c r="S1191" s="73"/>
      <c r="T1191" s="73"/>
      <c r="U1191" s="73"/>
      <c r="V1191" s="73"/>
      <c r="W1191" s="73"/>
      <c r="X1191" s="73"/>
      <c r="Y1191" s="73"/>
      <c r="Z1191" s="73"/>
      <c r="AA1191" s="73"/>
      <c r="AB1191" s="73"/>
      <c r="AC1191" s="73"/>
      <c r="AD1191" s="73"/>
      <c r="AE1191" s="73"/>
      <c r="AF1191" s="73"/>
    </row>
    <row r="1192" spans="1:32" ht="10.199999999999999">
      <c r="A1192" s="73"/>
      <c r="B1192" s="73"/>
      <c r="C1192" s="73"/>
      <c r="D1192" s="73"/>
      <c r="E1192" s="73"/>
      <c r="F1192" s="73"/>
      <c r="G1192" s="73"/>
      <c r="H1192" s="73"/>
      <c r="I1192" s="73"/>
      <c r="J1192" s="73"/>
      <c r="K1192" s="73"/>
      <c r="L1192" s="73"/>
      <c r="M1192" s="73"/>
      <c r="N1192" s="73"/>
      <c r="O1192" s="73"/>
      <c r="P1192" s="73"/>
      <c r="Q1192" s="73"/>
      <c r="R1192" s="73"/>
      <c r="S1192" s="73"/>
      <c r="T1192" s="73"/>
      <c r="U1192" s="73"/>
      <c r="V1192" s="73"/>
      <c r="W1192" s="73"/>
      <c r="X1192" s="73"/>
      <c r="Y1192" s="73"/>
      <c r="Z1192" s="73"/>
      <c r="AA1192" s="73"/>
      <c r="AB1192" s="73"/>
      <c r="AC1192" s="73"/>
      <c r="AD1192" s="73"/>
      <c r="AE1192" s="73"/>
      <c r="AF1192" s="73"/>
    </row>
    <row r="1193" spans="1:32" ht="10.199999999999999">
      <c r="A1193" s="73"/>
      <c r="B1193" s="73"/>
      <c r="C1193" s="73"/>
      <c r="D1193" s="73"/>
      <c r="E1193" s="73"/>
      <c r="F1193" s="73"/>
      <c r="G1193" s="73"/>
      <c r="H1193" s="73"/>
      <c r="I1193" s="73"/>
      <c r="J1193" s="73"/>
      <c r="K1193" s="73"/>
      <c r="L1193" s="73"/>
      <c r="M1193" s="73"/>
      <c r="N1193" s="73"/>
      <c r="O1193" s="73"/>
      <c r="P1193" s="73"/>
      <c r="Q1193" s="73"/>
      <c r="R1193" s="73"/>
      <c r="S1193" s="73"/>
      <c r="T1193" s="73"/>
      <c r="U1193" s="73"/>
      <c r="V1193" s="73"/>
      <c r="W1193" s="73"/>
      <c r="X1193" s="73"/>
      <c r="Y1193" s="73"/>
      <c r="Z1193" s="73"/>
      <c r="AA1193" s="73"/>
      <c r="AB1193" s="73"/>
      <c r="AC1193" s="73"/>
      <c r="AD1193" s="73"/>
      <c r="AE1193" s="73"/>
      <c r="AF1193" s="73"/>
    </row>
    <row r="1194" spans="1:32" ht="10.199999999999999">
      <c r="A1194" s="73"/>
      <c r="B1194" s="73"/>
      <c r="C1194" s="73"/>
      <c r="D1194" s="73"/>
      <c r="E1194" s="73"/>
      <c r="F1194" s="73"/>
      <c r="G1194" s="73"/>
      <c r="H1194" s="73"/>
      <c r="I1194" s="73"/>
      <c r="J1194" s="73"/>
      <c r="K1194" s="73"/>
      <c r="L1194" s="73"/>
      <c r="M1194" s="73"/>
      <c r="N1194" s="73"/>
      <c r="O1194" s="73"/>
      <c r="P1194" s="73"/>
      <c r="Q1194" s="73"/>
      <c r="R1194" s="73"/>
      <c r="S1194" s="73"/>
      <c r="T1194" s="73"/>
      <c r="U1194" s="73"/>
      <c r="V1194" s="73"/>
      <c r="W1194" s="73"/>
      <c r="X1194" s="73"/>
      <c r="Y1194" s="73"/>
      <c r="Z1194" s="73"/>
      <c r="AA1194" s="73"/>
      <c r="AB1194" s="73"/>
      <c r="AC1194" s="73"/>
      <c r="AD1194" s="73"/>
      <c r="AE1194" s="73"/>
      <c r="AF1194" s="73"/>
    </row>
    <row r="1195" spans="1:32" ht="10.199999999999999">
      <c r="A1195" s="73"/>
      <c r="B1195" s="73"/>
      <c r="C1195" s="73"/>
      <c r="D1195" s="73"/>
      <c r="E1195" s="73"/>
      <c r="F1195" s="73"/>
      <c r="G1195" s="73"/>
      <c r="H1195" s="73"/>
      <c r="I1195" s="73"/>
      <c r="J1195" s="73"/>
      <c r="K1195" s="73"/>
      <c r="L1195" s="73"/>
      <c r="M1195" s="73"/>
      <c r="N1195" s="73"/>
      <c r="O1195" s="73"/>
      <c r="P1195" s="73"/>
      <c r="Q1195" s="73"/>
      <c r="R1195" s="73"/>
      <c r="S1195" s="73"/>
      <c r="T1195" s="73"/>
      <c r="U1195" s="73"/>
      <c r="V1195" s="73"/>
      <c r="W1195" s="73"/>
      <c r="X1195" s="73"/>
      <c r="Y1195" s="73"/>
      <c r="Z1195" s="73"/>
      <c r="AA1195" s="73"/>
      <c r="AB1195" s="73"/>
      <c r="AC1195" s="73"/>
      <c r="AD1195" s="73"/>
      <c r="AE1195" s="73"/>
      <c r="AF1195" s="73"/>
    </row>
    <row r="1196" spans="1:32" ht="10.199999999999999">
      <c r="A1196" s="73"/>
      <c r="B1196" s="73"/>
      <c r="C1196" s="73"/>
      <c r="D1196" s="73"/>
      <c r="E1196" s="73"/>
      <c r="F1196" s="73"/>
      <c r="G1196" s="73"/>
      <c r="H1196" s="73"/>
      <c r="I1196" s="73"/>
      <c r="J1196" s="73"/>
      <c r="K1196" s="73"/>
      <c r="L1196" s="73"/>
      <c r="M1196" s="73"/>
      <c r="N1196" s="73"/>
      <c r="O1196" s="73"/>
      <c r="P1196" s="73"/>
      <c r="Q1196" s="73"/>
      <c r="R1196" s="73"/>
      <c r="S1196" s="73"/>
      <c r="T1196" s="73"/>
      <c r="U1196" s="73"/>
      <c r="V1196" s="73"/>
      <c r="W1196" s="73"/>
      <c r="X1196" s="73"/>
      <c r="Y1196" s="73"/>
      <c r="Z1196" s="73"/>
      <c r="AA1196" s="73"/>
      <c r="AB1196" s="73"/>
      <c r="AC1196" s="73"/>
      <c r="AD1196" s="73"/>
      <c r="AE1196" s="73"/>
      <c r="AF1196" s="73"/>
    </row>
    <row r="1197" spans="1:32" ht="10.199999999999999">
      <c r="A1197" s="73"/>
      <c r="B1197" s="73"/>
      <c r="C1197" s="73"/>
      <c r="D1197" s="73"/>
      <c r="E1197" s="73"/>
      <c r="F1197" s="73"/>
      <c r="G1197" s="73"/>
      <c r="H1197" s="73"/>
      <c r="I1197" s="73"/>
      <c r="J1197" s="73"/>
      <c r="K1197" s="73"/>
      <c r="L1197" s="73"/>
      <c r="M1197" s="73"/>
      <c r="N1197" s="73"/>
      <c r="O1197" s="73"/>
      <c r="P1197" s="73"/>
      <c r="Q1197" s="73"/>
      <c r="R1197" s="73"/>
      <c r="S1197" s="73"/>
      <c r="T1197" s="73"/>
      <c r="U1197" s="73"/>
      <c r="V1197" s="73"/>
      <c r="W1197" s="73"/>
      <c r="X1197" s="73"/>
      <c r="Y1197" s="73"/>
      <c r="Z1197" s="73"/>
      <c r="AA1197" s="73"/>
      <c r="AB1197" s="73"/>
      <c r="AC1197" s="73"/>
      <c r="AD1197" s="73"/>
      <c r="AE1197" s="73"/>
      <c r="AF1197" s="73"/>
    </row>
    <row r="1198" spans="1:32" ht="10.199999999999999">
      <c r="A1198" s="73"/>
      <c r="B1198" s="73"/>
      <c r="C1198" s="73"/>
      <c r="D1198" s="73"/>
      <c r="E1198" s="73"/>
      <c r="F1198" s="73"/>
      <c r="G1198" s="73"/>
      <c r="H1198" s="73"/>
      <c r="I1198" s="73"/>
      <c r="J1198" s="73"/>
      <c r="K1198" s="73"/>
      <c r="L1198" s="73"/>
      <c r="M1198" s="73"/>
      <c r="N1198" s="73"/>
      <c r="O1198" s="73"/>
      <c r="P1198" s="73"/>
      <c r="Q1198" s="73"/>
      <c r="R1198" s="73"/>
      <c r="S1198" s="73"/>
      <c r="T1198" s="73"/>
      <c r="U1198" s="73"/>
      <c r="V1198" s="73"/>
      <c r="W1198" s="73"/>
      <c r="X1198" s="73"/>
      <c r="Y1198" s="73"/>
      <c r="Z1198" s="73"/>
      <c r="AA1198" s="73"/>
      <c r="AB1198" s="73"/>
      <c r="AC1198" s="73"/>
      <c r="AD1198" s="73"/>
      <c r="AE1198" s="73"/>
      <c r="AF1198" s="73"/>
    </row>
    <row r="1199" spans="1:32" ht="10.199999999999999">
      <c r="A1199" s="73"/>
      <c r="B1199" s="73"/>
      <c r="C1199" s="73"/>
      <c r="D1199" s="73"/>
      <c r="E1199" s="73"/>
      <c r="F1199" s="73"/>
      <c r="G1199" s="73"/>
      <c r="H1199" s="73"/>
      <c r="I1199" s="73"/>
      <c r="J1199" s="73"/>
      <c r="K1199" s="73"/>
      <c r="L1199" s="73"/>
      <c r="M1199" s="73"/>
      <c r="N1199" s="73"/>
      <c r="O1199" s="73"/>
      <c r="P1199" s="73"/>
      <c r="Q1199" s="73"/>
      <c r="R1199" s="73"/>
      <c r="S1199" s="73"/>
      <c r="T1199" s="73"/>
      <c r="U1199" s="73"/>
      <c r="V1199" s="73"/>
      <c r="W1199" s="73"/>
      <c r="X1199" s="73"/>
      <c r="Y1199" s="73"/>
      <c r="Z1199" s="73"/>
      <c r="AA1199" s="73"/>
      <c r="AB1199" s="73"/>
      <c r="AC1199" s="73"/>
      <c r="AD1199" s="73"/>
      <c r="AE1199" s="73"/>
      <c r="AF1199" s="73"/>
    </row>
    <row r="1200" spans="1:32" ht="10.199999999999999">
      <c r="A1200" s="73"/>
      <c r="B1200" s="73"/>
      <c r="C1200" s="73"/>
      <c r="D1200" s="73"/>
      <c r="E1200" s="73"/>
      <c r="F1200" s="73"/>
      <c r="G1200" s="73"/>
      <c r="H1200" s="73"/>
      <c r="I1200" s="73"/>
      <c r="J1200" s="73"/>
      <c r="K1200" s="73"/>
      <c r="L1200" s="73"/>
      <c r="M1200" s="73"/>
      <c r="N1200" s="73"/>
      <c r="O1200" s="73"/>
      <c r="P1200" s="73"/>
      <c r="Q1200" s="73"/>
      <c r="R1200" s="73"/>
      <c r="S1200" s="73"/>
      <c r="T1200" s="73"/>
      <c r="U1200" s="73"/>
      <c r="V1200" s="73"/>
      <c r="W1200" s="73"/>
      <c r="X1200" s="73"/>
      <c r="Y1200" s="73"/>
      <c r="Z1200" s="73"/>
      <c r="AA1200" s="73"/>
      <c r="AB1200" s="73"/>
      <c r="AC1200" s="73"/>
      <c r="AD1200" s="73"/>
      <c r="AE1200" s="73"/>
      <c r="AF1200" s="73"/>
    </row>
    <row r="1201" spans="1:32" ht="10.199999999999999">
      <c r="A1201" s="73"/>
      <c r="B1201" s="73"/>
      <c r="C1201" s="73"/>
      <c r="D1201" s="73"/>
      <c r="E1201" s="73"/>
      <c r="F1201" s="73"/>
      <c r="G1201" s="73"/>
      <c r="H1201" s="73"/>
      <c r="I1201" s="73"/>
      <c r="J1201" s="73"/>
      <c r="K1201" s="73"/>
      <c r="L1201" s="73"/>
      <c r="M1201" s="73"/>
      <c r="N1201" s="73"/>
      <c r="O1201" s="73"/>
      <c r="P1201" s="73"/>
      <c r="Q1201" s="73"/>
      <c r="R1201" s="73"/>
      <c r="S1201" s="73"/>
      <c r="T1201" s="73"/>
      <c r="U1201" s="73"/>
      <c r="V1201" s="73"/>
      <c r="W1201" s="73"/>
      <c r="X1201" s="73"/>
      <c r="Y1201" s="73"/>
      <c r="Z1201" s="73"/>
      <c r="AA1201" s="73"/>
      <c r="AB1201" s="73"/>
      <c r="AC1201" s="73"/>
      <c r="AD1201" s="73"/>
      <c r="AE1201" s="73"/>
      <c r="AF1201" s="73"/>
    </row>
    <row r="1202" spans="1:32" ht="10.199999999999999">
      <c r="A1202" s="73"/>
      <c r="B1202" s="73"/>
      <c r="C1202" s="73"/>
      <c r="D1202" s="73"/>
      <c r="E1202" s="73"/>
      <c r="F1202" s="73"/>
      <c r="G1202" s="73"/>
      <c r="H1202" s="73"/>
      <c r="I1202" s="73"/>
      <c r="J1202" s="73"/>
      <c r="K1202" s="73"/>
      <c r="L1202" s="73"/>
      <c r="M1202" s="73"/>
      <c r="N1202" s="73"/>
      <c r="O1202" s="73"/>
      <c r="P1202" s="73"/>
      <c r="Q1202" s="73"/>
      <c r="R1202" s="73"/>
      <c r="S1202" s="73"/>
      <c r="T1202" s="73"/>
      <c r="U1202" s="73"/>
      <c r="V1202" s="73"/>
      <c r="W1202" s="73"/>
      <c r="X1202" s="73"/>
      <c r="Y1202" s="73"/>
      <c r="Z1202" s="73"/>
      <c r="AA1202" s="73"/>
      <c r="AB1202" s="73"/>
      <c r="AC1202" s="73"/>
      <c r="AD1202" s="73"/>
      <c r="AE1202" s="73"/>
      <c r="AF1202" s="73"/>
    </row>
    <row r="1203" spans="1:32" ht="10.199999999999999">
      <c r="A1203" s="73"/>
      <c r="B1203" s="73"/>
      <c r="C1203" s="73"/>
      <c r="D1203" s="73"/>
      <c r="E1203" s="73"/>
      <c r="F1203" s="73"/>
      <c r="G1203" s="73"/>
      <c r="H1203" s="73"/>
      <c r="I1203" s="73"/>
      <c r="J1203" s="73"/>
      <c r="K1203" s="73"/>
      <c r="L1203" s="73"/>
      <c r="M1203" s="73"/>
      <c r="N1203" s="73"/>
      <c r="O1203" s="73"/>
      <c r="P1203" s="73"/>
      <c r="Q1203" s="73"/>
      <c r="R1203" s="73"/>
      <c r="S1203" s="73"/>
      <c r="T1203" s="73"/>
      <c r="U1203" s="73"/>
      <c r="V1203" s="73"/>
      <c r="W1203" s="73"/>
      <c r="X1203" s="73"/>
      <c r="Y1203" s="73"/>
      <c r="Z1203" s="73"/>
      <c r="AA1203" s="73"/>
      <c r="AB1203" s="73"/>
      <c r="AC1203" s="73"/>
      <c r="AD1203" s="73"/>
      <c r="AE1203" s="73"/>
      <c r="AF1203" s="73"/>
    </row>
  </sheetData>
  <mergeCells count="27">
    <mergeCell ref="B2:H2"/>
    <mergeCell ref="J2:K2"/>
    <mergeCell ref="B38:E38"/>
    <mergeCell ref="B39:E39"/>
    <mergeCell ref="B40:E40"/>
    <mergeCell ref="B42:E42"/>
    <mergeCell ref="C43:D43"/>
    <mergeCell ref="C44:D44"/>
    <mergeCell ref="C45:D45"/>
    <mergeCell ref="C46:D46"/>
    <mergeCell ref="C47:D47"/>
    <mergeCell ref="B49:F49"/>
    <mergeCell ref="B55:F55"/>
    <mergeCell ref="B84:D84"/>
    <mergeCell ref="C194:F194"/>
    <mergeCell ref="C100:D100"/>
    <mergeCell ref="C112:D112"/>
    <mergeCell ref="G194:H194"/>
    <mergeCell ref="I194:J194"/>
    <mergeCell ref="C207:F207"/>
    <mergeCell ref="G207:H207"/>
    <mergeCell ref="I207:J207"/>
    <mergeCell ref="H138:J138"/>
    <mergeCell ref="D146:F146"/>
    <mergeCell ref="D157:F157"/>
    <mergeCell ref="D168:F168"/>
    <mergeCell ref="D179:F179"/>
  </mergeCells>
  <hyperlinks>
    <hyperlink ref="B38" r:id="rId1" xr:uid="{00000000-0004-0000-0200-000000000000}"/>
    <hyperlink ref="B39" r:id="rId2" xr:uid="{00000000-0004-0000-0200-000001000000}"/>
  </hyperlinks>
  <pageMargins left="0.7" right="0.7" top="0.75" bottom="0.75" header="0.3" footer="0.3"/>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AB1000"/>
  <sheetViews>
    <sheetView workbookViewId="0"/>
  </sheetViews>
  <sheetFormatPr defaultColWidth="16.85546875" defaultRowHeight="15" customHeight="1"/>
  <cols>
    <col min="1" max="2" width="8" customWidth="1"/>
    <col min="3" max="3" width="62" customWidth="1"/>
    <col min="4" max="4" width="14.42578125" customWidth="1"/>
    <col min="5" max="5" width="16.7109375" customWidth="1"/>
    <col min="6" max="6" width="15.140625" customWidth="1"/>
    <col min="7" max="7" width="12" customWidth="1"/>
    <col min="8" max="8" width="36.140625" customWidth="1"/>
    <col min="9" max="15" width="11.140625" customWidth="1"/>
    <col min="16" max="16" width="11.42578125" customWidth="1"/>
    <col min="17" max="23" width="11.140625" customWidth="1"/>
    <col min="24" max="24" width="13.140625" customWidth="1"/>
    <col min="25" max="28" width="8" customWidth="1"/>
  </cols>
  <sheetData>
    <row r="1" spans="2:9" ht="15.75" customHeight="1">
      <c r="I1" s="2085" t="s">
        <v>1727</v>
      </c>
    </row>
    <row r="2" spans="2:9" ht="12" customHeight="1"/>
    <row r="3" spans="2:9" ht="18.75" customHeight="1">
      <c r="B3" s="2328" t="s">
        <v>1728</v>
      </c>
      <c r="C3" s="2329"/>
      <c r="D3" s="6">
        <v>2006</v>
      </c>
      <c r="E3" s="6">
        <v>2011</v>
      </c>
      <c r="F3" s="2086">
        <v>2020</v>
      </c>
    </row>
    <row r="4" spans="2:9" ht="18" customHeight="1">
      <c r="B4" s="2330" t="s">
        <v>1729</v>
      </c>
      <c r="C4" s="2240"/>
      <c r="D4" s="2087">
        <v>95.759950025284567</v>
      </c>
      <c r="E4" s="7">
        <v>90.966191245433336</v>
      </c>
      <c r="F4" s="2088">
        <v>125.34260748462694</v>
      </c>
    </row>
    <row r="5" spans="2:9" ht="17.25" customHeight="1">
      <c r="B5" s="2089" t="s">
        <v>1730</v>
      </c>
      <c r="C5" s="9"/>
      <c r="D5" s="210">
        <v>42.475674553317035</v>
      </c>
      <c r="E5" s="10">
        <v>37.860129294372811</v>
      </c>
      <c r="F5" s="321">
        <v>58.792780404291136</v>
      </c>
      <c r="G5" s="2090"/>
    </row>
    <row r="6" spans="2:9" ht="15" customHeight="1">
      <c r="B6" s="11"/>
      <c r="C6" s="12" t="s">
        <v>12</v>
      </c>
      <c r="D6" s="2087">
        <v>32.164847642882265</v>
      </c>
      <c r="E6" s="2091">
        <v>24.55109638553953</v>
      </c>
      <c r="F6" s="2088">
        <v>42.876074662365383</v>
      </c>
    </row>
    <row r="7" spans="2:9" ht="15" customHeight="1">
      <c r="B7" s="13"/>
      <c r="C7" s="14" t="s">
        <v>13</v>
      </c>
      <c r="D7" s="2087">
        <v>28.277691054483199</v>
      </c>
      <c r="E7" s="2092">
        <v>21.931503322661907</v>
      </c>
      <c r="F7" s="2088">
        <v>33.788987335979449</v>
      </c>
    </row>
    <row r="8" spans="2:9" ht="18" customHeight="1">
      <c r="B8" s="13"/>
      <c r="C8" s="16" t="s">
        <v>1731</v>
      </c>
      <c r="D8" s="242">
        <v>28.130573867498466</v>
      </c>
      <c r="E8" s="37">
        <v>21.847712881476784</v>
      </c>
      <c r="F8" s="48">
        <v>33.613197142984042</v>
      </c>
    </row>
    <row r="9" spans="2:9" ht="18" customHeight="1">
      <c r="B9" s="13"/>
      <c r="C9" s="16" t="s">
        <v>1732</v>
      </c>
      <c r="D9" s="242">
        <v>6.3569154869947851E-3</v>
      </c>
      <c r="E9" s="37">
        <v>8.7823035842036039E-3</v>
      </c>
      <c r="F9" s="48">
        <v>7.5958725368387037E-3</v>
      </c>
    </row>
    <row r="10" spans="2:9" ht="18" customHeight="1">
      <c r="B10" s="13"/>
      <c r="C10" s="16" t="s">
        <v>1733</v>
      </c>
      <c r="D10" s="242">
        <v>0.14076027149774165</v>
      </c>
      <c r="E10" s="37">
        <v>7.5008137600917041E-2</v>
      </c>
      <c r="F10" s="48">
        <v>0.16819432045857127</v>
      </c>
    </row>
    <row r="11" spans="2:9" ht="15" customHeight="1">
      <c r="B11" s="13"/>
      <c r="C11" s="14" t="s">
        <v>14</v>
      </c>
      <c r="D11" s="2087">
        <v>3.6498808125927029</v>
      </c>
      <c r="E11" s="2092">
        <v>2.4188260648040507</v>
      </c>
      <c r="F11" s="2088">
        <v>8.4483296990229935</v>
      </c>
    </row>
    <row r="12" spans="2:9" ht="18" customHeight="1">
      <c r="B12" s="13"/>
      <c r="C12" s="16" t="s">
        <v>1734</v>
      </c>
      <c r="D12" s="242">
        <v>3.6484130104806791</v>
      </c>
      <c r="E12" s="37">
        <v>2.4133302497043454</v>
      </c>
      <c r="F12" s="48">
        <v>8.4449321973477289</v>
      </c>
    </row>
    <row r="13" spans="2:9" ht="18" customHeight="1">
      <c r="B13" s="13"/>
      <c r="C13" s="16" t="s">
        <v>1735</v>
      </c>
      <c r="D13" s="242">
        <v>5.9276623754803105E-4</v>
      </c>
      <c r="E13" s="37">
        <v>8.7859147150217472E-4</v>
      </c>
      <c r="F13" s="48">
        <v>1.3720679842413213E-3</v>
      </c>
    </row>
    <row r="14" spans="2:9" ht="18" customHeight="1">
      <c r="B14" s="13"/>
      <c r="C14" s="16" t="s">
        <v>1736</v>
      </c>
      <c r="D14" s="242">
        <v>8.7503587447566498E-4</v>
      </c>
      <c r="E14" s="37">
        <v>4.6172236282033714E-3</v>
      </c>
      <c r="F14" s="48">
        <v>2.0254336910229031E-3</v>
      </c>
    </row>
    <row r="15" spans="2:9" ht="15" customHeight="1">
      <c r="B15" s="13"/>
      <c r="C15" s="14" t="s">
        <v>15</v>
      </c>
      <c r="D15" s="2087">
        <v>0.23727577580636292</v>
      </c>
      <c r="E15" s="2092">
        <v>0.19606179478813007</v>
      </c>
      <c r="F15" s="2088">
        <v>0.63875762736294017</v>
      </c>
    </row>
    <row r="16" spans="2:9" ht="18" customHeight="1">
      <c r="B16" s="13"/>
      <c r="C16" s="16" t="s">
        <v>1737</v>
      </c>
      <c r="D16" s="242">
        <v>0.23657260855402951</v>
      </c>
      <c r="E16" s="37">
        <v>0.1946277957923413</v>
      </c>
      <c r="F16" s="48">
        <v>0.63687802594508114</v>
      </c>
    </row>
    <row r="17" spans="2:9" ht="18" customHeight="1">
      <c r="B17" s="13"/>
      <c r="C17" s="16" t="s">
        <v>1738</v>
      </c>
      <c r="D17" s="242">
        <v>1.7790978673495471E-4</v>
      </c>
      <c r="E17" s="37">
        <v>1.0093170237830259E-4</v>
      </c>
      <c r="F17" s="48">
        <v>4.7556180451855236E-4</v>
      </c>
    </row>
    <row r="18" spans="2:9" ht="18" customHeight="1">
      <c r="B18" s="13"/>
      <c r="C18" s="16" t="s">
        <v>1739</v>
      </c>
      <c r="D18" s="242">
        <v>5.2525746559843763E-4</v>
      </c>
      <c r="E18" s="37">
        <v>1.3330672934104781E-3</v>
      </c>
      <c r="F18" s="48">
        <v>1.4040396133404858E-3</v>
      </c>
    </row>
    <row r="19" spans="2:9" ht="15" customHeight="1">
      <c r="B19" s="13"/>
      <c r="C19" s="14" t="s">
        <v>16</v>
      </c>
      <c r="D19" s="2087">
        <v>0</v>
      </c>
      <c r="E19" s="15">
        <v>4.7052032854445229E-3</v>
      </c>
      <c r="F19" s="2088">
        <v>0</v>
      </c>
    </row>
    <row r="20" spans="2:9" ht="18" customHeight="1">
      <c r="B20" s="13"/>
      <c r="C20" s="16" t="s">
        <v>1740</v>
      </c>
      <c r="D20" s="242">
        <v>0</v>
      </c>
      <c r="E20" s="2093">
        <v>4.6682246945562601E-3</v>
      </c>
      <c r="F20" s="48">
        <v>0</v>
      </c>
    </row>
    <row r="21" spans="2:9" ht="18" customHeight="1">
      <c r="B21" s="13"/>
      <c r="C21" s="16" t="s">
        <v>1741</v>
      </c>
      <c r="D21" s="242">
        <v>0</v>
      </c>
      <c r="E21" s="2093">
        <v>1.165272220521636E-5</v>
      </c>
      <c r="F21" s="48">
        <v>0</v>
      </c>
    </row>
    <row r="22" spans="2:9" ht="18" customHeight="1">
      <c r="B22" s="13"/>
      <c r="C22" s="16" t="s">
        <v>1742</v>
      </c>
      <c r="D22" s="242">
        <v>0</v>
      </c>
      <c r="E22" s="2093">
        <v>2.5325868683045963E-5</v>
      </c>
      <c r="F22" s="48">
        <v>0</v>
      </c>
      <c r="I22" s="2085" t="s">
        <v>1743</v>
      </c>
    </row>
    <row r="23" spans="2:9" ht="15" customHeight="1">
      <c r="B23" s="13"/>
      <c r="C23" s="14" t="s">
        <v>1744</v>
      </c>
      <c r="D23" s="242"/>
      <c r="E23" s="37"/>
      <c r="F23" s="48"/>
    </row>
    <row r="24" spans="2:9" ht="15" customHeight="1">
      <c r="B24" s="18"/>
      <c r="C24" s="19" t="s">
        <v>17</v>
      </c>
      <c r="D24" s="242">
        <v>10.310826910434773</v>
      </c>
      <c r="E24" s="37">
        <v>13.309032908833277</v>
      </c>
      <c r="F24" s="48">
        <v>15.916705741925753</v>
      </c>
    </row>
    <row r="25" spans="2:9" ht="15" customHeight="1">
      <c r="B25" s="2089" t="s">
        <v>18</v>
      </c>
      <c r="C25" s="9"/>
      <c r="D25" s="2094">
        <v>16.870796954329833</v>
      </c>
      <c r="E25" s="20">
        <v>17.000425590955349</v>
      </c>
      <c r="F25" s="2095">
        <v>18.84224894318902</v>
      </c>
    </row>
    <row r="26" spans="2:9" ht="15" customHeight="1">
      <c r="B26" s="11"/>
      <c r="C26" s="21" t="s">
        <v>19</v>
      </c>
      <c r="D26" s="2087">
        <v>2.9977886922530943</v>
      </c>
      <c r="E26" s="15">
        <v>2.9565234962334581</v>
      </c>
      <c r="F26" s="2088">
        <v>4.197594934024055</v>
      </c>
    </row>
    <row r="27" spans="2:9" ht="18" customHeight="1">
      <c r="B27" s="13"/>
      <c r="C27" s="16" t="s">
        <v>1745</v>
      </c>
      <c r="D27" s="242">
        <v>2.9761269853411139</v>
      </c>
      <c r="E27" s="37">
        <v>2.9357259289580111</v>
      </c>
      <c r="F27" s="48">
        <v>4.1674057464580709</v>
      </c>
    </row>
    <row r="28" spans="2:9" ht="18" customHeight="1">
      <c r="B28" s="13"/>
      <c r="C28" s="16" t="s">
        <v>1746</v>
      </c>
      <c r="D28" s="242">
        <v>7.1348289907982405E-3</v>
      </c>
      <c r="E28" s="37">
        <v>6.4703542634723527E-3</v>
      </c>
      <c r="F28" s="48">
        <v>9.8491359212319104E-3</v>
      </c>
    </row>
    <row r="29" spans="2:9" ht="18" customHeight="1">
      <c r="B29" s="13"/>
      <c r="C29" s="16" t="s">
        <v>1747</v>
      </c>
      <c r="D29" s="242">
        <v>1.4526877921181814E-2</v>
      </c>
      <c r="E29" s="37">
        <v>1.4327213011974494E-2</v>
      </c>
      <c r="F29" s="48">
        <v>2.0340051644752919E-2</v>
      </c>
    </row>
    <row r="30" spans="2:9" ht="15" customHeight="1">
      <c r="B30" s="13"/>
      <c r="C30" s="16" t="s">
        <v>20</v>
      </c>
      <c r="D30" s="2087">
        <v>9.2104147103389131</v>
      </c>
      <c r="E30" s="15">
        <v>9.9817454474748253</v>
      </c>
      <c r="F30" s="2088">
        <v>9.9965876161581342</v>
      </c>
    </row>
    <row r="31" spans="2:9" ht="18" customHeight="1">
      <c r="B31" s="13"/>
      <c r="C31" s="16" t="s">
        <v>1748</v>
      </c>
      <c r="D31" s="242">
        <v>9.1880239703649558</v>
      </c>
      <c r="E31" s="37">
        <v>9.956569199153952</v>
      </c>
      <c r="F31" s="48">
        <v>9.9716848670661307</v>
      </c>
    </row>
    <row r="32" spans="2:9" ht="18" customHeight="1">
      <c r="B32" s="13"/>
      <c r="C32" s="16" t="s">
        <v>1749</v>
      </c>
      <c r="D32" s="242">
        <v>1.6000535456314961E-2</v>
      </c>
      <c r="E32" s="37">
        <v>1.7805969765862278E-2</v>
      </c>
      <c r="F32" s="48">
        <v>1.7922089094710016E-2</v>
      </c>
    </row>
    <row r="33" spans="2:9" ht="18" customHeight="1">
      <c r="B33" s="13"/>
      <c r="C33" s="16" t="s">
        <v>1750</v>
      </c>
      <c r="D33" s="242">
        <v>6.3902045176420985E-3</v>
      </c>
      <c r="E33" s="37">
        <v>7.3702785550122255E-3</v>
      </c>
      <c r="F33" s="48">
        <v>6.9806599972935838E-3</v>
      </c>
    </row>
    <row r="34" spans="2:9" ht="15" customHeight="1">
      <c r="B34" s="13"/>
      <c r="C34" s="16" t="s">
        <v>21</v>
      </c>
      <c r="D34" s="2087">
        <v>4.5765247180938387</v>
      </c>
      <c r="E34" s="15">
        <v>3.9512819473900591</v>
      </c>
      <c r="F34" s="2088">
        <v>4.5565816085388926</v>
      </c>
    </row>
    <row r="35" spans="2:9" ht="18" customHeight="1">
      <c r="B35" s="13"/>
      <c r="C35" s="16" t="s">
        <v>1751</v>
      </c>
      <c r="D35" s="242">
        <v>4.5574772247834741</v>
      </c>
      <c r="E35" s="37">
        <v>3.9357243119608962</v>
      </c>
      <c r="F35" s="48">
        <v>4.5275020179792955</v>
      </c>
    </row>
    <row r="36" spans="2:9" ht="18" customHeight="1">
      <c r="B36" s="13"/>
      <c r="C36" s="16" t="s">
        <v>1752</v>
      </c>
      <c r="D36" s="242">
        <v>8.5088482807772082E-3</v>
      </c>
      <c r="E36" s="37">
        <v>6.6581660710486584E-3</v>
      </c>
      <c r="F36" s="48">
        <v>9.2149143569085455E-3</v>
      </c>
    </row>
    <row r="37" spans="2:9" ht="18" customHeight="1">
      <c r="B37" s="13"/>
      <c r="C37" s="16" t="s">
        <v>1753</v>
      </c>
      <c r="D37" s="242">
        <v>1.0538645029587863E-2</v>
      </c>
      <c r="E37" s="37">
        <v>8.8994693581140073E-3</v>
      </c>
      <c r="F37" s="48">
        <v>1.9864676202688399E-2</v>
      </c>
    </row>
    <row r="38" spans="2:9" ht="15" customHeight="1">
      <c r="B38" s="13"/>
      <c r="C38" s="16" t="s">
        <v>22</v>
      </c>
      <c r="D38" s="2087">
        <v>8.6068833643987333E-2</v>
      </c>
      <c r="E38" s="15">
        <v>0.11087469985700518</v>
      </c>
      <c r="F38" s="2088">
        <v>9.1484784467937327E-2</v>
      </c>
    </row>
    <row r="39" spans="2:9" ht="18" customHeight="1">
      <c r="B39" s="13"/>
      <c r="C39" s="16" t="s">
        <v>1754</v>
      </c>
      <c r="D39" s="242">
        <v>0</v>
      </c>
      <c r="E39" s="2093">
        <v>0</v>
      </c>
      <c r="F39" s="48">
        <v>0</v>
      </c>
    </row>
    <row r="40" spans="2:9" ht="18" customHeight="1">
      <c r="B40" s="13"/>
      <c r="C40" s="16" t="s">
        <v>1755</v>
      </c>
      <c r="D40" s="242">
        <v>6.1142771997801576E-2</v>
      </c>
      <c r="E40" s="37">
        <v>8.1869158886662644E-2</v>
      </c>
      <c r="F40" s="48">
        <v>6.7513097504323313E-2</v>
      </c>
    </row>
    <row r="41" spans="2:9" ht="18" customHeight="1">
      <c r="B41" s="18"/>
      <c r="C41" s="22" t="s">
        <v>1756</v>
      </c>
      <c r="D41" s="242">
        <v>2.4926061646185754E-2</v>
      </c>
      <c r="E41" s="37">
        <v>2.9005540970342532E-2</v>
      </c>
      <c r="F41" s="48">
        <v>2.3971686963614021E-2</v>
      </c>
    </row>
    <row r="42" spans="2:9" ht="15" customHeight="1">
      <c r="B42" s="2089" t="s">
        <v>23</v>
      </c>
      <c r="C42" s="9"/>
      <c r="D42" s="2096">
        <v>35.471593879185441</v>
      </c>
      <c r="E42" s="20">
        <v>35.269544157212074</v>
      </c>
      <c r="F42" s="2097">
        <v>46.78388945370331</v>
      </c>
    </row>
    <row r="43" spans="2:9" ht="15" customHeight="1">
      <c r="B43" s="11"/>
      <c r="C43" s="21" t="s">
        <v>24</v>
      </c>
      <c r="D43" s="2087">
        <v>23.759499999999999</v>
      </c>
      <c r="E43" s="15">
        <v>22.526256286619397</v>
      </c>
      <c r="F43" s="2088">
        <v>30.709353745791244</v>
      </c>
    </row>
    <row r="44" spans="2:9" ht="18" customHeight="1">
      <c r="B44" s="13"/>
      <c r="C44" s="16" t="s">
        <v>1757</v>
      </c>
      <c r="D44" s="242">
        <v>23.195</v>
      </c>
      <c r="E44" s="37">
        <v>22.519055143367485</v>
      </c>
      <c r="F44" s="48">
        <v>29.979732744107743</v>
      </c>
    </row>
    <row r="45" spans="2:9" ht="19.5" customHeight="1">
      <c r="B45" s="13"/>
      <c r="C45" s="16" t="s">
        <v>1758</v>
      </c>
      <c r="D45" s="242">
        <v>4.6199999999999998E-2</v>
      </c>
      <c r="E45" s="37">
        <v>6.3658375800336757E-3</v>
      </c>
      <c r="F45" s="48">
        <v>5.9713888888888879E-2</v>
      </c>
      <c r="I45" s="2098" t="s">
        <v>1759</v>
      </c>
    </row>
    <row r="46" spans="2:9" ht="18" customHeight="1">
      <c r="B46" s="13"/>
      <c r="C46" s="16" t="s">
        <v>1760</v>
      </c>
      <c r="D46" s="242">
        <v>0.51829999999999998</v>
      </c>
      <c r="E46" s="37">
        <v>8.3530567187743471E-4</v>
      </c>
      <c r="F46" s="48">
        <v>0.66990711279461268</v>
      </c>
    </row>
    <row r="47" spans="2:9" ht="15" customHeight="1">
      <c r="B47" s="13"/>
      <c r="C47" s="16" t="s">
        <v>25</v>
      </c>
      <c r="D47" s="2087">
        <v>1.0441175460536907</v>
      </c>
      <c r="E47" s="15">
        <v>2.7366303275114334</v>
      </c>
      <c r="F47" s="2088">
        <v>1.0638304392432043</v>
      </c>
    </row>
    <row r="48" spans="2:9" ht="18" customHeight="1">
      <c r="B48" s="13"/>
      <c r="C48" s="16" t="s">
        <v>1761</v>
      </c>
      <c r="D48" s="242">
        <v>1.0395505155055149</v>
      </c>
      <c r="E48" s="37">
        <v>2.7318932899032262</v>
      </c>
      <c r="F48" s="48">
        <v>1.0590100762313017</v>
      </c>
    </row>
    <row r="49" spans="2:6" ht="18" customHeight="1">
      <c r="B49" s="13"/>
      <c r="C49" s="16" t="s">
        <v>1762</v>
      </c>
      <c r="D49" s="242">
        <v>9.2045473829539511E-4</v>
      </c>
      <c r="E49" s="37">
        <v>9.4504836825138586E-4</v>
      </c>
      <c r="F49" s="48">
        <v>9.9654921398846237E-4</v>
      </c>
    </row>
    <row r="50" spans="2:6" ht="18" customHeight="1">
      <c r="B50" s="13"/>
      <c r="C50" s="16" t="s">
        <v>1763</v>
      </c>
      <c r="D50" s="242">
        <v>3.6465758098802653E-3</v>
      </c>
      <c r="E50" s="37">
        <v>3.7919892399557601E-3</v>
      </c>
      <c r="F50" s="48">
        <v>3.8238137979139937E-3</v>
      </c>
    </row>
    <row r="51" spans="2:6" ht="15" customHeight="1">
      <c r="B51" s="13"/>
      <c r="C51" s="16" t="s">
        <v>26</v>
      </c>
      <c r="D51" s="2087">
        <v>5.9103000000000003</v>
      </c>
      <c r="E51" s="15">
        <v>5.7208194133124737</v>
      </c>
      <c r="F51" s="2088">
        <v>7.880399999999999</v>
      </c>
    </row>
    <row r="52" spans="2:6" ht="18" customHeight="1">
      <c r="B52" s="13"/>
      <c r="C52" s="16" t="s">
        <v>1764</v>
      </c>
      <c r="D52" s="242">
        <v>5.907</v>
      </c>
      <c r="E52" s="37">
        <v>5.720528738777328</v>
      </c>
      <c r="F52" s="48">
        <v>7.8759999999999994</v>
      </c>
    </row>
    <row r="53" spans="2:6" ht="18" customHeight="1">
      <c r="B53" s="13"/>
      <c r="C53" s="16" t="s">
        <v>1765</v>
      </c>
      <c r="D53" s="242">
        <v>2.9999999999999997E-4</v>
      </c>
      <c r="E53" s="37">
        <v>8.1483343282146977E-5</v>
      </c>
      <c r="F53" s="48">
        <v>3.9999999999999996E-4</v>
      </c>
    </row>
    <row r="54" spans="2:6" ht="18" customHeight="1">
      <c r="B54" s="13"/>
      <c r="C54" s="16" t="s">
        <v>1766</v>
      </c>
      <c r="D54" s="242">
        <v>3.0000000000000001E-3</v>
      </c>
      <c r="E54" s="37">
        <v>2.0919119186306885E-4</v>
      </c>
      <c r="F54" s="48">
        <v>4.0000000000000001E-3</v>
      </c>
    </row>
    <row r="55" spans="2:6" ht="15" customHeight="1">
      <c r="B55" s="13"/>
      <c r="C55" s="16" t="s">
        <v>27</v>
      </c>
      <c r="D55" s="2087">
        <v>1.5039261744604842</v>
      </c>
      <c r="E55" s="15">
        <v>2.1557779984574936</v>
      </c>
      <c r="F55" s="2088">
        <v>1.8498913711038303</v>
      </c>
    </row>
    <row r="56" spans="2:6" ht="18" customHeight="1">
      <c r="B56" s="13"/>
      <c r="C56" s="16" t="s">
        <v>1767</v>
      </c>
      <c r="D56" s="242">
        <v>1.4880829330956415</v>
      </c>
      <c r="E56" s="37">
        <v>2.133145964549084</v>
      </c>
      <c r="F56" s="48">
        <v>1.8303526648197068</v>
      </c>
    </row>
    <row r="57" spans="2:6" ht="18" customHeight="1">
      <c r="B57" s="13"/>
      <c r="C57" s="16" t="s">
        <v>1768</v>
      </c>
      <c r="D57" s="242">
        <v>4.2214091255211575E-3</v>
      </c>
      <c r="E57" s="37">
        <v>6.1550960045122817E-3</v>
      </c>
      <c r="F57" s="48">
        <v>5.2437693983964466E-3</v>
      </c>
    </row>
    <row r="58" spans="2:6" ht="18" customHeight="1">
      <c r="B58" s="13"/>
      <c r="C58" s="16" t="s">
        <v>1769</v>
      </c>
      <c r="D58" s="242">
        <v>1.1621832239321506E-2</v>
      </c>
      <c r="E58" s="37">
        <v>1.6476937903896961E-2</v>
      </c>
      <c r="F58" s="48">
        <v>1.4294936885726995E-2</v>
      </c>
    </row>
    <row r="59" spans="2:6" ht="15" customHeight="1">
      <c r="B59" s="13"/>
      <c r="C59" s="16" t="s">
        <v>28</v>
      </c>
      <c r="D59" s="2087">
        <v>0.23883958927046617</v>
      </c>
      <c r="E59" s="15">
        <v>0.1870394264761171</v>
      </c>
      <c r="F59" s="2088">
        <v>0.29730034118358406</v>
      </c>
    </row>
    <row r="60" spans="2:6" ht="18" customHeight="1">
      <c r="B60" s="13"/>
      <c r="C60" s="16" t="s">
        <v>1770</v>
      </c>
      <c r="D60" s="242">
        <v>0.23660057910605095</v>
      </c>
      <c r="E60" s="37">
        <v>0.18530507924942111</v>
      </c>
      <c r="F60" s="48">
        <v>0.29451328863577403</v>
      </c>
    </row>
    <row r="61" spans="2:6" ht="18" customHeight="1">
      <c r="B61" s="13"/>
      <c r="C61" s="16" t="s">
        <v>1771</v>
      </c>
      <c r="D61" s="242">
        <v>3.9117482073809992E-4</v>
      </c>
      <c r="E61" s="37">
        <v>3.0300575507999995E-4</v>
      </c>
      <c r="F61" s="48">
        <v>4.8692265810325243E-4</v>
      </c>
    </row>
    <row r="62" spans="2:6" ht="18" customHeight="1">
      <c r="B62" s="13"/>
      <c r="C62" s="16" t="s">
        <v>1772</v>
      </c>
      <c r="D62" s="242">
        <v>1.8478353436771201E-3</v>
      </c>
      <c r="E62" s="37">
        <v>1.4313414716159998E-3</v>
      </c>
      <c r="F62" s="48">
        <v>2.3001298897067932E-3</v>
      </c>
    </row>
    <row r="63" spans="2:6" ht="15" customHeight="1">
      <c r="B63" s="13"/>
      <c r="C63" s="16" t="s">
        <v>29</v>
      </c>
      <c r="D63" s="2087">
        <v>0.99763614870009376</v>
      </c>
      <c r="E63" s="15">
        <v>0.35394885750021793</v>
      </c>
      <c r="F63" s="2088">
        <v>1.7459706655385421</v>
      </c>
    </row>
    <row r="64" spans="2:6" ht="18" customHeight="1">
      <c r="B64" s="13"/>
      <c r="C64" s="16" t="s">
        <v>1773</v>
      </c>
      <c r="D64" s="242">
        <v>0.98859813830762433</v>
      </c>
      <c r="E64" s="37">
        <v>0.35066338940802455</v>
      </c>
      <c r="F64" s="48">
        <v>1.7301531743212828</v>
      </c>
    </row>
    <row r="65" spans="2:6" ht="18" customHeight="1">
      <c r="B65" s="13"/>
      <c r="C65" s="16" t="s">
        <v>1774</v>
      </c>
      <c r="D65" s="242">
        <v>1.4732902529742519E-3</v>
      </c>
      <c r="E65" s="37">
        <v>5.3556567280776003E-4</v>
      </c>
      <c r="F65" s="48">
        <v>2.578416556846503E-3</v>
      </c>
    </row>
    <row r="66" spans="2:6" ht="18" customHeight="1">
      <c r="B66" s="13"/>
      <c r="C66" s="16" t="s">
        <v>1775</v>
      </c>
      <c r="D66" s="242">
        <v>7.5647201394951225E-3</v>
      </c>
      <c r="E66" s="37">
        <v>2.7499024193855998E-3</v>
      </c>
      <c r="F66" s="48">
        <v>1.3239074660412685E-2</v>
      </c>
    </row>
    <row r="67" spans="2:6" ht="15" customHeight="1">
      <c r="B67" s="13"/>
      <c r="C67" s="16" t="s">
        <v>30</v>
      </c>
      <c r="D67" s="2087">
        <v>0.29595514575746695</v>
      </c>
      <c r="E67" s="15">
        <v>0.45504484889968855</v>
      </c>
      <c r="F67" s="2088">
        <v>0.47492254215189089</v>
      </c>
    </row>
    <row r="68" spans="2:6" ht="18" customHeight="1">
      <c r="B68" s="13"/>
      <c r="C68" s="16" t="s">
        <v>1776</v>
      </c>
      <c r="D68" s="242">
        <v>0.29595514575746695</v>
      </c>
      <c r="E68" s="37">
        <v>0.45504484889968855</v>
      </c>
      <c r="F68" s="48">
        <v>0.47492254215189089</v>
      </c>
    </row>
    <row r="69" spans="2:6" ht="18" customHeight="1">
      <c r="B69" s="13"/>
      <c r="C69" s="16" t="s">
        <v>1777</v>
      </c>
      <c r="D69" s="242">
        <v>0</v>
      </c>
      <c r="E69" s="2099">
        <v>0</v>
      </c>
      <c r="F69" s="48">
        <v>0</v>
      </c>
    </row>
    <row r="70" spans="2:6" ht="18" customHeight="1">
      <c r="B70" s="13"/>
      <c r="C70" s="16" t="s">
        <v>1778</v>
      </c>
      <c r="D70" s="242">
        <v>0</v>
      </c>
      <c r="E70" s="2099">
        <v>0</v>
      </c>
      <c r="F70" s="48">
        <v>0</v>
      </c>
    </row>
    <row r="71" spans="2:6" ht="15" customHeight="1">
      <c r="B71" s="13"/>
      <c r="C71" s="16" t="s">
        <v>31</v>
      </c>
      <c r="D71" s="2087">
        <v>1.7213192749432313</v>
      </c>
      <c r="E71" s="15">
        <v>1.1340269984352445</v>
      </c>
      <c r="F71" s="2088">
        <v>2.76222034869101</v>
      </c>
    </row>
    <row r="72" spans="2:6" ht="18" customHeight="1">
      <c r="B72" s="13"/>
      <c r="C72" s="16" t="s">
        <v>1779</v>
      </c>
      <c r="D72" s="242">
        <v>1.7033436072509349</v>
      </c>
      <c r="E72" s="37">
        <v>1.1225113202933246</v>
      </c>
      <c r="F72" s="48">
        <v>2.7333745931105375</v>
      </c>
    </row>
    <row r="73" spans="2:6" ht="18" customHeight="1">
      <c r="B73" s="13"/>
      <c r="C73" s="16" t="s">
        <v>1780</v>
      </c>
      <c r="D73" s="242">
        <v>1.6260244486223973E-3</v>
      </c>
      <c r="E73" s="37">
        <v>8.8239814992000019E-4</v>
      </c>
      <c r="F73" s="48">
        <v>2.6092996719635246E-3</v>
      </c>
    </row>
    <row r="74" spans="2:6" ht="18" customHeight="1">
      <c r="B74" s="18"/>
      <c r="C74" s="22" t="s">
        <v>1781</v>
      </c>
      <c r="D74" s="242">
        <v>1.6349643243674026E-2</v>
      </c>
      <c r="E74" s="37">
        <v>1.0633279991999998E-2</v>
      </c>
      <c r="F74" s="48">
        <v>2.6236455908509065E-2</v>
      </c>
    </row>
    <row r="75" spans="2:6" ht="15" customHeight="1">
      <c r="B75" s="2089" t="s">
        <v>32</v>
      </c>
      <c r="C75" s="9"/>
      <c r="D75" s="2096">
        <v>0.94188463845227166</v>
      </c>
      <c r="E75" s="20">
        <v>0.83609220289311492</v>
      </c>
      <c r="F75" s="2097">
        <v>0.92368868344346611</v>
      </c>
    </row>
    <row r="76" spans="2:6" ht="15" customHeight="1">
      <c r="B76" s="11"/>
      <c r="C76" s="21" t="s">
        <v>33</v>
      </c>
      <c r="D76" s="2087">
        <v>0.81153636654107164</v>
      </c>
      <c r="E76" s="15">
        <v>0.69429473534991493</v>
      </c>
      <c r="F76" s="2088">
        <v>0.79334041153255652</v>
      </c>
    </row>
    <row r="77" spans="2:6" ht="18" customHeight="1">
      <c r="B77" s="13"/>
      <c r="C77" s="16" t="s">
        <v>1782</v>
      </c>
      <c r="D77" s="242">
        <v>1.286356102429063E-4</v>
      </c>
      <c r="E77" s="37">
        <v>3.271486645917849E-4</v>
      </c>
      <c r="F77" s="48">
        <v>1.2575139226700816E-4</v>
      </c>
    </row>
    <row r="78" spans="2:6" ht="18" customHeight="1">
      <c r="B78" s="13"/>
      <c r="C78" s="16" t="s">
        <v>1783</v>
      </c>
      <c r="D78" s="242">
        <v>0.81133629419025521</v>
      </c>
      <c r="E78" s="37">
        <v>0.69378590733356893</v>
      </c>
      <c r="F78" s="48">
        <v>0.79314482512672535</v>
      </c>
    </row>
    <row r="79" spans="2:6" ht="18" customHeight="1">
      <c r="B79" s="13"/>
      <c r="C79" s="16" t="s">
        <v>1784</v>
      </c>
      <c r="D79" s="242">
        <v>7.1436740573558788E-5</v>
      </c>
      <c r="E79" s="37">
        <v>1.8167935175414089E-4</v>
      </c>
      <c r="F79" s="48">
        <v>6.9835013564119024E-5</v>
      </c>
    </row>
    <row r="80" spans="2:6" ht="15" customHeight="1">
      <c r="B80" s="13"/>
      <c r="C80" s="16" t="s">
        <v>34</v>
      </c>
      <c r="D80" s="2087">
        <v>0</v>
      </c>
      <c r="E80" s="15">
        <v>0</v>
      </c>
      <c r="F80" s="2088">
        <v>0</v>
      </c>
    </row>
    <row r="81" spans="2:6" ht="18" customHeight="1">
      <c r="B81" s="13"/>
      <c r="C81" s="16" t="s">
        <v>1785</v>
      </c>
      <c r="D81" s="242">
        <v>0</v>
      </c>
      <c r="E81" s="37">
        <v>0</v>
      </c>
      <c r="F81" s="48">
        <v>0</v>
      </c>
    </row>
    <row r="82" spans="2:6" ht="18" customHeight="1">
      <c r="B82" s="13"/>
      <c r="C82" s="16" t="s">
        <v>1786</v>
      </c>
      <c r="D82" s="242">
        <v>0</v>
      </c>
      <c r="E82" s="37">
        <v>0</v>
      </c>
      <c r="F82" s="48">
        <v>0</v>
      </c>
    </row>
    <row r="83" spans="2:6" ht="18" customHeight="1">
      <c r="B83" s="13"/>
      <c r="C83" s="16" t="s">
        <v>1787</v>
      </c>
      <c r="D83" s="242">
        <v>0</v>
      </c>
      <c r="E83" s="37">
        <v>0</v>
      </c>
      <c r="F83" s="48">
        <v>0</v>
      </c>
    </row>
    <row r="84" spans="2:6" ht="15" customHeight="1">
      <c r="B84" s="13"/>
      <c r="C84" s="16" t="s">
        <v>35</v>
      </c>
      <c r="D84" s="2087">
        <v>0.13034827191119999</v>
      </c>
      <c r="E84" s="15">
        <v>0.14179746754319997</v>
      </c>
      <c r="F84" s="2088">
        <v>0.13034827191090953</v>
      </c>
    </row>
    <row r="85" spans="2:6" ht="18" customHeight="1">
      <c r="B85" s="13"/>
      <c r="C85" s="16" t="s">
        <v>1788</v>
      </c>
      <c r="D85" s="242">
        <v>0</v>
      </c>
      <c r="E85" s="37">
        <v>0</v>
      </c>
      <c r="F85" s="48">
        <v>0</v>
      </c>
    </row>
    <row r="86" spans="2:6" ht="18" customHeight="1">
      <c r="B86" s="13"/>
      <c r="C86" s="16" t="s">
        <v>1789</v>
      </c>
      <c r="D86" s="242">
        <v>0.13034827191119999</v>
      </c>
      <c r="E86" s="37">
        <v>0.14179746754319997</v>
      </c>
      <c r="F86" s="48">
        <v>0.13034827191090953</v>
      </c>
    </row>
    <row r="87" spans="2:6" ht="18" customHeight="1">
      <c r="B87" s="18"/>
      <c r="C87" s="22" t="s">
        <v>1790</v>
      </c>
      <c r="D87" s="242">
        <v>0</v>
      </c>
      <c r="E87" s="37">
        <v>0</v>
      </c>
      <c r="F87" s="48">
        <v>0</v>
      </c>
    </row>
    <row r="88" spans="2:6" ht="15" customHeight="1">
      <c r="B88" s="8" t="s">
        <v>1791</v>
      </c>
      <c r="C88" s="23"/>
      <c r="D88" s="2096">
        <v>7.4410423344781096</v>
      </c>
      <c r="E88" s="24">
        <v>4.3985727448193961</v>
      </c>
      <c r="F88" s="2097">
        <v>10.244740524234293</v>
      </c>
    </row>
    <row r="89" spans="2:6" ht="15" customHeight="1">
      <c r="B89" s="11"/>
      <c r="C89" s="12" t="s">
        <v>37</v>
      </c>
      <c r="D89" s="2087">
        <v>1.4832417277099998</v>
      </c>
      <c r="E89" s="15">
        <v>0.91825561308231174</v>
      </c>
      <c r="F89" s="2088">
        <v>2.0921304477375937</v>
      </c>
    </row>
    <row r="90" spans="2:6" ht="18" customHeight="1">
      <c r="B90" s="13"/>
      <c r="C90" s="16" t="s">
        <v>1792</v>
      </c>
      <c r="D90" s="242">
        <v>1.4832417277099998</v>
      </c>
      <c r="E90" s="37">
        <v>0.91825561308231174</v>
      </c>
      <c r="F90" s="48">
        <v>2.0921304477375937</v>
      </c>
    </row>
    <row r="91" spans="2:6" ht="18" customHeight="1">
      <c r="B91" s="13"/>
      <c r="C91" s="16" t="s">
        <v>1793</v>
      </c>
      <c r="D91" s="242">
        <v>0</v>
      </c>
      <c r="E91" s="37">
        <v>0</v>
      </c>
      <c r="F91" s="48">
        <v>0</v>
      </c>
    </row>
    <row r="92" spans="2:6" ht="18" customHeight="1">
      <c r="B92" s="13"/>
      <c r="C92" s="16" t="s">
        <v>1794</v>
      </c>
      <c r="D92" s="242">
        <v>0</v>
      </c>
      <c r="E92" s="37">
        <v>0</v>
      </c>
      <c r="F92" s="48">
        <v>0</v>
      </c>
    </row>
    <row r="93" spans="2:6" ht="15" customHeight="1">
      <c r="B93" s="13"/>
      <c r="C93" s="25" t="s">
        <v>38</v>
      </c>
      <c r="D93" s="2087">
        <v>0.11394119158533558</v>
      </c>
      <c r="E93" s="15">
        <v>8.5604639999999996E-2</v>
      </c>
      <c r="F93" s="2088">
        <v>0.21205362527016922</v>
      </c>
    </row>
    <row r="94" spans="2:6" ht="18" customHeight="1">
      <c r="B94" s="13"/>
      <c r="C94" s="16" t="s">
        <v>1795</v>
      </c>
      <c r="D94" s="242">
        <v>0.11394119158533558</v>
      </c>
      <c r="E94" s="37">
        <v>8.5604639999999996E-2</v>
      </c>
      <c r="F94" s="48">
        <v>0.21205362527016922</v>
      </c>
    </row>
    <row r="95" spans="2:6" ht="18" customHeight="1">
      <c r="B95" s="13"/>
      <c r="C95" s="16" t="s">
        <v>1796</v>
      </c>
      <c r="D95" s="242">
        <v>0</v>
      </c>
      <c r="E95" s="37">
        <v>0</v>
      </c>
      <c r="F95" s="48">
        <v>0</v>
      </c>
    </row>
    <row r="96" spans="2:6" ht="18" customHeight="1">
      <c r="B96" s="13"/>
      <c r="C96" s="16" t="s">
        <v>1797</v>
      </c>
      <c r="D96" s="242">
        <v>0</v>
      </c>
      <c r="E96" s="37">
        <v>0</v>
      </c>
      <c r="F96" s="48">
        <v>0</v>
      </c>
    </row>
    <row r="97" spans="2:6" ht="15" customHeight="1">
      <c r="B97" s="13"/>
      <c r="C97" s="25" t="s">
        <v>39</v>
      </c>
      <c r="D97" s="2087">
        <v>4.7611020076877966E-2</v>
      </c>
      <c r="E97" s="15">
        <v>4.0365128549999997E-2</v>
      </c>
      <c r="F97" s="2088">
        <v>4.7600366597536865E-2</v>
      </c>
    </row>
    <row r="98" spans="2:6" ht="18" customHeight="1">
      <c r="B98" s="13"/>
      <c r="C98" s="16" t="s">
        <v>1798</v>
      </c>
      <c r="D98" s="242">
        <v>4.7611020076877966E-2</v>
      </c>
      <c r="E98" s="37">
        <v>4.0365128549999997E-2</v>
      </c>
      <c r="F98" s="48">
        <v>4.7600366597536865E-2</v>
      </c>
    </row>
    <row r="99" spans="2:6" ht="18" customHeight="1">
      <c r="B99" s="13"/>
      <c r="C99" s="16" t="s">
        <v>1799</v>
      </c>
      <c r="D99" s="242">
        <v>0</v>
      </c>
      <c r="E99" s="37">
        <v>0</v>
      </c>
      <c r="F99" s="48">
        <v>0</v>
      </c>
    </row>
    <row r="100" spans="2:6" ht="18" customHeight="1">
      <c r="B100" s="13"/>
      <c r="C100" s="16" t="s">
        <v>1800</v>
      </c>
      <c r="D100" s="242">
        <v>0</v>
      </c>
      <c r="E100" s="37">
        <v>0</v>
      </c>
      <c r="F100" s="48">
        <v>0</v>
      </c>
    </row>
    <row r="101" spans="2:6" ht="15" customHeight="1">
      <c r="B101" s="13"/>
      <c r="C101" s="25" t="s">
        <v>40</v>
      </c>
      <c r="D101" s="2087">
        <v>3.5971163869434326</v>
      </c>
      <c r="E101" s="15">
        <v>0.90971243984396266</v>
      </c>
      <c r="F101" s="2088">
        <v>3.8514285439815463</v>
      </c>
    </row>
    <row r="102" spans="2:6" ht="18" customHeight="1">
      <c r="B102" s="13"/>
      <c r="C102" s="16" t="s">
        <v>1801</v>
      </c>
      <c r="D102" s="242">
        <v>3.5971163869434326</v>
      </c>
      <c r="E102" s="37">
        <v>0.90971243984396266</v>
      </c>
      <c r="F102" s="48">
        <v>3.8514285439815463</v>
      </c>
    </row>
    <row r="103" spans="2:6" ht="18" customHeight="1">
      <c r="B103" s="13"/>
      <c r="C103" s="16" t="s">
        <v>1802</v>
      </c>
      <c r="D103" s="242">
        <v>0</v>
      </c>
      <c r="E103" s="37">
        <v>0</v>
      </c>
      <c r="F103" s="48">
        <v>0</v>
      </c>
    </row>
    <row r="104" spans="2:6" ht="18" customHeight="1">
      <c r="B104" s="13"/>
      <c r="C104" s="16" t="s">
        <v>1803</v>
      </c>
      <c r="D104" s="242">
        <v>0</v>
      </c>
      <c r="E104" s="37">
        <v>0</v>
      </c>
      <c r="F104" s="48">
        <v>0</v>
      </c>
    </row>
    <row r="105" spans="2:6" ht="15" customHeight="1">
      <c r="B105" s="13"/>
      <c r="C105" s="25" t="s">
        <v>41</v>
      </c>
      <c r="D105" s="2087">
        <v>1.9712824418788801</v>
      </c>
      <c r="E105" s="15">
        <v>2.2763837333431209</v>
      </c>
      <c r="F105" s="2088">
        <v>4.0415275406474471</v>
      </c>
    </row>
    <row r="106" spans="2:6" ht="18" customHeight="1">
      <c r="B106" s="13"/>
      <c r="C106" s="16" t="s">
        <v>1804</v>
      </c>
      <c r="D106" s="242">
        <v>0</v>
      </c>
      <c r="E106" s="37">
        <v>0</v>
      </c>
      <c r="F106" s="48">
        <v>0</v>
      </c>
    </row>
    <row r="107" spans="2:6" ht="18" customHeight="1">
      <c r="B107" s="13"/>
      <c r="C107" s="16" t="s">
        <v>1805</v>
      </c>
      <c r="D107" s="242">
        <v>0</v>
      </c>
      <c r="E107" s="37">
        <v>0</v>
      </c>
      <c r="F107" s="48">
        <v>0</v>
      </c>
    </row>
    <row r="108" spans="2:6" ht="18" customHeight="1">
      <c r="B108" s="13"/>
      <c r="C108" s="16" t="s">
        <v>1806</v>
      </c>
      <c r="D108" s="242">
        <v>1.9712824418788801</v>
      </c>
      <c r="E108" s="37">
        <v>2.2763837333431209</v>
      </c>
      <c r="F108" s="48">
        <v>4.0415275406474471</v>
      </c>
    </row>
    <row r="109" spans="2:6" ht="15" customHeight="1">
      <c r="B109" s="13"/>
      <c r="C109" s="25" t="s">
        <v>42</v>
      </c>
      <c r="D109" s="2087">
        <v>0.22722258548660304</v>
      </c>
      <c r="E109" s="15">
        <v>0.16730000000000003</v>
      </c>
      <c r="F109" s="2088">
        <v>0</v>
      </c>
    </row>
    <row r="110" spans="2:6" ht="18" customHeight="1">
      <c r="B110" s="13"/>
      <c r="C110" s="16" t="s">
        <v>1807</v>
      </c>
      <c r="D110" s="242">
        <v>0</v>
      </c>
      <c r="E110" s="37">
        <v>0</v>
      </c>
      <c r="F110" s="48">
        <v>0</v>
      </c>
    </row>
    <row r="111" spans="2:6" ht="18" customHeight="1">
      <c r="B111" s="13"/>
      <c r="C111" s="16" t="s">
        <v>1808</v>
      </c>
      <c r="D111" s="242">
        <v>0</v>
      </c>
      <c r="E111" s="37">
        <v>0</v>
      </c>
      <c r="F111" s="48">
        <v>0</v>
      </c>
    </row>
    <row r="112" spans="2:6" ht="18" customHeight="1">
      <c r="B112" s="13"/>
      <c r="C112" s="16" t="s">
        <v>1809</v>
      </c>
      <c r="D112" s="242">
        <v>0.22722258548660304</v>
      </c>
      <c r="E112" s="37">
        <v>0.16730000000000003</v>
      </c>
      <c r="F112" s="48">
        <v>0</v>
      </c>
    </row>
    <row r="113" spans="2:6" ht="15" customHeight="1">
      <c r="B113" s="13"/>
      <c r="C113" s="25" t="s">
        <v>43</v>
      </c>
      <c r="D113" s="2087">
        <v>0</v>
      </c>
      <c r="E113" s="15">
        <v>0</v>
      </c>
      <c r="F113" s="2088">
        <v>0</v>
      </c>
    </row>
    <row r="114" spans="2:6" ht="18" customHeight="1">
      <c r="B114" s="13"/>
      <c r="C114" s="16" t="s">
        <v>1810</v>
      </c>
      <c r="D114" s="242">
        <v>0</v>
      </c>
      <c r="E114" s="37">
        <v>0</v>
      </c>
      <c r="F114" s="48">
        <v>0</v>
      </c>
    </row>
    <row r="115" spans="2:6" ht="18" customHeight="1">
      <c r="B115" s="13"/>
      <c r="C115" s="16" t="s">
        <v>1811</v>
      </c>
      <c r="D115" s="242">
        <v>0</v>
      </c>
      <c r="E115" s="37">
        <v>0</v>
      </c>
      <c r="F115" s="48">
        <v>0</v>
      </c>
    </row>
    <row r="116" spans="2:6" ht="18" customHeight="1">
      <c r="B116" s="13"/>
      <c r="C116" s="16" t="s">
        <v>1812</v>
      </c>
      <c r="D116" s="242">
        <v>0</v>
      </c>
      <c r="E116" s="37">
        <v>0</v>
      </c>
      <c r="F116" s="48">
        <v>0</v>
      </c>
    </row>
    <row r="117" spans="2:6" ht="15" customHeight="1">
      <c r="B117" s="13"/>
      <c r="C117" s="25" t="s">
        <v>44</v>
      </c>
      <c r="D117" s="2087">
        <v>6.2698079697975711E-4</v>
      </c>
      <c r="E117" s="15">
        <v>9.5118999999999998E-4</v>
      </c>
      <c r="F117" s="2088">
        <v>1.5532448642384042E-3</v>
      </c>
    </row>
    <row r="118" spans="2:6" ht="18" customHeight="1">
      <c r="B118" s="13"/>
      <c r="C118" s="16" t="s">
        <v>1813</v>
      </c>
      <c r="D118" s="242">
        <v>6.2698079697975711E-4</v>
      </c>
      <c r="E118" s="37">
        <v>9.5118999999999998E-4</v>
      </c>
      <c r="F118" s="48">
        <v>1.5532448642384042E-3</v>
      </c>
    </row>
    <row r="119" spans="2:6" ht="18" customHeight="1">
      <c r="B119" s="13"/>
      <c r="C119" s="16" t="s">
        <v>1814</v>
      </c>
      <c r="D119" s="242">
        <v>0</v>
      </c>
      <c r="E119" s="37">
        <v>0</v>
      </c>
      <c r="F119" s="48">
        <v>0</v>
      </c>
    </row>
    <row r="120" spans="2:6" ht="18" customHeight="1">
      <c r="B120" s="13"/>
      <c r="C120" s="16" t="s">
        <v>1815</v>
      </c>
      <c r="D120" s="242">
        <v>0</v>
      </c>
      <c r="E120" s="37">
        <v>0</v>
      </c>
      <c r="F120" s="48">
        <v>0</v>
      </c>
    </row>
    <row r="121" spans="2:6" ht="15" customHeight="1">
      <c r="B121" s="13"/>
      <c r="C121" s="25" t="s">
        <v>45</v>
      </c>
      <c r="D121" s="2087">
        <v>0</v>
      </c>
      <c r="E121" s="15">
        <v>0</v>
      </c>
      <c r="F121" s="2088">
        <v>0</v>
      </c>
    </row>
    <row r="122" spans="2:6" ht="18" customHeight="1">
      <c r="B122" s="13"/>
      <c r="C122" s="16" t="s">
        <v>1816</v>
      </c>
      <c r="D122" s="242">
        <v>0</v>
      </c>
      <c r="E122" s="37">
        <v>0</v>
      </c>
      <c r="F122" s="48">
        <v>0</v>
      </c>
    </row>
    <row r="123" spans="2:6" ht="18" customHeight="1">
      <c r="B123" s="13"/>
      <c r="C123" s="16" t="s">
        <v>1817</v>
      </c>
      <c r="D123" s="242">
        <v>0</v>
      </c>
      <c r="E123" s="37">
        <v>0</v>
      </c>
      <c r="F123" s="48">
        <v>0</v>
      </c>
    </row>
    <row r="124" spans="2:6" ht="18" customHeight="1">
      <c r="B124" s="18"/>
      <c r="C124" s="22" t="s">
        <v>1818</v>
      </c>
      <c r="D124" s="242">
        <v>0</v>
      </c>
      <c r="E124" s="37">
        <v>0</v>
      </c>
      <c r="F124" s="48">
        <v>0</v>
      </c>
    </row>
    <row r="125" spans="2:6" ht="15" customHeight="1">
      <c r="B125" s="26" t="s">
        <v>46</v>
      </c>
      <c r="C125" s="23"/>
      <c r="D125" s="2096">
        <v>1.7714261577852335</v>
      </c>
      <c r="E125" s="20">
        <v>1.6619477356257877</v>
      </c>
      <c r="F125" s="2097">
        <v>1.8593377996177092</v>
      </c>
    </row>
    <row r="126" spans="2:6" ht="15" customHeight="1">
      <c r="B126" s="11"/>
      <c r="C126" s="12" t="s">
        <v>47</v>
      </c>
      <c r="D126" s="2087">
        <v>0.41906792952085292</v>
      </c>
      <c r="E126" s="15">
        <v>0.3718696192538668</v>
      </c>
      <c r="F126" s="2088">
        <v>0.51337591480750178</v>
      </c>
    </row>
    <row r="127" spans="2:6" ht="18" customHeight="1">
      <c r="B127" s="13"/>
      <c r="C127" s="16" t="s">
        <v>1819</v>
      </c>
      <c r="D127" s="242">
        <v>0</v>
      </c>
      <c r="E127" s="37">
        <v>0</v>
      </c>
      <c r="F127" s="48">
        <v>0</v>
      </c>
    </row>
    <row r="128" spans="2:6" ht="18" customHeight="1">
      <c r="B128" s="13"/>
      <c r="C128" s="16" t="s">
        <v>1820</v>
      </c>
      <c r="D128" s="242">
        <v>0.41906792952085292</v>
      </c>
      <c r="E128" s="37">
        <v>0.3718696192538668</v>
      </c>
      <c r="F128" s="48">
        <v>0.51337591480750178</v>
      </c>
    </row>
    <row r="129" spans="2:6" ht="18" customHeight="1">
      <c r="B129" s="13"/>
      <c r="C129" s="16" t="s">
        <v>1821</v>
      </c>
      <c r="D129" s="242">
        <v>0</v>
      </c>
      <c r="E129" s="37">
        <v>0</v>
      </c>
      <c r="F129" s="48">
        <v>0</v>
      </c>
    </row>
    <row r="130" spans="2:6" ht="15" customHeight="1">
      <c r="B130" s="13"/>
      <c r="C130" s="25" t="s">
        <v>48</v>
      </c>
      <c r="D130" s="2087">
        <v>0.32126317998142256</v>
      </c>
      <c r="E130" s="15">
        <v>0.32451263506016242</v>
      </c>
      <c r="F130" s="2088">
        <v>0.28879281933940915</v>
      </c>
    </row>
    <row r="131" spans="2:6" ht="18" customHeight="1">
      <c r="B131" s="13"/>
      <c r="C131" s="16" t="s">
        <v>1822</v>
      </c>
      <c r="D131" s="242">
        <v>0</v>
      </c>
      <c r="E131" s="37">
        <v>0</v>
      </c>
      <c r="F131" s="48">
        <v>0</v>
      </c>
    </row>
    <row r="132" spans="2:6" ht="18" customHeight="1">
      <c r="B132" s="13"/>
      <c r="C132" s="16" t="s">
        <v>1823</v>
      </c>
      <c r="D132" s="242">
        <v>9.1393836453823679E-2</v>
      </c>
      <c r="E132" s="37">
        <v>9.4279619032532749E-2</v>
      </c>
      <c r="F132" s="48">
        <v>5.6315177354236919E-2</v>
      </c>
    </row>
    <row r="133" spans="2:6" ht="18" customHeight="1">
      <c r="B133" s="13"/>
      <c r="C133" s="16" t="s">
        <v>1824</v>
      </c>
      <c r="D133" s="242">
        <v>0.22986934352759889</v>
      </c>
      <c r="E133" s="37">
        <v>0.23023301602762966</v>
      </c>
      <c r="F133" s="48">
        <v>0.23247764198517221</v>
      </c>
    </row>
    <row r="134" spans="2:6" ht="15" customHeight="1">
      <c r="B134" s="13"/>
      <c r="C134" s="25" t="s">
        <v>49</v>
      </c>
      <c r="D134" s="2087">
        <v>1.0196737391561281</v>
      </c>
      <c r="E134" s="15">
        <v>0.95413728549318777</v>
      </c>
      <c r="F134" s="2088">
        <v>1.0463096684493693</v>
      </c>
    </row>
    <row r="135" spans="2:6" ht="18" customHeight="1">
      <c r="B135" s="13"/>
      <c r="C135" s="16" t="s">
        <v>1825</v>
      </c>
      <c r="D135" s="242">
        <v>0</v>
      </c>
      <c r="E135" s="37">
        <v>0</v>
      </c>
      <c r="F135" s="48">
        <v>0</v>
      </c>
    </row>
    <row r="136" spans="2:6" ht="18" customHeight="1">
      <c r="B136" s="13"/>
      <c r="C136" s="16" t="s">
        <v>1826</v>
      </c>
      <c r="D136" s="242">
        <v>0</v>
      </c>
      <c r="E136" s="37">
        <v>0</v>
      </c>
      <c r="F136" s="48">
        <v>0</v>
      </c>
    </row>
    <row r="137" spans="2:6" ht="18" customHeight="1">
      <c r="B137" s="13"/>
      <c r="C137" s="16" t="s">
        <v>1827</v>
      </c>
      <c r="D137" s="242">
        <v>1.0196737391561281</v>
      </c>
      <c r="E137" s="37">
        <v>0.95413728549318777</v>
      </c>
      <c r="F137" s="48">
        <v>1.0463096684493693</v>
      </c>
    </row>
    <row r="138" spans="2:6" ht="15" customHeight="1">
      <c r="B138" s="13"/>
      <c r="C138" s="25" t="s">
        <v>50</v>
      </c>
      <c r="D138" s="2087">
        <v>6.2730523304344015E-3</v>
      </c>
      <c r="E138" s="15">
        <v>6.2799390221752816E-3</v>
      </c>
      <c r="F138" s="2088">
        <v>5.7111402250334146E-3</v>
      </c>
    </row>
    <row r="139" spans="2:6" ht="18" customHeight="1">
      <c r="B139" s="13"/>
      <c r="C139" s="16" t="s">
        <v>1828</v>
      </c>
      <c r="D139" s="242">
        <v>0</v>
      </c>
      <c r="E139" s="37">
        <v>0</v>
      </c>
      <c r="F139" s="48">
        <v>0</v>
      </c>
    </row>
    <row r="140" spans="2:6" ht="18" customHeight="1">
      <c r="B140" s="13"/>
      <c r="C140" s="16" t="s">
        <v>1829</v>
      </c>
      <c r="D140" s="242">
        <v>3.8931086498058083E-3</v>
      </c>
      <c r="E140" s="37">
        <v>3.7803964061275518E-3</v>
      </c>
      <c r="F140" s="48">
        <v>3.5638119546775363E-3</v>
      </c>
    </row>
    <row r="141" spans="2:6" ht="18" customHeight="1">
      <c r="B141" s="13"/>
      <c r="C141" s="16" t="s">
        <v>1830</v>
      </c>
      <c r="D141" s="242">
        <v>2.3799436806285928E-3</v>
      </c>
      <c r="E141" s="37">
        <v>2.4995426160477298E-3</v>
      </c>
      <c r="F141" s="48">
        <v>2.1473282703558783E-3</v>
      </c>
    </row>
    <row r="142" spans="2:6" ht="15" customHeight="1">
      <c r="B142" s="13"/>
      <c r="C142" s="16" t="s">
        <v>1831</v>
      </c>
      <c r="D142" s="2087">
        <v>5.1482567963954153E-3</v>
      </c>
      <c r="E142" s="15">
        <v>5.1482567963954153E-3</v>
      </c>
      <c r="F142" s="2088">
        <v>5.1482567963954153E-3</v>
      </c>
    </row>
    <row r="143" spans="2:6" ht="18" customHeight="1">
      <c r="B143" s="13"/>
      <c r="C143" s="16" t="s">
        <v>1832</v>
      </c>
      <c r="D143" s="242">
        <v>5.1482567963954153E-3</v>
      </c>
      <c r="E143" s="37">
        <v>5.1482567963954153E-3</v>
      </c>
      <c r="F143" s="48">
        <v>5.1482567963954153E-3</v>
      </c>
    </row>
    <row r="144" spans="2:6" ht="18" customHeight="1">
      <c r="B144" s="13"/>
      <c r="C144" s="16" t="s">
        <v>1833</v>
      </c>
      <c r="D144" s="242">
        <v>0</v>
      </c>
      <c r="E144" s="37">
        <v>0</v>
      </c>
      <c r="F144" s="48">
        <v>0</v>
      </c>
    </row>
    <row r="145" spans="2:6" ht="18" customHeight="1">
      <c r="B145" s="18"/>
      <c r="C145" s="22" t="s">
        <v>1834</v>
      </c>
      <c r="D145" s="242">
        <v>0</v>
      </c>
      <c r="E145" s="37">
        <v>0</v>
      </c>
      <c r="F145" s="48">
        <v>0</v>
      </c>
    </row>
    <row r="146" spans="2:6" ht="15" customHeight="1">
      <c r="B146" s="8" t="s">
        <v>51</v>
      </c>
      <c r="C146" s="23"/>
      <c r="D146" s="2096">
        <v>2.2571179512006849</v>
      </c>
      <c r="E146" s="24">
        <v>2.2571179512006849</v>
      </c>
      <c r="F146" s="2097">
        <v>2.6028767109984461</v>
      </c>
    </row>
    <row r="147" spans="2:6" ht="15" customHeight="1">
      <c r="B147" s="11"/>
      <c r="C147" s="12" t="s">
        <v>52</v>
      </c>
      <c r="D147" s="2087">
        <v>1.2923017168343314</v>
      </c>
      <c r="E147" s="7">
        <v>1.4294593881617876</v>
      </c>
      <c r="F147" s="2088">
        <v>1.4925761454093016</v>
      </c>
    </row>
    <row r="148" spans="2:6" ht="18" customHeight="1">
      <c r="B148" s="13"/>
      <c r="C148" s="16" t="s">
        <v>1835</v>
      </c>
      <c r="D148" s="242">
        <v>1.2721711605512047</v>
      </c>
      <c r="E148" s="37">
        <v>1.4294177546745599</v>
      </c>
      <c r="F148" s="48">
        <v>1.4693258566333824</v>
      </c>
    </row>
    <row r="149" spans="2:6" ht="18" customHeight="1">
      <c r="B149" s="13"/>
      <c r="C149" s="16" t="s">
        <v>1836</v>
      </c>
      <c r="D149" s="242">
        <v>0</v>
      </c>
      <c r="E149" s="37">
        <v>8.8611230997936849E-6</v>
      </c>
      <c r="F149" s="48">
        <v>0</v>
      </c>
    </row>
    <row r="150" spans="2:6" ht="18" customHeight="1">
      <c r="B150" s="13"/>
      <c r="C150" s="16" t="s">
        <v>1837</v>
      </c>
      <c r="D150" s="242">
        <v>2.0130556283126707E-2</v>
      </c>
      <c r="E150" s="37">
        <v>3.2772364128E-5</v>
      </c>
      <c r="F150" s="48">
        <v>2.3250288775919111E-2</v>
      </c>
    </row>
    <row r="151" spans="2:6" ht="15" customHeight="1">
      <c r="B151" s="13"/>
      <c r="C151" s="25" t="s">
        <v>53</v>
      </c>
      <c r="D151" s="2087">
        <v>0.38895527902354143</v>
      </c>
      <c r="E151" s="7">
        <v>0.55536539665542106</v>
      </c>
      <c r="F151" s="2088">
        <v>0.44923361436343329</v>
      </c>
    </row>
    <row r="152" spans="2:6" ht="18" customHeight="1">
      <c r="B152" s="13"/>
      <c r="C152" s="16" t="s">
        <v>1838</v>
      </c>
      <c r="D152" s="242">
        <v>0.15158504434079162</v>
      </c>
      <c r="E152" s="37">
        <v>0.46779009130507737</v>
      </c>
      <c r="F152" s="48">
        <v>0.17507693306955618</v>
      </c>
    </row>
    <row r="153" spans="2:6" ht="18" customHeight="1">
      <c r="B153" s="13"/>
      <c r="C153" s="16" t="s">
        <v>1839</v>
      </c>
      <c r="D153" s="242">
        <v>0.23737023468274984</v>
      </c>
      <c r="E153" s="37">
        <v>8.7575305350343732E-2</v>
      </c>
      <c r="F153" s="48">
        <v>0.2741566812938771</v>
      </c>
    </row>
    <row r="154" spans="2:6" ht="18" customHeight="1">
      <c r="B154" s="13"/>
      <c r="C154" s="16" t="s">
        <v>1840</v>
      </c>
      <c r="D154" s="242">
        <v>0</v>
      </c>
      <c r="E154" s="37">
        <v>0</v>
      </c>
      <c r="F154" s="48">
        <v>0</v>
      </c>
    </row>
    <row r="155" spans="2:6" ht="15" customHeight="1">
      <c r="B155" s="13"/>
      <c r="C155" s="25" t="s">
        <v>54</v>
      </c>
      <c r="D155" s="744">
        <v>0.54286095534281187</v>
      </c>
      <c r="E155" s="7">
        <v>0.55804606731531092</v>
      </c>
      <c r="F155" s="2100">
        <v>0.62295277699156737</v>
      </c>
    </row>
    <row r="156" spans="2:6" ht="18" customHeight="1">
      <c r="B156" s="13"/>
      <c r="C156" s="16" t="s">
        <v>1841</v>
      </c>
      <c r="D156" s="242">
        <v>0</v>
      </c>
      <c r="E156" s="37">
        <v>0</v>
      </c>
      <c r="F156" s="48">
        <v>0</v>
      </c>
    </row>
    <row r="157" spans="2:6" ht="18" customHeight="1">
      <c r="B157" s="13"/>
      <c r="C157" s="16" t="s">
        <v>1842</v>
      </c>
      <c r="D157" s="242">
        <v>0.37731141910929594</v>
      </c>
      <c r="E157" s="37">
        <v>0.39249653108179489</v>
      </c>
      <c r="F157" s="48">
        <v>0.43174720522229643</v>
      </c>
    </row>
    <row r="158" spans="2:6" ht="18" customHeight="1">
      <c r="B158" s="13"/>
      <c r="C158" s="16" t="s">
        <v>1843</v>
      </c>
      <c r="D158" s="242">
        <v>0.16554953623351598</v>
      </c>
      <c r="E158" s="37">
        <v>0.16554953623351598</v>
      </c>
      <c r="F158" s="48">
        <v>0.19120557176927092</v>
      </c>
    </row>
    <row r="159" spans="2:6" ht="15" customHeight="1">
      <c r="B159" s="13"/>
      <c r="C159" s="25" t="s">
        <v>55</v>
      </c>
      <c r="D159" s="744">
        <v>3.3000000000000002E-2</v>
      </c>
      <c r="E159" s="7">
        <v>3.3000000000000002E-2</v>
      </c>
      <c r="F159" s="2100">
        <v>3.8114174234143858E-2</v>
      </c>
    </row>
    <row r="160" spans="2:6" ht="18" customHeight="1">
      <c r="B160" s="13"/>
      <c r="C160" s="16" t="s">
        <v>1844</v>
      </c>
      <c r="D160" s="242">
        <v>3.3000000000000002E-2</v>
      </c>
      <c r="E160" s="37">
        <v>3.3000000000000002E-2</v>
      </c>
      <c r="F160" s="48">
        <v>3.8114174234143858E-2</v>
      </c>
    </row>
    <row r="161" spans="2:23" ht="18" customHeight="1">
      <c r="B161" s="13"/>
      <c r="C161" s="16" t="s">
        <v>1845</v>
      </c>
      <c r="D161" s="242">
        <v>0</v>
      </c>
      <c r="E161" s="37">
        <v>0</v>
      </c>
      <c r="F161" s="48">
        <v>0</v>
      </c>
    </row>
    <row r="162" spans="2:23" ht="18" customHeight="1">
      <c r="B162" s="18"/>
      <c r="C162" s="22" t="s">
        <v>1846</v>
      </c>
      <c r="D162" s="242">
        <v>0</v>
      </c>
      <c r="E162" s="37">
        <v>0</v>
      </c>
      <c r="F162" s="48">
        <v>0</v>
      </c>
    </row>
    <row r="163" spans="2:23" ht="15" customHeight="1">
      <c r="B163" s="2331" t="s">
        <v>1847</v>
      </c>
      <c r="C163" s="2310"/>
      <c r="D163" s="2101">
        <v>107.22953646874861</v>
      </c>
      <c r="E163" s="2102">
        <v>99.283829677079211</v>
      </c>
      <c r="F163" s="2103">
        <v>140.04956251947738</v>
      </c>
    </row>
    <row r="164" spans="2:23" ht="15" customHeight="1">
      <c r="B164" s="2104"/>
      <c r="C164" s="2105" t="s">
        <v>1848</v>
      </c>
      <c r="D164" s="242"/>
      <c r="E164" s="37"/>
      <c r="F164" s="48"/>
    </row>
    <row r="165" spans="2:23" ht="15" customHeight="1">
      <c r="B165" s="2331" t="s">
        <v>1849</v>
      </c>
      <c r="C165" s="2310"/>
      <c r="D165" s="2094">
        <v>-11.790349165079254</v>
      </c>
      <c r="E165" s="2106">
        <v>-11.847883957087202</v>
      </c>
      <c r="F165" s="2095">
        <v>-11.751390917577334</v>
      </c>
    </row>
    <row r="166" spans="2:23" ht="15" customHeight="1">
      <c r="B166" s="2107"/>
      <c r="C166" s="12" t="s">
        <v>1850</v>
      </c>
      <c r="D166" s="242">
        <v>-10.446577825333891</v>
      </c>
      <c r="E166" s="17">
        <v>-10.446577825333891</v>
      </c>
      <c r="F166" s="48">
        <v>-10.446577825333891</v>
      </c>
    </row>
    <row r="167" spans="2:23" ht="15" customHeight="1">
      <c r="B167" s="2108"/>
      <c r="C167" s="25" t="s">
        <v>1851</v>
      </c>
      <c r="D167" s="242">
        <v>-1.3313091422990766</v>
      </c>
      <c r="E167" s="17">
        <v>-1.4337197012537992</v>
      </c>
      <c r="F167" s="48">
        <v>-1.3313091422990766</v>
      </c>
    </row>
    <row r="168" spans="2:23" ht="15" customHeight="1">
      <c r="B168" s="2108"/>
      <c r="C168" s="25" t="s">
        <v>1852</v>
      </c>
      <c r="D168" s="242">
        <v>-5.1420444948206523E-2</v>
      </c>
      <c r="E168" s="17">
        <v>-2.1306844948206529E-2</v>
      </c>
      <c r="F168" s="48">
        <v>-5.1420444948206523E-2</v>
      </c>
    </row>
    <row r="169" spans="2:23" ht="15" customHeight="1">
      <c r="B169" s="2108"/>
      <c r="C169" s="25" t="s">
        <v>61</v>
      </c>
      <c r="D169" s="242">
        <v>3.8958247501919986E-2</v>
      </c>
      <c r="E169" s="17">
        <v>5.3720414448695991E-2</v>
      </c>
      <c r="F169" s="48">
        <v>3.8958247501919986E-2</v>
      </c>
    </row>
    <row r="170" spans="2:23" ht="18" customHeight="1">
      <c r="B170" s="2108"/>
      <c r="C170" s="16" t="s">
        <v>1853</v>
      </c>
      <c r="D170" s="242">
        <v>3.245248726775999E-2</v>
      </c>
      <c r="E170" s="37">
        <v>4.4749473544187991E-2</v>
      </c>
      <c r="F170" s="48">
        <v>3.245248726775999E-2</v>
      </c>
    </row>
    <row r="171" spans="2:23" ht="18" customHeight="1">
      <c r="B171" s="2109"/>
      <c r="C171" s="22" t="s">
        <v>1854</v>
      </c>
      <c r="D171" s="242">
        <v>6.505760234159998E-3</v>
      </c>
      <c r="E171" s="37">
        <v>8.9709409045079999E-3</v>
      </c>
      <c r="F171" s="48">
        <v>6.505760234159998E-3</v>
      </c>
    </row>
    <row r="172" spans="2:23" ht="15" customHeight="1">
      <c r="B172" s="2331" t="s">
        <v>1855</v>
      </c>
      <c r="C172" s="2310"/>
      <c r="D172" s="2094">
        <v>95.439187303669357</v>
      </c>
      <c r="E172" s="20">
        <v>87.435945719992006</v>
      </c>
      <c r="F172" s="2095">
        <v>128.29817160190004</v>
      </c>
    </row>
    <row r="173" spans="2:23" ht="15.75" customHeight="1">
      <c r="B173" s="2110"/>
      <c r="C173" s="2111" t="s">
        <v>1848</v>
      </c>
      <c r="D173" s="39"/>
      <c r="E173" s="40"/>
      <c r="F173" s="2112"/>
    </row>
    <row r="174" spans="2:23" ht="15" customHeight="1">
      <c r="B174" s="1"/>
      <c r="C174" s="1"/>
      <c r="D174" s="1"/>
      <c r="E174" s="37"/>
      <c r="F174" s="2113"/>
    </row>
    <row r="175" spans="2:23" ht="15.75" customHeight="1">
      <c r="B175" s="1"/>
      <c r="C175" s="1"/>
      <c r="D175" s="1"/>
      <c r="E175" s="37"/>
      <c r="F175" s="2113"/>
    </row>
    <row r="176" spans="2:23" ht="15" customHeight="1">
      <c r="B176" s="592"/>
      <c r="C176" s="592"/>
      <c r="D176" s="2114">
        <v>2006</v>
      </c>
      <c r="E176" s="2115">
        <v>2011</v>
      </c>
      <c r="F176" s="2114">
        <v>2020</v>
      </c>
      <c r="H176" s="255"/>
      <c r="I176" s="256">
        <v>2006</v>
      </c>
      <c r="J176" s="256">
        <v>2007</v>
      </c>
      <c r="K176" s="256">
        <v>2008</v>
      </c>
      <c r="L176" s="256">
        <v>2009</v>
      </c>
      <c r="M176" s="256">
        <v>2010</v>
      </c>
      <c r="N176" s="256">
        <v>2011</v>
      </c>
      <c r="O176" s="256">
        <v>2012</v>
      </c>
      <c r="P176" s="256">
        <v>2013</v>
      </c>
      <c r="Q176" s="256">
        <v>2014</v>
      </c>
      <c r="R176" s="256">
        <v>2015</v>
      </c>
      <c r="S176" s="256">
        <v>2016</v>
      </c>
      <c r="T176" s="256">
        <v>2017</v>
      </c>
      <c r="U176" s="256">
        <v>2018</v>
      </c>
      <c r="V176" s="256">
        <v>2019</v>
      </c>
      <c r="W176" s="1579">
        <v>2020</v>
      </c>
    </row>
    <row r="177" spans="2:23" ht="15" customHeight="1">
      <c r="B177" s="242"/>
      <c r="C177" s="242" t="s">
        <v>65</v>
      </c>
      <c r="D177" s="242">
        <v>42.475674553317035</v>
      </c>
      <c r="E177" s="37">
        <v>37.860129294372811</v>
      </c>
      <c r="F177" s="242">
        <v>58.792780404291136</v>
      </c>
      <c r="H177" s="84" t="s">
        <v>65</v>
      </c>
      <c r="I177" s="2116">
        <v>42.179744588914474</v>
      </c>
      <c r="J177" s="2116">
        <v>50.159633983674567</v>
      </c>
      <c r="K177" s="2116">
        <v>50.485323301676758</v>
      </c>
      <c r="L177" s="2116">
        <v>49.045730065705428</v>
      </c>
      <c r="M177" s="2116">
        <v>51.921441838508308</v>
      </c>
      <c r="N177" s="2116">
        <v>37.860129294372811</v>
      </c>
      <c r="O177" s="2116">
        <v>54.163190510478508</v>
      </c>
      <c r="P177" s="2116">
        <v>54.587157573028939</v>
      </c>
      <c r="Q177" s="2116">
        <v>54.964527636444579</v>
      </c>
      <c r="R177" s="2116">
        <v>55.276924419376485</v>
      </c>
      <c r="S177" s="2116">
        <v>56.281792817111608</v>
      </c>
      <c r="T177" s="2116">
        <v>56.885584918576626</v>
      </c>
      <c r="U177" s="2116">
        <v>57.496596273428729</v>
      </c>
      <c r="V177" s="2116">
        <v>58.133859458779312</v>
      </c>
      <c r="W177" s="2117">
        <v>58.792780404291136</v>
      </c>
    </row>
    <row r="178" spans="2:23" ht="15" customHeight="1">
      <c r="B178" s="242"/>
      <c r="C178" s="242" t="s">
        <v>66</v>
      </c>
      <c r="D178" s="242">
        <v>16.870796954329833</v>
      </c>
      <c r="E178" s="37">
        <v>17.000425590955349</v>
      </c>
      <c r="F178" s="242">
        <v>18.84224894318902</v>
      </c>
      <c r="H178" s="84" t="s">
        <v>66</v>
      </c>
      <c r="I178" s="2116">
        <v>16.870796954329833</v>
      </c>
      <c r="J178" s="2116">
        <v>16.793814891553112</v>
      </c>
      <c r="K178" s="2116">
        <v>16.943946237574483</v>
      </c>
      <c r="L178" s="2116">
        <v>17.094077583595816</v>
      </c>
      <c r="M178" s="2116">
        <v>17.244208929617187</v>
      </c>
      <c r="N178" s="2116">
        <v>17.000425590955349</v>
      </c>
      <c r="O178" s="2116">
        <v>17.573780781280004</v>
      </c>
      <c r="P178" s="2116">
        <v>17.738566707111389</v>
      </c>
      <c r="Q178" s="2116">
        <v>17.903352632942809</v>
      </c>
      <c r="R178" s="2116">
        <v>18.068138558774205</v>
      </c>
      <c r="S178" s="2116">
        <v>18.222960635657177</v>
      </c>
      <c r="T178" s="2116">
        <v>18.377782712540121</v>
      </c>
      <c r="U178" s="2116">
        <v>18.532604789423097</v>
      </c>
      <c r="V178" s="2116">
        <v>18.687426866306048</v>
      </c>
      <c r="W178" s="2117">
        <v>18.84224894318902</v>
      </c>
    </row>
    <row r="179" spans="2:23" ht="15" customHeight="1">
      <c r="B179" s="242"/>
      <c r="C179" s="242" t="s">
        <v>67</v>
      </c>
      <c r="D179" s="242">
        <v>29.669799999999999</v>
      </c>
      <c r="E179" s="37">
        <v>28.24707569993187</v>
      </c>
      <c r="F179" s="242">
        <v>38.589753745791242</v>
      </c>
      <c r="H179" s="84" t="s">
        <v>67</v>
      </c>
      <c r="I179" s="2118">
        <v>29.669799999999999</v>
      </c>
      <c r="J179" s="2118">
        <v>30.306939553270801</v>
      </c>
      <c r="K179" s="2118">
        <v>30.944079106541608</v>
      </c>
      <c r="L179" s="2118">
        <v>31.581218659812407</v>
      </c>
      <c r="M179" s="2118">
        <v>32.218358213083214</v>
      </c>
      <c r="N179" s="2118">
        <v>28.24707569993187</v>
      </c>
      <c r="O179" s="2118">
        <v>33.492637319624819</v>
      </c>
      <c r="P179" s="2118">
        <v>34.129776872895626</v>
      </c>
      <c r="Q179" s="2118">
        <v>34.766916426166425</v>
      </c>
      <c r="R179" s="2118">
        <v>35.404055979437231</v>
      </c>
      <c r="S179" s="2118">
        <v>36.041195532708038</v>
      </c>
      <c r="T179" s="2118">
        <v>36.678335085978837</v>
      </c>
      <c r="U179" s="2118">
        <v>37.315474639249643</v>
      </c>
      <c r="V179" s="2118">
        <v>37.952614192520436</v>
      </c>
      <c r="W179" s="2119">
        <v>38.589753745791242</v>
      </c>
    </row>
    <row r="180" spans="2:23" ht="15" customHeight="1">
      <c r="B180" s="242"/>
      <c r="C180" s="242" t="s">
        <v>68</v>
      </c>
      <c r="D180" s="242">
        <v>5.8017938791854329</v>
      </c>
      <c r="E180" s="37">
        <v>7.022468457280195</v>
      </c>
      <c r="F180" s="242">
        <v>8.1941357079120607</v>
      </c>
      <c r="H180" s="84" t="s">
        <v>68</v>
      </c>
      <c r="I180" s="2118">
        <v>5.8017938791854329</v>
      </c>
      <c r="J180" s="2118">
        <v>5.9280910316434721</v>
      </c>
      <c r="K180" s="2118">
        <v>6.123583602931391</v>
      </c>
      <c r="L180" s="2118">
        <v>6.2804537908531035</v>
      </c>
      <c r="M180" s="2118">
        <v>6.4398682903296738</v>
      </c>
      <c r="N180" s="2118">
        <v>7.022468457280195</v>
      </c>
      <c r="O180" s="2118">
        <v>6.7666726243195656</v>
      </c>
      <c r="P180" s="2118">
        <v>6.934241056217024</v>
      </c>
      <c r="Q180" s="2118">
        <v>7.1047113981067058</v>
      </c>
      <c r="R180" s="2118">
        <v>7.2781800446502132</v>
      </c>
      <c r="S180" s="2118">
        <v>7.4547480436026419</v>
      </c>
      <c r="T180" s="2118">
        <v>7.6345184755157991</v>
      </c>
      <c r="U180" s="2118">
        <v>7.8175988729916597</v>
      </c>
      <c r="V180" s="2118">
        <v>8.0041000114670702</v>
      </c>
      <c r="W180" s="2119">
        <v>8.1941357079120607</v>
      </c>
    </row>
    <row r="181" spans="2:23" ht="15" customHeight="1">
      <c r="B181" s="242"/>
      <c r="C181" s="242" t="str">
        <f>B75</f>
        <v>Fossil Fuel Industry</v>
      </c>
      <c r="D181" s="242">
        <v>0.94188463845227166</v>
      </c>
      <c r="E181" s="37">
        <v>0.83609220289311492</v>
      </c>
      <c r="F181" s="242">
        <v>0.92368868344346611</v>
      </c>
      <c r="H181" s="84" t="s">
        <v>32</v>
      </c>
      <c r="I181" s="793">
        <v>0.94188463845198123</v>
      </c>
      <c r="J181" s="793">
        <v>0.78746263901343827</v>
      </c>
      <c r="K181" s="793">
        <v>0.79794156550805639</v>
      </c>
      <c r="L181" s="793">
        <v>0.80842049200267452</v>
      </c>
      <c r="M181" s="793">
        <v>0.81889941849728998</v>
      </c>
      <c r="N181" s="793">
        <v>0.83609220289311492</v>
      </c>
      <c r="O181" s="793">
        <v>0.83985727148652622</v>
      </c>
      <c r="P181" s="793">
        <v>0.85033619798114457</v>
      </c>
      <c r="Q181" s="793">
        <v>0.86081512447575981</v>
      </c>
      <c r="R181" s="793">
        <v>0.87129405097037793</v>
      </c>
      <c r="S181" s="793">
        <v>0.88177297746499628</v>
      </c>
      <c r="T181" s="793">
        <v>0.8922519039596144</v>
      </c>
      <c r="U181" s="793">
        <v>0.90273083045422964</v>
      </c>
      <c r="V181" s="793">
        <v>0.91320975694884776</v>
      </c>
      <c r="W181" s="2120">
        <v>0.92368868344346611</v>
      </c>
    </row>
    <row r="182" spans="2:23" ht="15" customHeight="1">
      <c r="B182" s="242"/>
      <c r="C182" s="242" t="str">
        <f>B88</f>
        <v>Industrial Processes</v>
      </c>
      <c r="D182" s="242">
        <v>7.4410423344781096</v>
      </c>
      <c r="E182" s="37">
        <v>4.3985727448193961</v>
      </c>
      <c r="F182" s="242">
        <v>10.244740524234293</v>
      </c>
      <c r="H182" s="84" t="s">
        <v>1791</v>
      </c>
      <c r="I182" s="793">
        <v>7.4410424236811288</v>
      </c>
      <c r="J182" s="793">
        <v>7.6103215182007062</v>
      </c>
      <c r="K182" s="793">
        <v>7.5629247285501258</v>
      </c>
      <c r="L182" s="793">
        <v>8.0111768983214837</v>
      </c>
      <c r="M182" s="793">
        <v>8.2113527537241051</v>
      </c>
      <c r="N182" s="793">
        <v>4.3985727448193961</v>
      </c>
      <c r="O182" s="793">
        <v>8.6117044645292697</v>
      </c>
      <c r="P182" s="793">
        <v>8.811880319931868</v>
      </c>
      <c r="Q182" s="793">
        <v>9.0120561753344894</v>
      </c>
      <c r="R182" s="793">
        <v>9.2122320307370913</v>
      </c>
      <c r="S182" s="793">
        <v>9.4124078861397127</v>
      </c>
      <c r="T182" s="793">
        <v>9.6125837415423181</v>
      </c>
      <c r="U182" s="793">
        <v>9.8127595969449324</v>
      </c>
      <c r="V182" s="793">
        <v>10.027485226517665</v>
      </c>
      <c r="W182" s="2120">
        <v>10.244740524234293</v>
      </c>
    </row>
    <row r="183" spans="2:23" ht="15" customHeight="1">
      <c r="B183" s="242"/>
      <c r="C183" s="242" t="str">
        <f>B125</f>
        <v>Agriculture</v>
      </c>
      <c r="D183" s="242">
        <v>1.7714261577852335</v>
      </c>
      <c r="E183" s="37">
        <v>1.6619477356257877</v>
      </c>
      <c r="F183" s="242">
        <v>1.8593377996177092</v>
      </c>
      <c r="H183" s="84" t="s">
        <v>46</v>
      </c>
      <c r="I183" s="793">
        <v>1.7714261577852333</v>
      </c>
      <c r="J183" s="793">
        <v>1.5139029807623536</v>
      </c>
      <c r="K183" s="793">
        <v>1.8456153540664655</v>
      </c>
      <c r="L183" s="793">
        <v>1.7870513192900073</v>
      </c>
      <c r="M183" s="793">
        <v>1.8484423382290367</v>
      </c>
      <c r="N183" s="793">
        <v>1.6619477356257877</v>
      </c>
      <c r="O183" s="793">
        <v>1.8498712898730012</v>
      </c>
      <c r="P183" s="793">
        <v>1.7880680909904909</v>
      </c>
      <c r="Q183" s="793">
        <v>1.8511187465206678</v>
      </c>
      <c r="R183" s="793">
        <v>1.7883742254687578</v>
      </c>
      <c r="S183" s="793">
        <v>1.8526808785947622</v>
      </c>
      <c r="T183" s="793">
        <v>1.7891893303721129</v>
      </c>
      <c r="U183" s="793">
        <v>1.8551844921729721</v>
      </c>
      <c r="V183" s="793">
        <v>1.7911286974967606</v>
      </c>
      <c r="W183" s="2120">
        <v>1.8593377996177092</v>
      </c>
    </row>
    <row r="184" spans="2:23" ht="15.75" customHeight="1">
      <c r="B184" s="501"/>
      <c r="C184" s="501" t="str">
        <f>B146</f>
        <v>Waste Management</v>
      </c>
      <c r="D184" s="501">
        <v>2.2571179512006849</v>
      </c>
      <c r="E184" s="40">
        <v>2.2571179512006849</v>
      </c>
      <c r="F184" s="501">
        <v>2.6028767109984461</v>
      </c>
      <c r="H184" s="262" t="s">
        <v>51</v>
      </c>
      <c r="I184" s="2121">
        <v>2.2571179512006849</v>
      </c>
      <c r="J184" s="2121">
        <v>2.2757751464297691</v>
      </c>
      <c r="K184" s="2121">
        <v>2.2981771806560092</v>
      </c>
      <c r="L184" s="2121">
        <v>2.3205792148822502</v>
      </c>
      <c r="M184" s="2121">
        <v>2.3429812491084907</v>
      </c>
      <c r="N184" s="2121">
        <v>2.2571179512006849</v>
      </c>
      <c r="O184" s="2121">
        <v>2.3978286853693773</v>
      </c>
      <c r="P184" s="2121">
        <v>2.4257104100909164</v>
      </c>
      <c r="Q184" s="2121">
        <v>2.453592134812455</v>
      </c>
      <c r="R184" s="2121">
        <v>2.4814738595339949</v>
      </c>
      <c r="S184" s="2121">
        <v>2.5062526777248353</v>
      </c>
      <c r="T184" s="2121">
        <v>2.5304086860432382</v>
      </c>
      <c r="U184" s="2121">
        <v>2.5545646943616407</v>
      </c>
      <c r="V184" s="2121">
        <v>2.5787207026800432</v>
      </c>
      <c r="W184" s="2122">
        <v>2.6028767109984461</v>
      </c>
    </row>
    <row r="185" spans="2:23" ht="15.75" customHeight="1">
      <c r="B185" s="1"/>
      <c r="C185" s="1"/>
      <c r="D185" s="1"/>
    </row>
    <row r="186" spans="2:23" ht="15" customHeight="1">
      <c r="B186" s="1"/>
      <c r="C186" s="1"/>
      <c r="D186" s="1"/>
      <c r="H186" s="255"/>
      <c r="I186" s="256">
        <v>2006</v>
      </c>
      <c r="J186" s="256">
        <v>2007</v>
      </c>
      <c r="K186" s="256">
        <v>2008</v>
      </c>
      <c r="L186" s="256">
        <v>2009</v>
      </c>
      <c r="M186" s="256">
        <v>2010</v>
      </c>
      <c r="N186" s="256">
        <v>2011</v>
      </c>
      <c r="O186" s="256">
        <v>2012</v>
      </c>
      <c r="P186" s="256">
        <v>2013</v>
      </c>
      <c r="Q186" s="256">
        <v>2014</v>
      </c>
      <c r="R186" s="256">
        <v>2015</v>
      </c>
      <c r="S186" s="256">
        <v>2016</v>
      </c>
      <c r="T186" s="256">
        <v>2017</v>
      </c>
      <c r="U186" s="256">
        <v>2018</v>
      </c>
      <c r="V186" s="256">
        <v>2019</v>
      </c>
      <c r="W186" s="1579">
        <v>2020</v>
      </c>
    </row>
    <row r="187" spans="2:23" ht="15" customHeight="1">
      <c r="H187" s="84" t="s">
        <v>65</v>
      </c>
      <c r="I187" s="2116">
        <v>42.179744588914474</v>
      </c>
      <c r="J187" s="2116">
        <v>50.159633983674567</v>
      </c>
      <c r="K187" s="2116">
        <v>50.485323301676758</v>
      </c>
      <c r="L187" s="2116">
        <v>49.045730065705428</v>
      </c>
      <c r="M187" s="2116">
        <v>51.921441838508308</v>
      </c>
      <c r="N187" s="2116">
        <v>37.860129294372811</v>
      </c>
      <c r="O187" s="2116">
        <v>54.163190510478508</v>
      </c>
      <c r="P187" s="2116">
        <v>54.587157573028939</v>
      </c>
      <c r="Q187" s="2116">
        <v>54.964527636444579</v>
      </c>
      <c r="R187" s="2116">
        <v>55.276924419376485</v>
      </c>
      <c r="S187" s="2116">
        <v>56.281792817111608</v>
      </c>
      <c r="T187" s="2116">
        <v>56.885584918576626</v>
      </c>
      <c r="U187" s="2116">
        <v>57.496596273428729</v>
      </c>
      <c r="V187" s="2116">
        <v>58.133859458779312</v>
      </c>
      <c r="W187" s="2117">
        <v>58.792780404291136</v>
      </c>
    </row>
    <row r="188" spans="2:23" ht="15" customHeight="1">
      <c r="H188" s="84" t="s">
        <v>66</v>
      </c>
      <c r="I188" s="2116">
        <v>16.870796954329833</v>
      </c>
      <c r="J188" s="2116">
        <v>16.793814891553112</v>
      </c>
      <c r="K188" s="2116">
        <v>16.943946237574483</v>
      </c>
      <c r="L188" s="2116">
        <v>17.094077583595816</v>
      </c>
      <c r="M188" s="2116">
        <v>17.244208929617187</v>
      </c>
      <c r="N188" s="2116">
        <v>17.000425590955349</v>
      </c>
      <c r="O188" s="2116">
        <v>17.573780781280004</v>
      </c>
      <c r="P188" s="2116">
        <v>17.738566707111389</v>
      </c>
      <c r="Q188" s="2116">
        <v>17.903352632942809</v>
      </c>
      <c r="R188" s="2116">
        <v>18.068138558774205</v>
      </c>
      <c r="S188" s="2116">
        <v>18.222960635657177</v>
      </c>
      <c r="T188" s="2116">
        <v>18.377782712540121</v>
      </c>
      <c r="U188" s="2116">
        <v>18.532604789423097</v>
      </c>
      <c r="V188" s="2116">
        <v>18.687426866306048</v>
      </c>
      <c r="W188" s="2117">
        <v>18.84224894318902</v>
      </c>
    </row>
    <row r="189" spans="2:23" ht="15" customHeight="1">
      <c r="H189" s="84" t="s">
        <v>67</v>
      </c>
      <c r="I189" s="2118">
        <v>29.669799999999999</v>
      </c>
      <c r="J189" s="2118">
        <v>30.306939553270801</v>
      </c>
      <c r="K189" s="2118">
        <v>30.944079106541608</v>
      </c>
      <c r="L189" s="2118">
        <v>31.581218659812407</v>
      </c>
      <c r="M189" s="2118">
        <v>32.218358213083214</v>
      </c>
      <c r="N189" s="2118">
        <v>28.24707569993187</v>
      </c>
      <c r="O189" s="2118">
        <v>33.492637319624819</v>
      </c>
      <c r="P189" s="2118">
        <v>34.129776872895626</v>
      </c>
      <c r="Q189" s="2118">
        <v>34.766916426166425</v>
      </c>
      <c r="R189" s="2118">
        <v>35.404055979437231</v>
      </c>
      <c r="S189" s="2118">
        <v>36.041195532708038</v>
      </c>
      <c r="T189" s="2118">
        <v>36.678335085978837</v>
      </c>
      <c r="U189" s="2118">
        <v>37.315474639249643</v>
      </c>
      <c r="V189" s="2118">
        <v>37.952614192520436</v>
      </c>
      <c r="W189" s="2119">
        <v>38.589753745791242</v>
      </c>
    </row>
    <row r="190" spans="2:23" ht="15" customHeight="1">
      <c r="H190" s="84" t="s">
        <v>68</v>
      </c>
      <c r="I190" s="2118">
        <v>5.8017938791854329</v>
      </c>
      <c r="J190" s="2118">
        <v>5.9280910316434721</v>
      </c>
      <c r="K190" s="2118">
        <v>6.123583602931391</v>
      </c>
      <c r="L190" s="2118">
        <v>6.2804537908531035</v>
      </c>
      <c r="M190" s="2118">
        <v>6.4398682903296738</v>
      </c>
      <c r="N190" s="2118">
        <v>7.022468457280195</v>
      </c>
      <c r="O190" s="2118">
        <v>6.7666726243195656</v>
      </c>
      <c r="P190" s="2118">
        <v>6.934241056217024</v>
      </c>
      <c r="Q190" s="2118">
        <v>7.1047113981067058</v>
      </c>
      <c r="R190" s="2118">
        <v>7.2781800446502132</v>
      </c>
      <c r="S190" s="2118">
        <v>7.4547480436026419</v>
      </c>
      <c r="T190" s="2118">
        <v>7.6345184755157991</v>
      </c>
      <c r="U190" s="2118">
        <v>7.8175988729916597</v>
      </c>
      <c r="V190" s="2118">
        <v>8.0041000114670702</v>
      </c>
      <c r="W190" s="2119">
        <v>8.1941357079120607</v>
      </c>
    </row>
    <row r="191" spans="2:23" ht="15" customHeight="1">
      <c r="H191" s="84" t="s">
        <v>32</v>
      </c>
      <c r="I191" s="793">
        <v>0.94188463845198123</v>
      </c>
      <c r="J191" s="793">
        <v>0.78746263901343827</v>
      </c>
      <c r="K191" s="793">
        <v>0.79794156550805639</v>
      </c>
      <c r="L191" s="793">
        <v>0.80842049200267452</v>
      </c>
      <c r="M191" s="793">
        <v>0.81889941849728998</v>
      </c>
      <c r="N191" s="793">
        <v>0.83609220289311492</v>
      </c>
      <c r="O191" s="793">
        <v>0.83985727148652622</v>
      </c>
      <c r="P191" s="793">
        <v>0.85033619798114457</v>
      </c>
      <c r="Q191" s="793">
        <v>0.86081512447575981</v>
      </c>
      <c r="R191" s="793">
        <v>0.87129405097037793</v>
      </c>
      <c r="S191" s="793">
        <v>0.88177297746499628</v>
      </c>
      <c r="T191" s="793">
        <v>0.8922519039596144</v>
      </c>
      <c r="U191" s="793">
        <v>0.90273083045422964</v>
      </c>
      <c r="V191" s="793">
        <v>0.91320975694884776</v>
      </c>
      <c r="W191" s="2120">
        <v>0.92368868344346611</v>
      </c>
    </row>
    <row r="192" spans="2:23" ht="15" customHeight="1">
      <c r="H192" s="84" t="s">
        <v>1791</v>
      </c>
      <c r="I192" s="793">
        <v>7.4410424236811288</v>
      </c>
      <c r="J192" s="793">
        <v>7.6103215182007062</v>
      </c>
      <c r="K192" s="793">
        <v>7.5629247285501258</v>
      </c>
      <c r="L192" s="793">
        <v>8.0111768983214837</v>
      </c>
      <c r="M192" s="793">
        <v>8.2113527537241051</v>
      </c>
      <c r="N192" s="793">
        <v>4.3985727448193961</v>
      </c>
      <c r="O192" s="793">
        <v>8.6117044645292697</v>
      </c>
      <c r="P192" s="793">
        <v>8.811880319931868</v>
      </c>
      <c r="Q192" s="793">
        <v>9.0120561753344894</v>
      </c>
      <c r="R192" s="793">
        <v>9.2122320307370913</v>
      </c>
      <c r="S192" s="793">
        <v>9.4124078861397127</v>
      </c>
      <c r="T192" s="793">
        <v>9.6125837415423181</v>
      </c>
      <c r="U192" s="793">
        <v>9.8127595969449324</v>
      </c>
      <c r="V192" s="793">
        <v>10.027485226517665</v>
      </c>
      <c r="W192" s="2120">
        <v>10.244740524234293</v>
      </c>
    </row>
    <row r="193" spans="8:23" ht="15" customHeight="1">
      <c r="H193" s="84" t="s">
        <v>46</v>
      </c>
      <c r="I193" s="793">
        <v>1.7714261577852333</v>
      </c>
      <c r="J193" s="793">
        <v>1.5139029807623536</v>
      </c>
      <c r="K193" s="793">
        <v>1.8456153540664655</v>
      </c>
      <c r="L193" s="793">
        <v>1.7870513192900073</v>
      </c>
      <c r="M193" s="793">
        <v>1.8484423382290367</v>
      </c>
      <c r="N193" s="793">
        <v>1.6619477356257877</v>
      </c>
      <c r="O193" s="793">
        <v>1.8498712898730012</v>
      </c>
      <c r="P193" s="793">
        <v>1.7880680909904909</v>
      </c>
      <c r="Q193" s="793">
        <v>1.8511187465206678</v>
      </c>
      <c r="R193" s="793">
        <v>1.7883742254687578</v>
      </c>
      <c r="S193" s="793">
        <v>1.8526808785947622</v>
      </c>
      <c r="T193" s="793">
        <v>1.7891893303721129</v>
      </c>
      <c r="U193" s="793">
        <v>1.8551844921729721</v>
      </c>
      <c r="V193" s="793">
        <v>1.7911286974967606</v>
      </c>
      <c r="W193" s="2120">
        <v>1.8593377996177092</v>
      </c>
    </row>
    <row r="194" spans="8:23" ht="15.75" customHeight="1">
      <c r="H194" s="262" t="s">
        <v>51</v>
      </c>
      <c r="I194" s="2121">
        <v>2.2571179512006849</v>
      </c>
      <c r="J194" s="2121">
        <v>2.2757751464297691</v>
      </c>
      <c r="K194" s="2121">
        <v>2.2981771806560092</v>
      </c>
      <c r="L194" s="2121">
        <v>2.3205792148822502</v>
      </c>
      <c r="M194" s="2121">
        <v>2.3429812491084907</v>
      </c>
      <c r="N194" s="2121">
        <v>2.2571179512006849</v>
      </c>
      <c r="O194" s="2121">
        <v>2.3978286853693773</v>
      </c>
      <c r="P194" s="2121">
        <v>2.4257104100909164</v>
      </c>
      <c r="Q194" s="2121">
        <v>2.453592134812455</v>
      </c>
      <c r="R194" s="2121">
        <v>2.4814738595339949</v>
      </c>
      <c r="S194" s="2121">
        <v>2.5062526777248353</v>
      </c>
      <c r="T194" s="2121">
        <v>2.5304086860432382</v>
      </c>
      <c r="U194" s="2121">
        <v>2.5545646943616407</v>
      </c>
      <c r="V194" s="2121">
        <v>2.5787207026800432</v>
      </c>
      <c r="W194" s="2122">
        <v>2.6028767109984461</v>
      </c>
    </row>
    <row r="195" spans="8:23" ht="11.25" customHeight="1"/>
    <row r="196" spans="8:23" ht="11.25" customHeight="1"/>
    <row r="197" spans="8:23" ht="11.25" customHeight="1"/>
    <row r="198" spans="8:23" ht="11.25" customHeight="1"/>
    <row r="199" spans="8:23" ht="11.25" customHeight="1"/>
    <row r="200" spans="8:23" ht="11.25" customHeight="1"/>
    <row r="201" spans="8:23" ht="11.25" customHeight="1"/>
    <row r="202" spans="8:23" ht="11.25" customHeight="1"/>
    <row r="203" spans="8:23" ht="11.25" customHeight="1"/>
    <row r="204" spans="8:23" ht="11.25" customHeight="1"/>
    <row r="205" spans="8:23" ht="11.25" customHeight="1"/>
    <row r="206" spans="8:23" ht="11.25" customHeight="1"/>
    <row r="207" spans="8:23" ht="11.25" customHeight="1"/>
    <row r="208" spans="8:23"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spans="3:4" ht="11.25" customHeight="1"/>
    <row r="242" spans="3:4" ht="11.25" customHeight="1"/>
    <row r="243" spans="3:4" ht="11.25" customHeight="1"/>
    <row r="244" spans="3:4" ht="15.75" customHeight="1">
      <c r="C244" s="2085" t="s">
        <v>1856</v>
      </c>
    </row>
    <row r="245" spans="3:4" ht="11.25" customHeight="1"/>
    <row r="246" spans="3:4" ht="11.25" customHeight="1">
      <c r="C246" s="2123" t="s">
        <v>777</v>
      </c>
    </row>
    <row r="247" spans="3:4" ht="11.25" customHeight="1"/>
    <row r="248" spans="3:4" ht="12" customHeight="1"/>
    <row r="249" spans="3:4" ht="15" customHeight="1">
      <c r="C249" s="255"/>
      <c r="D249" s="919">
        <v>2011</v>
      </c>
    </row>
    <row r="250" spans="3:4" ht="15" customHeight="1">
      <c r="C250" s="84" t="s">
        <v>293</v>
      </c>
      <c r="D250" s="937">
        <v>21186919</v>
      </c>
    </row>
    <row r="251" spans="3:4" ht="15" customHeight="1">
      <c r="C251" s="84" t="s">
        <v>294</v>
      </c>
      <c r="D251" s="937">
        <v>219804</v>
      </c>
    </row>
    <row r="252" spans="3:4" ht="15" customHeight="1">
      <c r="C252" s="84" t="s">
        <v>295</v>
      </c>
      <c r="D252" s="937">
        <v>2236976</v>
      </c>
    </row>
    <row r="253" spans="3:4" ht="15" customHeight="1">
      <c r="C253" s="84" t="s">
        <v>778</v>
      </c>
      <c r="D253" s="937">
        <v>154641</v>
      </c>
    </row>
    <row r="254" spans="3:4" ht="15" customHeight="1">
      <c r="C254" s="84" t="s">
        <v>779</v>
      </c>
      <c r="D254" s="937">
        <v>14397437</v>
      </c>
    </row>
    <row r="255" spans="3:4" ht="15" customHeight="1">
      <c r="C255" s="84" t="s">
        <v>780</v>
      </c>
      <c r="D255" s="937">
        <v>2540908</v>
      </c>
    </row>
    <row r="256" spans="3:4" ht="15" customHeight="1">
      <c r="C256" s="84" t="s">
        <v>781</v>
      </c>
      <c r="D256" s="937">
        <v>319254</v>
      </c>
    </row>
    <row r="257" spans="3:4" ht="15" customHeight="1">
      <c r="C257" s="84" t="s">
        <v>782</v>
      </c>
      <c r="D257" s="937">
        <v>2070</v>
      </c>
    </row>
    <row r="258" spans="3:4" ht="15" customHeight="1">
      <c r="C258" s="84" t="s">
        <v>783</v>
      </c>
      <c r="D258" s="937">
        <v>167437</v>
      </c>
    </row>
    <row r="259" spans="3:4" ht="15" customHeight="1">
      <c r="C259" s="84" t="s">
        <v>784</v>
      </c>
      <c r="D259" s="937">
        <v>420114</v>
      </c>
    </row>
    <row r="260" spans="3:4" ht="15.75" customHeight="1">
      <c r="C260" s="262" t="s">
        <v>785</v>
      </c>
      <c r="D260" s="2124">
        <v>267727</v>
      </c>
    </row>
    <row r="261" spans="3:4" ht="11.25" customHeight="1"/>
    <row r="262" spans="3:4" ht="11.25" customHeight="1"/>
    <row r="263" spans="3:4" ht="11.25" customHeight="1"/>
    <row r="264" spans="3:4" ht="11.25" customHeight="1"/>
    <row r="265" spans="3:4" ht="11.25" customHeight="1"/>
    <row r="266" spans="3:4" ht="11.25" customHeight="1"/>
    <row r="267" spans="3:4" ht="11.25" customHeight="1"/>
    <row r="268" spans="3:4" ht="11.25" customHeight="1"/>
    <row r="269" spans="3:4" ht="11.25" customHeight="1"/>
    <row r="270" spans="3:4" ht="11.25" customHeight="1"/>
    <row r="271" spans="3:4" ht="11.25" customHeight="1"/>
    <row r="272" spans="3:4"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spans="3:28" ht="11.25" customHeight="1"/>
    <row r="290" spans="3:28" ht="11.25" customHeight="1"/>
    <row r="291" spans="3:28" ht="11.25" customHeight="1"/>
    <row r="292" spans="3:28" ht="11.25" customHeight="1"/>
    <row r="293" spans="3:28" ht="12" customHeight="1"/>
    <row r="294" spans="3:28" ht="18.75" customHeight="1">
      <c r="C294" s="1"/>
      <c r="D294" s="784"/>
      <c r="E294" s="935"/>
      <c r="F294" s="913" t="s">
        <v>777</v>
      </c>
      <c r="G294" s="936"/>
      <c r="H294" s="2125"/>
      <c r="I294" s="935"/>
      <c r="J294" s="935"/>
      <c r="K294" s="1"/>
      <c r="L294" s="1"/>
      <c r="M294" s="1"/>
      <c r="N294" s="1"/>
      <c r="O294" s="1"/>
      <c r="P294" s="1"/>
      <c r="Q294" s="1"/>
      <c r="R294" s="1"/>
      <c r="S294" s="1"/>
      <c r="T294" s="1"/>
      <c r="U294" s="1"/>
      <c r="V294" s="1"/>
      <c r="W294" s="1"/>
      <c r="X294" s="1"/>
      <c r="AB294" s="2126" t="s">
        <v>1857</v>
      </c>
    </row>
    <row r="295" spans="3:28" ht="15.75" customHeight="1">
      <c r="C295" s="1"/>
      <c r="D295" s="784"/>
      <c r="E295" s="935"/>
      <c r="F295" s="935"/>
      <c r="G295" s="935"/>
      <c r="H295" s="935"/>
      <c r="I295" s="935"/>
      <c r="J295" s="935"/>
      <c r="K295" s="1"/>
      <c r="L295" s="1"/>
      <c r="M295" s="1"/>
      <c r="N295" s="1"/>
      <c r="O295" s="1"/>
      <c r="P295" s="1"/>
      <c r="Q295" s="1"/>
      <c r="R295" s="1"/>
      <c r="S295" s="1"/>
      <c r="T295" s="1"/>
      <c r="U295" s="1"/>
      <c r="V295" s="1"/>
      <c r="W295" s="1"/>
      <c r="X295" s="1"/>
    </row>
    <row r="296" spans="3:28" ht="15" customHeight="1">
      <c r="C296" s="255"/>
      <c r="D296" s="916">
        <v>1991</v>
      </c>
      <c r="E296" s="916">
        <v>1992</v>
      </c>
      <c r="F296" s="916">
        <v>1993</v>
      </c>
      <c r="G296" s="916">
        <v>1994</v>
      </c>
      <c r="H296" s="916">
        <v>1995</v>
      </c>
      <c r="I296" s="916">
        <v>1996</v>
      </c>
      <c r="J296" s="916">
        <v>1997</v>
      </c>
      <c r="K296" s="916">
        <v>1998</v>
      </c>
      <c r="L296" s="916">
        <v>1999</v>
      </c>
      <c r="M296" s="916">
        <v>2000</v>
      </c>
      <c r="N296" s="916">
        <v>2001</v>
      </c>
      <c r="O296" s="916">
        <v>2002</v>
      </c>
      <c r="P296" s="916">
        <v>2003</v>
      </c>
      <c r="Q296" s="916">
        <v>2004</v>
      </c>
      <c r="R296" s="916">
        <v>2005</v>
      </c>
      <c r="S296" s="916">
        <v>2006</v>
      </c>
      <c r="T296" s="916">
        <v>2007</v>
      </c>
      <c r="U296" s="917">
        <v>2008</v>
      </c>
      <c r="V296" s="916">
        <v>2009</v>
      </c>
      <c r="W296" s="916">
        <v>2010</v>
      </c>
      <c r="X296" s="919">
        <v>2011</v>
      </c>
    </row>
    <row r="297" spans="3:28" ht="15" customHeight="1">
      <c r="C297" s="84" t="s">
        <v>293</v>
      </c>
      <c r="D297" s="924">
        <v>22835671</v>
      </c>
      <c r="E297" s="924">
        <v>23850470</v>
      </c>
      <c r="F297" s="924">
        <v>25126979</v>
      </c>
      <c r="G297" s="924">
        <v>25624758</v>
      </c>
      <c r="H297" s="924">
        <v>27595256</v>
      </c>
      <c r="I297" s="924">
        <v>27992005</v>
      </c>
      <c r="J297" s="924">
        <v>27620925</v>
      </c>
      <c r="K297" s="924">
        <v>29294727</v>
      </c>
      <c r="L297" s="924">
        <v>29687655</v>
      </c>
      <c r="M297" s="924">
        <v>29451065</v>
      </c>
      <c r="N297" s="924">
        <v>28379409</v>
      </c>
      <c r="O297" s="924">
        <v>28712053</v>
      </c>
      <c r="P297" s="924">
        <v>29939086</v>
      </c>
      <c r="Q297" s="924">
        <v>29195458</v>
      </c>
      <c r="R297" s="924">
        <v>29302792</v>
      </c>
      <c r="S297" s="924">
        <v>29408022</v>
      </c>
      <c r="T297" s="924">
        <v>29699186</v>
      </c>
      <c r="U297" s="925">
        <v>27218239</v>
      </c>
      <c r="V297" s="924">
        <v>24162345</v>
      </c>
      <c r="W297" s="924">
        <v>23668204</v>
      </c>
      <c r="X297" s="937">
        <v>21186919</v>
      </c>
    </row>
    <row r="298" spans="3:28" ht="15" customHeight="1">
      <c r="C298" s="84" t="s">
        <v>294</v>
      </c>
      <c r="D298" s="924">
        <v>4078506</v>
      </c>
      <c r="E298" s="924">
        <v>2749511</v>
      </c>
      <c r="F298" s="924">
        <v>4164790</v>
      </c>
      <c r="G298" s="924">
        <v>4275226</v>
      </c>
      <c r="H298" s="924">
        <v>1479469</v>
      </c>
      <c r="I298" s="924">
        <v>1472027</v>
      </c>
      <c r="J298" s="924">
        <v>1565010</v>
      </c>
      <c r="K298" s="924">
        <v>3454350</v>
      </c>
      <c r="L298" s="924">
        <v>4290788</v>
      </c>
      <c r="M298" s="924">
        <v>2388595</v>
      </c>
      <c r="N298" s="924">
        <v>3021639</v>
      </c>
      <c r="O298" s="924">
        <v>2282432</v>
      </c>
      <c r="P298" s="924">
        <v>3572183</v>
      </c>
      <c r="Q298" s="924">
        <v>3296842</v>
      </c>
      <c r="R298" s="924">
        <v>3805569</v>
      </c>
      <c r="S298" s="924">
        <v>580726</v>
      </c>
      <c r="T298" s="924">
        <v>984831</v>
      </c>
      <c r="U298" s="925">
        <v>405840</v>
      </c>
      <c r="V298" s="924">
        <v>329901</v>
      </c>
      <c r="W298" s="924">
        <v>322438</v>
      </c>
      <c r="X298" s="937">
        <v>219804</v>
      </c>
    </row>
    <row r="299" spans="3:28" ht="15" customHeight="1">
      <c r="C299" s="84" t="s">
        <v>295</v>
      </c>
      <c r="D299" s="924">
        <v>1517463</v>
      </c>
      <c r="E299" s="924">
        <v>1077542</v>
      </c>
      <c r="F299" s="924">
        <v>772304</v>
      </c>
      <c r="G299" s="924">
        <v>1172042</v>
      </c>
      <c r="H299" s="924">
        <v>1548884</v>
      </c>
      <c r="I299" s="924">
        <v>987627</v>
      </c>
      <c r="J299" s="924">
        <v>1412585</v>
      </c>
      <c r="K299" s="924">
        <v>1990596</v>
      </c>
      <c r="L299" s="924">
        <v>2125193</v>
      </c>
      <c r="M299" s="924">
        <v>2852876</v>
      </c>
      <c r="N299" s="924">
        <v>1760812</v>
      </c>
      <c r="O299" s="924">
        <v>2214431</v>
      </c>
      <c r="P299" s="924">
        <v>1195642</v>
      </c>
      <c r="Q299" s="924">
        <v>1183301</v>
      </c>
      <c r="R299" s="924">
        <v>1886986</v>
      </c>
      <c r="S299" s="924">
        <v>1770206</v>
      </c>
      <c r="T299" s="924">
        <v>2240927</v>
      </c>
      <c r="U299" s="925">
        <v>1848147</v>
      </c>
      <c r="V299" s="924">
        <v>1767844</v>
      </c>
      <c r="W299" s="924">
        <v>2896978</v>
      </c>
      <c r="X299" s="937">
        <v>2236976</v>
      </c>
    </row>
    <row r="300" spans="3:28" ht="15" customHeight="1">
      <c r="C300" s="84" t="s">
        <v>778</v>
      </c>
      <c r="D300" s="924">
        <v>478704</v>
      </c>
      <c r="E300" s="924">
        <v>506572</v>
      </c>
      <c r="F300" s="924">
        <v>475788</v>
      </c>
      <c r="G300" s="924">
        <v>501762</v>
      </c>
      <c r="H300" s="924">
        <v>685721</v>
      </c>
      <c r="I300" s="924">
        <v>539335</v>
      </c>
      <c r="J300" s="924">
        <v>564036</v>
      </c>
      <c r="K300" s="924">
        <v>82316</v>
      </c>
      <c r="L300" s="924">
        <v>59891</v>
      </c>
      <c r="M300" s="924">
        <v>74572</v>
      </c>
      <c r="N300" s="924">
        <v>439980</v>
      </c>
      <c r="O300" s="924">
        <v>504513</v>
      </c>
      <c r="P300" s="924">
        <v>325355</v>
      </c>
      <c r="Q300" s="924">
        <v>411565</v>
      </c>
      <c r="R300" s="924">
        <v>342466</v>
      </c>
      <c r="S300" s="924">
        <v>332444</v>
      </c>
      <c r="T300" s="924">
        <v>377560</v>
      </c>
      <c r="U300" s="925">
        <v>337823</v>
      </c>
      <c r="V300" s="924">
        <v>269182</v>
      </c>
      <c r="W300" s="924">
        <v>214727</v>
      </c>
      <c r="X300" s="937">
        <v>154641</v>
      </c>
    </row>
    <row r="301" spans="3:28" ht="15" customHeight="1">
      <c r="C301" s="84" t="s">
        <v>779</v>
      </c>
      <c r="D301" s="924">
        <v>9036100</v>
      </c>
      <c r="E301" s="924">
        <v>10663950</v>
      </c>
      <c r="F301" s="924">
        <v>12300816</v>
      </c>
      <c r="G301" s="924">
        <v>11235408</v>
      </c>
      <c r="H301" s="924">
        <v>12937971</v>
      </c>
      <c r="I301" s="924">
        <v>12092768</v>
      </c>
      <c r="J301" s="924">
        <v>13212967</v>
      </c>
      <c r="K301" s="924">
        <v>13330598</v>
      </c>
      <c r="L301" s="924">
        <v>13312335</v>
      </c>
      <c r="M301" s="924">
        <v>13827243</v>
      </c>
      <c r="N301" s="924">
        <v>13656267</v>
      </c>
      <c r="O301" s="924">
        <v>12128005</v>
      </c>
      <c r="P301" s="924">
        <v>13690713</v>
      </c>
      <c r="Q301" s="924">
        <v>14580260</v>
      </c>
      <c r="R301" s="924">
        <v>14703221</v>
      </c>
      <c r="S301" s="924">
        <v>13830411</v>
      </c>
      <c r="T301" s="924">
        <v>14353192</v>
      </c>
      <c r="U301" s="925">
        <v>14678695</v>
      </c>
      <c r="V301" s="924">
        <v>14550119</v>
      </c>
      <c r="W301" s="924">
        <v>13993948</v>
      </c>
      <c r="X301" s="937">
        <v>14397437</v>
      </c>
    </row>
    <row r="302" spans="3:28" ht="15" customHeight="1">
      <c r="C302" s="84" t="s">
        <v>780</v>
      </c>
      <c r="D302" s="924">
        <v>1407287</v>
      </c>
      <c r="E302" s="924">
        <v>1824659</v>
      </c>
      <c r="F302" s="924">
        <v>1658271</v>
      </c>
      <c r="G302" s="924">
        <v>2009536</v>
      </c>
      <c r="H302" s="924">
        <v>1442006</v>
      </c>
      <c r="I302" s="924">
        <v>2457463</v>
      </c>
      <c r="J302" s="924">
        <v>1588375</v>
      </c>
      <c r="K302" s="924">
        <v>1739737</v>
      </c>
      <c r="L302" s="924">
        <v>1424197</v>
      </c>
      <c r="M302" s="924">
        <v>1732619</v>
      </c>
      <c r="N302" s="924">
        <v>1183518</v>
      </c>
      <c r="O302" s="924">
        <v>1660989</v>
      </c>
      <c r="P302" s="924">
        <v>2646984</v>
      </c>
      <c r="Q302" s="924">
        <v>2507521</v>
      </c>
      <c r="R302" s="924">
        <v>1703639</v>
      </c>
      <c r="S302" s="924">
        <v>2104275</v>
      </c>
      <c r="T302" s="924">
        <v>1652216</v>
      </c>
      <c r="U302" s="925">
        <v>1974078</v>
      </c>
      <c r="V302" s="924">
        <v>1888769</v>
      </c>
      <c r="W302" s="924">
        <v>1667397</v>
      </c>
      <c r="X302" s="937">
        <v>2540908</v>
      </c>
    </row>
    <row r="303" spans="3:28" ht="15" customHeight="1">
      <c r="C303" s="84" t="s">
        <v>781</v>
      </c>
      <c r="D303" s="924"/>
      <c r="E303" s="924"/>
      <c r="F303" s="924"/>
      <c r="G303" s="924"/>
      <c r="H303" s="924"/>
      <c r="I303" s="924"/>
      <c r="J303" s="924"/>
      <c r="K303" s="924"/>
      <c r="L303" s="924"/>
      <c r="M303" s="924"/>
      <c r="N303" s="924"/>
      <c r="O303" s="924"/>
      <c r="P303" s="924"/>
      <c r="Q303" s="924"/>
      <c r="R303" s="924"/>
      <c r="S303" s="924"/>
      <c r="T303" s="924"/>
      <c r="U303" s="925"/>
      <c r="V303" s="924"/>
      <c r="W303" s="924">
        <v>1494</v>
      </c>
      <c r="X303" s="937">
        <v>319254</v>
      </c>
    </row>
    <row r="304" spans="3:28" ht="15" customHeight="1">
      <c r="C304" s="84" t="s">
        <v>782</v>
      </c>
      <c r="D304" s="924"/>
      <c r="E304" s="924"/>
      <c r="F304" s="924"/>
      <c r="G304" s="924"/>
      <c r="H304" s="924"/>
      <c r="I304" s="924"/>
      <c r="J304" s="924"/>
      <c r="K304" s="924"/>
      <c r="L304" s="924"/>
      <c r="M304" s="924"/>
      <c r="N304" s="924"/>
      <c r="O304" s="924"/>
      <c r="P304" s="924"/>
      <c r="Q304" s="924"/>
      <c r="R304" s="924"/>
      <c r="S304" s="924"/>
      <c r="T304" s="924"/>
      <c r="U304" s="925"/>
      <c r="V304" s="924"/>
      <c r="W304" s="924">
        <v>80</v>
      </c>
      <c r="X304" s="937">
        <v>2070</v>
      </c>
    </row>
    <row r="305" spans="3:24" ht="15" customHeight="1">
      <c r="C305" s="84" t="s">
        <v>783</v>
      </c>
      <c r="D305" s="924">
        <v>160602</v>
      </c>
      <c r="E305" s="924">
        <v>174801</v>
      </c>
      <c r="F305" s="924">
        <v>175122</v>
      </c>
      <c r="G305" s="924">
        <v>168822</v>
      </c>
      <c r="H305" s="924">
        <v>175144</v>
      </c>
      <c r="I305" s="924">
        <v>167554</v>
      </c>
      <c r="J305" s="924">
        <v>155906</v>
      </c>
      <c r="K305" s="924">
        <v>155647</v>
      </c>
      <c r="L305" s="924">
        <v>171088</v>
      </c>
      <c r="M305" s="924">
        <v>179580</v>
      </c>
      <c r="N305" s="924">
        <v>11939</v>
      </c>
      <c r="O305" s="924">
        <v>182904</v>
      </c>
      <c r="P305" s="924">
        <v>225240</v>
      </c>
      <c r="Q305" s="924">
        <v>192384</v>
      </c>
      <c r="R305" s="924">
        <v>205985</v>
      </c>
      <c r="S305" s="924">
        <v>218066</v>
      </c>
      <c r="T305" s="924">
        <v>203097</v>
      </c>
      <c r="U305" s="925">
        <v>197704</v>
      </c>
      <c r="V305" s="924">
        <v>175058</v>
      </c>
      <c r="W305" s="924">
        <v>164688</v>
      </c>
      <c r="X305" s="937">
        <v>167437</v>
      </c>
    </row>
    <row r="306" spans="3:24" ht="15" customHeight="1">
      <c r="C306" s="84" t="s">
        <v>784</v>
      </c>
      <c r="D306" s="924">
        <v>336551</v>
      </c>
      <c r="E306" s="924">
        <v>329854</v>
      </c>
      <c r="F306" s="924">
        <v>303818</v>
      </c>
      <c r="G306" s="924">
        <v>352064</v>
      </c>
      <c r="H306" s="924">
        <v>501192</v>
      </c>
      <c r="I306" s="924">
        <v>565838</v>
      </c>
      <c r="J306" s="924">
        <v>587592</v>
      </c>
      <c r="K306" s="924">
        <v>605046</v>
      </c>
      <c r="L306" s="924">
        <v>614474</v>
      </c>
      <c r="M306" s="924">
        <v>638830</v>
      </c>
      <c r="N306" s="924">
        <v>361076</v>
      </c>
      <c r="O306" s="924">
        <v>338727</v>
      </c>
      <c r="P306" s="924">
        <v>370811</v>
      </c>
      <c r="Q306" s="924">
        <v>396824</v>
      </c>
      <c r="R306" s="924">
        <v>417380</v>
      </c>
      <c r="S306" s="924">
        <v>408095</v>
      </c>
      <c r="T306" s="924">
        <v>400364</v>
      </c>
      <c r="U306" s="925">
        <v>414781</v>
      </c>
      <c r="V306" s="924">
        <v>375721</v>
      </c>
      <c r="W306" s="924">
        <v>407402</v>
      </c>
      <c r="X306" s="937">
        <v>420114</v>
      </c>
    </row>
    <row r="307" spans="3:24" ht="15.75" customHeight="1">
      <c r="C307" s="938" t="s">
        <v>785</v>
      </c>
      <c r="D307" s="939"/>
      <c r="E307" s="939"/>
      <c r="F307" s="939"/>
      <c r="G307" s="939"/>
      <c r="H307" s="939"/>
      <c r="I307" s="939"/>
      <c r="J307" s="939"/>
      <c r="K307" s="939"/>
      <c r="L307" s="939"/>
      <c r="M307" s="939"/>
      <c r="N307" s="940">
        <v>247700</v>
      </c>
      <c r="O307" s="940">
        <v>255034</v>
      </c>
      <c r="P307" s="940">
        <v>278224</v>
      </c>
      <c r="Q307" s="940">
        <v>288616</v>
      </c>
      <c r="R307" s="940">
        <v>293561</v>
      </c>
      <c r="S307" s="940">
        <v>304635</v>
      </c>
      <c r="T307" s="940">
        <v>286550</v>
      </c>
      <c r="U307" s="941">
        <v>285645</v>
      </c>
      <c r="V307" s="924">
        <v>255893</v>
      </c>
      <c r="W307" s="924">
        <v>269907</v>
      </c>
      <c r="X307" s="937">
        <v>267727</v>
      </c>
    </row>
    <row r="308" spans="3:24" ht="15.75" customHeight="1">
      <c r="C308" s="942" t="s">
        <v>177</v>
      </c>
      <c r="D308" s="943">
        <v>39850884</v>
      </c>
      <c r="E308" s="943">
        <v>41177359</v>
      </c>
      <c r="F308" s="943">
        <v>44977888</v>
      </c>
      <c r="G308" s="943">
        <v>45339618</v>
      </c>
      <c r="H308" s="943">
        <v>46365643</v>
      </c>
      <c r="I308" s="943">
        <v>46274617</v>
      </c>
      <c r="J308" s="944">
        <v>46707396</v>
      </c>
      <c r="K308" s="943">
        <v>50653017</v>
      </c>
      <c r="L308" s="943">
        <v>51685621</v>
      </c>
      <c r="M308" s="943">
        <v>51145380</v>
      </c>
      <c r="N308" s="943">
        <v>49062340</v>
      </c>
      <c r="O308" s="943">
        <v>48279088</v>
      </c>
      <c r="P308" s="943">
        <v>52244237</v>
      </c>
      <c r="Q308" s="943">
        <v>52052770</v>
      </c>
      <c r="R308" s="943">
        <v>52661600</v>
      </c>
      <c r="S308" s="943">
        <v>48956880</v>
      </c>
      <c r="T308" s="943">
        <v>50197924</v>
      </c>
      <c r="U308" s="945">
        <v>47360953</v>
      </c>
      <c r="V308" s="946">
        <f>SUM(V297:V307)</f>
        <v>43774832</v>
      </c>
      <c r="W308" s="947">
        <v>43607266</v>
      </c>
      <c r="X308" s="948">
        <f>SUM(X297:X307)</f>
        <v>41913287</v>
      </c>
    </row>
    <row r="309" spans="3:24" ht="11.25" customHeight="1"/>
    <row r="310" spans="3:24" ht="11.25" customHeight="1"/>
    <row r="311" spans="3:24" ht="11.25" customHeight="1"/>
    <row r="312" spans="3:24" ht="12" customHeight="1"/>
    <row r="313" spans="3:24" ht="15.75" customHeight="1">
      <c r="G313" s="2127" t="s">
        <v>1858</v>
      </c>
      <c r="H313" s="2128"/>
      <c r="I313" s="2128"/>
      <c r="J313" s="2128"/>
      <c r="K313" s="2128"/>
      <c r="L313" s="2129"/>
    </row>
    <row r="314" spans="3:24" ht="11.25" customHeight="1"/>
    <row r="315" spans="3:24" ht="12" customHeight="1"/>
    <row r="316" spans="3:24" ht="13.5" customHeight="1">
      <c r="C316" s="2130" t="s">
        <v>1859</v>
      </c>
      <c r="D316" s="2131" t="s">
        <v>348</v>
      </c>
      <c r="E316" s="2131" t="s">
        <v>1860</v>
      </c>
      <c r="F316" s="2131" t="s">
        <v>1861</v>
      </c>
      <c r="G316" s="2131" t="s">
        <v>1862</v>
      </c>
      <c r="H316" s="2131" t="s">
        <v>1863</v>
      </c>
      <c r="I316" s="2131" t="s">
        <v>1864</v>
      </c>
      <c r="J316" s="2131" t="s">
        <v>1865</v>
      </c>
      <c r="K316" s="2131" t="s">
        <v>1866</v>
      </c>
      <c r="L316" s="2131" t="s">
        <v>1867</v>
      </c>
      <c r="M316" s="2131" t="s">
        <v>1868</v>
      </c>
      <c r="N316" s="2131" t="s">
        <v>1869</v>
      </c>
      <c r="O316" s="2132" t="s">
        <v>1870</v>
      </c>
      <c r="P316" s="2133" t="s">
        <v>1871</v>
      </c>
    </row>
    <row r="317" spans="3:24" ht="11.25" customHeight="1">
      <c r="C317" s="2134" t="s">
        <v>1872</v>
      </c>
      <c r="D317" s="2135" t="s">
        <v>1873</v>
      </c>
      <c r="E317" s="2136">
        <v>289747</v>
      </c>
      <c r="F317" s="2136">
        <v>283345</v>
      </c>
      <c r="G317" s="2136">
        <v>291706</v>
      </c>
      <c r="H317" s="2136">
        <v>297613</v>
      </c>
      <c r="I317" s="2136">
        <v>291315</v>
      </c>
      <c r="J317" s="2136">
        <v>295546</v>
      </c>
      <c r="K317" s="2136">
        <v>293181</v>
      </c>
      <c r="L317" s="2136">
        <v>297200</v>
      </c>
      <c r="M317" s="2136">
        <v>279847</v>
      </c>
      <c r="N317" s="2136">
        <v>243998</v>
      </c>
      <c r="O317" s="2137">
        <v>242944</v>
      </c>
      <c r="P317" s="2138">
        <v>218918</v>
      </c>
    </row>
    <row r="318" spans="3:24" ht="11.25" customHeight="1">
      <c r="C318" s="2134" t="s">
        <v>1874</v>
      </c>
      <c r="D318" s="2135" t="s">
        <v>1875</v>
      </c>
      <c r="E318" s="2136">
        <v>3390</v>
      </c>
      <c r="F318" s="2136">
        <v>5684</v>
      </c>
      <c r="G318" s="2136">
        <v>4132</v>
      </c>
      <c r="H318" s="2136">
        <v>6721</v>
      </c>
      <c r="I318" s="2136">
        <v>6626</v>
      </c>
      <c r="J318" s="2136">
        <v>6968</v>
      </c>
      <c r="K318" s="2136">
        <v>2618</v>
      </c>
      <c r="L318" s="2136">
        <v>4450</v>
      </c>
      <c r="M318" s="2136">
        <v>2972</v>
      </c>
      <c r="N318" s="2136">
        <v>2042</v>
      </c>
      <c r="O318" s="2137">
        <v>2980</v>
      </c>
      <c r="P318" s="2138">
        <v>2026</v>
      </c>
    </row>
    <row r="319" spans="3:24" ht="11.25" customHeight="1">
      <c r="C319" s="2134" t="s">
        <v>1876</v>
      </c>
      <c r="D319" s="2135" t="s">
        <v>1877</v>
      </c>
      <c r="E319" s="2136">
        <v>30073</v>
      </c>
      <c r="F319" s="2136">
        <v>18078</v>
      </c>
      <c r="G319" s="2136">
        <v>23215</v>
      </c>
      <c r="H319" s="2136">
        <v>11400</v>
      </c>
      <c r="I319" s="2136">
        <v>12524</v>
      </c>
      <c r="J319" s="2136">
        <v>21431</v>
      </c>
      <c r="K319" s="2136">
        <v>22841</v>
      </c>
      <c r="L319" s="2136">
        <v>24080</v>
      </c>
      <c r="M319" s="2136">
        <v>20518</v>
      </c>
      <c r="N319" s="2136">
        <v>18887</v>
      </c>
      <c r="O319" s="2137">
        <v>31758</v>
      </c>
      <c r="P319" s="2138">
        <v>21577</v>
      </c>
    </row>
    <row r="320" spans="3:24" ht="11.25" customHeight="1">
      <c r="C320" s="2134" t="s">
        <v>1878</v>
      </c>
      <c r="D320" s="2135" t="s">
        <v>1879</v>
      </c>
      <c r="E320" s="2136">
        <v>144204</v>
      </c>
      <c r="F320" s="2136">
        <v>142612</v>
      </c>
      <c r="G320" s="2136">
        <v>126641</v>
      </c>
      <c r="H320" s="2136">
        <v>142671</v>
      </c>
      <c r="I320" s="2136">
        <v>152028</v>
      </c>
      <c r="J320" s="2136">
        <v>153443</v>
      </c>
      <c r="K320" s="2136">
        <v>144334</v>
      </c>
      <c r="L320" s="2136">
        <v>150493</v>
      </c>
      <c r="M320" s="2136">
        <v>153436</v>
      </c>
      <c r="N320" s="2136">
        <v>152194</v>
      </c>
      <c r="O320" s="2137">
        <v>146265</v>
      </c>
      <c r="P320" s="2138">
        <v>150655</v>
      </c>
    </row>
    <row r="321" spans="3:16" ht="11.25" customHeight="1">
      <c r="C321" s="2134" t="s">
        <v>1880</v>
      </c>
      <c r="D321" s="2135" t="s">
        <v>1881</v>
      </c>
      <c r="E321" s="2136">
        <v>23472</v>
      </c>
      <c r="F321" s="2136">
        <v>28855</v>
      </c>
      <c r="G321" s="2136">
        <v>21385</v>
      </c>
      <c r="H321" s="2136">
        <v>31573</v>
      </c>
      <c r="I321" s="2136">
        <v>28394</v>
      </c>
      <c r="J321" s="2136">
        <v>33496</v>
      </c>
      <c r="K321" s="2136">
        <v>3736</v>
      </c>
      <c r="L321" s="2136">
        <v>6567</v>
      </c>
      <c r="M321" s="2136">
        <v>1909</v>
      </c>
      <c r="N321" s="2136">
        <v>1758</v>
      </c>
      <c r="O321" s="2137">
        <v>872</v>
      </c>
      <c r="P321" s="2138">
        <v>732</v>
      </c>
    </row>
    <row r="322" spans="3:16" ht="11.25" customHeight="1">
      <c r="C322" s="2134" t="s">
        <v>1882</v>
      </c>
      <c r="D322" s="2135" t="s">
        <v>1883</v>
      </c>
      <c r="E322" s="2136">
        <v>46</v>
      </c>
      <c r="F322" s="2136">
        <v>19</v>
      </c>
      <c r="G322" s="2136">
        <v>6</v>
      </c>
      <c r="H322" s="2136">
        <v>9</v>
      </c>
      <c r="I322" s="2136">
        <v>8</v>
      </c>
      <c r="J322" s="2136">
        <v>41</v>
      </c>
      <c r="K322" s="2136">
        <v>5</v>
      </c>
      <c r="L322" s="2136">
        <v>30</v>
      </c>
      <c r="M322" s="2136">
        <v>19</v>
      </c>
      <c r="N322" s="2136">
        <v>17</v>
      </c>
      <c r="O322" s="2137">
        <v>18</v>
      </c>
      <c r="P322" s="2138">
        <v>10</v>
      </c>
    </row>
    <row r="323" spans="3:16" ht="11.25" customHeight="1">
      <c r="C323" s="2134" t="s">
        <v>1884</v>
      </c>
      <c r="D323" s="2135" t="s">
        <v>1885</v>
      </c>
      <c r="E323" s="2136">
        <v>46</v>
      </c>
      <c r="F323" s="2136">
        <v>43</v>
      </c>
      <c r="G323" s="2136">
        <v>42</v>
      </c>
      <c r="H323" s="2136">
        <v>40</v>
      </c>
      <c r="I323" s="2136">
        <v>69</v>
      </c>
      <c r="J323" s="2136">
        <v>76</v>
      </c>
      <c r="K323" s="2136">
        <v>86</v>
      </c>
      <c r="L323" s="2136">
        <v>99</v>
      </c>
      <c r="M323" s="2136">
        <v>119</v>
      </c>
      <c r="N323" s="2136">
        <v>160</v>
      </c>
      <c r="O323" s="2137">
        <v>205</v>
      </c>
      <c r="P323" s="2138">
        <v>301</v>
      </c>
    </row>
    <row r="324" spans="3:16" ht="11.25" customHeight="1">
      <c r="C324" s="2134" t="s">
        <v>1886</v>
      </c>
      <c r="D324" s="2135" t="s">
        <v>1887</v>
      </c>
      <c r="E324" s="2136">
        <v>12334</v>
      </c>
      <c r="F324" s="2136">
        <v>7034</v>
      </c>
      <c r="G324" s="2136">
        <v>7317</v>
      </c>
      <c r="H324" s="2136">
        <v>7128</v>
      </c>
      <c r="I324" s="2136">
        <v>7306</v>
      </c>
      <c r="J324" s="2136">
        <v>7311</v>
      </c>
      <c r="K324" s="2136">
        <v>7608</v>
      </c>
      <c r="L324" s="2136">
        <v>7497</v>
      </c>
      <c r="M324" s="2136">
        <v>7679</v>
      </c>
      <c r="N324" s="2136">
        <v>7409</v>
      </c>
      <c r="O324" s="2137">
        <v>7602</v>
      </c>
      <c r="P324" s="2138">
        <v>6961</v>
      </c>
    </row>
    <row r="325" spans="3:16" ht="12" customHeight="1">
      <c r="C325" s="2139"/>
      <c r="D325" s="2140"/>
      <c r="E325" s="2141"/>
      <c r="F325" s="2141"/>
      <c r="G325" s="2141"/>
      <c r="H325" s="2141"/>
      <c r="I325" s="2141"/>
      <c r="J325" s="2141"/>
      <c r="K325" s="2141"/>
      <c r="L325" s="2141"/>
      <c r="M325" s="2141"/>
      <c r="N325" s="2141"/>
      <c r="O325" s="2142"/>
      <c r="P325" s="2143"/>
    </row>
    <row r="326" spans="3:16" ht="12" customHeight="1"/>
    <row r="327" spans="3:16" ht="11.25" customHeight="1"/>
    <row r="328" spans="3:16" ht="11.25" customHeight="1"/>
    <row r="329" spans="3:16" ht="11.25" customHeight="1"/>
    <row r="330" spans="3:16" ht="11.25" customHeight="1"/>
    <row r="331" spans="3:16" ht="11.25" customHeight="1"/>
    <row r="332" spans="3:16" ht="11.25" customHeight="1"/>
    <row r="333" spans="3:16" ht="11.25" customHeight="1"/>
    <row r="334" spans="3:16" ht="11.25" customHeight="1"/>
    <row r="335" spans="3:16" ht="11.25" customHeight="1"/>
    <row r="336" spans="3:1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3:C3"/>
    <mergeCell ref="B4:C4"/>
    <mergeCell ref="B163:C163"/>
    <mergeCell ref="B165:C165"/>
    <mergeCell ref="B172:C172"/>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6.85546875" defaultRowHeight="15" customHeight="1"/>
  <cols>
    <col min="1" max="1" width="3.85546875" customWidth="1"/>
    <col min="2" max="2" width="14.28515625" customWidth="1"/>
    <col min="3" max="3" width="34.42578125" customWidth="1"/>
    <col min="4" max="4" width="30.42578125" customWidth="1"/>
    <col min="5" max="5" width="13.42578125" customWidth="1"/>
    <col min="6" max="6" width="15.7109375" customWidth="1"/>
    <col min="7" max="7" width="13.42578125" customWidth="1"/>
    <col min="8" max="8" width="12.28515625" customWidth="1"/>
    <col min="9" max="9" width="18" customWidth="1"/>
    <col min="10" max="10" width="17.7109375" customWidth="1"/>
    <col min="11" max="11" width="21.28515625" customWidth="1"/>
    <col min="12" max="12" width="19.140625" customWidth="1"/>
    <col min="13" max="13" width="19.28515625" customWidth="1"/>
    <col min="14" max="14" width="12.140625" customWidth="1"/>
    <col min="15" max="15" width="11.42578125" customWidth="1"/>
    <col min="16" max="26" width="8" customWidth="1"/>
  </cols>
  <sheetData>
    <row r="1" spans="1:26" ht="14.4">
      <c r="A1" s="1"/>
      <c r="B1" s="1"/>
      <c r="C1" s="1"/>
      <c r="D1" s="1"/>
      <c r="E1" s="1"/>
      <c r="F1" s="1"/>
      <c r="G1" s="1"/>
      <c r="H1" s="1"/>
      <c r="I1" s="1"/>
      <c r="J1" s="1"/>
      <c r="K1" s="1"/>
      <c r="L1" s="1"/>
      <c r="M1" s="1"/>
      <c r="N1" s="1"/>
      <c r="O1" s="1"/>
      <c r="P1" s="1"/>
      <c r="Q1" s="1"/>
      <c r="R1" s="1"/>
      <c r="S1" s="1"/>
      <c r="T1" s="1"/>
      <c r="U1" s="1"/>
      <c r="V1" s="1"/>
      <c r="W1" s="1"/>
      <c r="X1" s="1"/>
      <c r="Y1" s="1"/>
      <c r="Z1" s="1"/>
    </row>
    <row r="2" spans="1:26" ht="14.4">
      <c r="A2" s="1"/>
      <c r="B2" s="1"/>
      <c r="C2" s="1"/>
      <c r="D2" s="1"/>
      <c r="E2" s="1"/>
      <c r="F2" s="1"/>
      <c r="G2" s="1"/>
      <c r="H2" s="1"/>
      <c r="I2" s="1"/>
      <c r="J2" s="39"/>
      <c r="K2" s="39"/>
      <c r="L2" s="39"/>
      <c r="M2" s="39"/>
      <c r="N2" s="1"/>
      <c r="O2" s="1"/>
      <c r="P2" s="1"/>
      <c r="Q2" s="1"/>
      <c r="R2" s="1"/>
      <c r="S2" s="1"/>
      <c r="T2" s="1"/>
      <c r="U2" s="1"/>
      <c r="V2" s="1"/>
      <c r="W2" s="1"/>
      <c r="X2" s="1"/>
      <c r="Y2" s="1"/>
      <c r="Z2" s="1"/>
    </row>
    <row r="3" spans="1:26" ht="15.6">
      <c r="A3" s="1"/>
      <c r="B3" s="849" t="s">
        <v>345</v>
      </c>
      <c r="C3" s="849" t="s">
        <v>346</v>
      </c>
      <c r="D3" s="849" t="s">
        <v>347</v>
      </c>
      <c r="E3" s="849" t="s">
        <v>348</v>
      </c>
      <c r="F3" s="849" t="s">
        <v>349</v>
      </c>
      <c r="G3" s="849" t="s">
        <v>349</v>
      </c>
      <c r="H3" s="849" t="s">
        <v>720</v>
      </c>
      <c r="I3" s="849" t="s">
        <v>721</v>
      </c>
      <c r="J3" s="850" t="s">
        <v>722</v>
      </c>
      <c r="K3" s="849" t="s">
        <v>723</v>
      </c>
      <c r="L3" s="849" t="s">
        <v>724</v>
      </c>
      <c r="M3" s="849" t="s">
        <v>725</v>
      </c>
      <c r="N3" s="1"/>
      <c r="O3" s="1"/>
      <c r="P3" s="1"/>
      <c r="Q3" s="1"/>
      <c r="R3" s="1"/>
      <c r="S3" s="1"/>
      <c r="T3" s="1"/>
      <c r="U3" s="1"/>
      <c r="V3" s="1"/>
      <c r="W3" s="1"/>
      <c r="X3" s="1"/>
      <c r="Y3" s="1"/>
      <c r="Z3" s="1"/>
    </row>
    <row r="4" spans="1:26" ht="14.4">
      <c r="A4" s="1"/>
      <c r="B4" s="245"/>
      <c r="C4" s="245"/>
      <c r="D4" s="245"/>
      <c r="E4" s="245"/>
      <c r="F4" s="245"/>
      <c r="G4" s="245" t="s">
        <v>726</v>
      </c>
      <c r="H4" s="245" t="s">
        <v>727</v>
      </c>
      <c r="I4" s="245" t="s">
        <v>728</v>
      </c>
      <c r="J4" s="245" t="s">
        <v>359</v>
      </c>
      <c r="K4" s="245" t="s">
        <v>316</v>
      </c>
      <c r="L4" s="245" t="s">
        <v>316</v>
      </c>
      <c r="M4" s="245" t="s">
        <v>316</v>
      </c>
      <c r="N4" s="1"/>
      <c r="O4" s="1"/>
      <c r="P4" s="1"/>
      <c r="Q4" s="1"/>
      <c r="R4" s="1"/>
      <c r="S4" s="1"/>
      <c r="T4" s="1"/>
      <c r="U4" s="1"/>
      <c r="V4" s="1"/>
      <c r="W4" s="1"/>
      <c r="X4" s="1"/>
      <c r="Y4" s="1"/>
      <c r="Z4" s="1"/>
    </row>
    <row r="5" spans="1:26" ht="14.4">
      <c r="A5" s="1"/>
      <c r="B5" s="251"/>
      <c r="C5" s="251"/>
      <c r="D5" s="251"/>
      <c r="E5" s="251"/>
      <c r="F5" s="251"/>
      <c r="G5" s="251"/>
      <c r="H5" s="251"/>
      <c r="I5" s="251"/>
      <c r="J5" s="251"/>
      <c r="K5" s="851"/>
      <c r="L5" s="251"/>
      <c r="M5" s="251"/>
      <c r="N5" s="1"/>
      <c r="O5" s="1"/>
      <c r="P5" s="1"/>
      <c r="Q5" s="1"/>
      <c r="R5" s="1"/>
      <c r="S5" s="1"/>
      <c r="T5" s="1"/>
      <c r="U5" s="1"/>
      <c r="V5" s="1"/>
      <c r="W5" s="1"/>
      <c r="X5" s="1"/>
      <c r="Y5" s="1"/>
      <c r="Z5" s="1"/>
    </row>
    <row r="6" spans="1:26" ht="14.4">
      <c r="A6" s="1"/>
      <c r="B6" s="204" t="s">
        <v>360</v>
      </c>
      <c r="C6" s="205" t="s">
        <v>361</v>
      </c>
      <c r="D6" s="204"/>
      <c r="E6" s="204"/>
      <c r="F6" s="506"/>
      <c r="G6" s="204"/>
      <c r="H6" s="204"/>
      <c r="I6" s="204"/>
      <c r="J6" s="852"/>
      <c r="K6" s="581"/>
      <c r="L6" s="204"/>
      <c r="M6" s="204"/>
      <c r="N6" s="1"/>
      <c r="O6" s="1"/>
      <c r="P6" s="1"/>
      <c r="Q6" s="1"/>
      <c r="R6" s="1"/>
      <c r="S6" s="1"/>
      <c r="T6" s="1"/>
      <c r="U6" s="1"/>
      <c r="V6" s="1"/>
      <c r="W6" s="1"/>
      <c r="X6" s="1"/>
      <c r="Y6" s="1"/>
      <c r="Z6" s="1"/>
    </row>
    <row r="7" spans="1:26" ht="14.4">
      <c r="A7" s="1"/>
      <c r="B7" s="210"/>
      <c r="C7" s="510" t="s">
        <v>362</v>
      </c>
      <c r="D7" s="510" t="s">
        <v>363</v>
      </c>
      <c r="E7" s="510" t="s">
        <v>293</v>
      </c>
      <c r="F7" s="511">
        <v>711214</v>
      </c>
      <c r="G7" s="510" t="s">
        <v>364</v>
      </c>
      <c r="H7" s="219">
        <v>11080</v>
      </c>
      <c r="I7" s="510" t="s">
        <v>365</v>
      </c>
      <c r="J7" s="341">
        <v>15857480</v>
      </c>
      <c r="K7" s="341">
        <f t="shared" ref="K7:K8" si="0">J7/($J$7+$J$8)*K$9</f>
        <v>1624579.0892771983</v>
      </c>
      <c r="L7" s="513">
        <f t="shared" ref="L7:L8" si="1">J7/($J$7+$J$8)*L$9</f>
        <v>192.13746850227773</v>
      </c>
      <c r="M7" s="513">
        <f t="shared" ref="M7:M8" si="2">J7/($J$7+$J$8)*M$9</f>
        <v>27.95199068628779</v>
      </c>
      <c r="N7" s="1"/>
      <c r="O7" s="1"/>
      <c r="P7" s="1"/>
      <c r="Q7" s="1"/>
      <c r="R7" s="1"/>
      <c r="S7" s="1"/>
      <c r="T7" s="1"/>
      <c r="U7" s="1"/>
      <c r="V7" s="1"/>
      <c r="W7" s="1"/>
      <c r="X7" s="1"/>
      <c r="Y7" s="1"/>
      <c r="Z7" s="1"/>
    </row>
    <row r="8" spans="1:26" ht="14.4">
      <c r="A8" s="1"/>
      <c r="B8" s="210"/>
      <c r="C8" s="510" t="s">
        <v>362</v>
      </c>
      <c r="D8" s="510" t="s">
        <v>363</v>
      </c>
      <c r="E8" s="510" t="s">
        <v>424</v>
      </c>
      <c r="F8" s="511">
        <v>113500</v>
      </c>
      <c r="G8" s="510" t="s">
        <v>425</v>
      </c>
      <c r="H8" s="219">
        <v>140000</v>
      </c>
      <c r="I8" s="510" t="s">
        <v>426</v>
      </c>
      <c r="J8" s="853">
        <f>(F8*H8)/1000000</f>
        <v>15890</v>
      </c>
      <c r="K8" s="341">
        <f t="shared" si="0"/>
        <v>1627.9107228017742</v>
      </c>
      <c r="L8" s="513">
        <f t="shared" si="1"/>
        <v>0.19253149772228581</v>
      </c>
      <c r="M8" s="513">
        <f t="shared" si="2"/>
        <v>2.8009313712211079E-2</v>
      </c>
      <c r="N8" s="1"/>
      <c r="O8" s="1"/>
      <c r="P8" s="1"/>
      <c r="Q8" s="1"/>
      <c r="R8" s="1"/>
      <c r="S8" s="1"/>
      <c r="T8" s="1"/>
      <c r="U8" s="1"/>
      <c r="V8" s="1"/>
      <c r="W8" s="1"/>
      <c r="X8" s="1"/>
      <c r="Y8" s="1"/>
      <c r="Z8" s="1"/>
    </row>
    <row r="9" spans="1:26" ht="14.4">
      <c r="A9" s="1"/>
      <c r="B9" s="210"/>
      <c r="C9" s="210"/>
      <c r="D9" s="564"/>
      <c r="E9" s="210"/>
      <c r="F9" s="515"/>
      <c r="G9" s="210"/>
      <c r="H9" s="209"/>
      <c r="I9" s="210"/>
      <c r="J9" s="854">
        <f>SUM(J7:J8)</f>
        <v>15873370</v>
      </c>
      <c r="K9" s="855">
        <v>1626207</v>
      </c>
      <c r="L9" s="518">
        <v>192.33</v>
      </c>
      <c r="M9" s="518">
        <v>27.98</v>
      </c>
      <c r="N9" s="1"/>
      <c r="O9" s="1"/>
      <c r="P9" s="1"/>
      <c r="Q9" s="1"/>
      <c r="R9" s="1"/>
      <c r="S9" s="1"/>
      <c r="T9" s="1"/>
      <c r="U9" s="1"/>
      <c r="V9" s="1"/>
      <c r="W9" s="1"/>
      <c r="X9" s="1"/>
      <c r="Y9" s="1"/>
      <c r="Z9" s="1"/>
    </row>
    <row r="10" spans="1:26" ht="14.4">
      <c r="A10" s="1"/>
      <c r="B10" s="210"/>
      <c r="C10" s="210" t="s">
        <v>428</v>
      </c>
      <c r="D10" s="210" t="s">
        <v>429</v>
      </c>
      <c r="E10" s="210" t="s">
        <v>424</v>
      </c>
      <c r="F10" s="515">
        <v>665</v>
      </c>
      <c r="G10" s="210" t="s">
        <v>425</v>
      </c>
      <c r="H10" s="209">
        <v>140000</v>
      </c>
      <c r="I10" s="210" t="s">
        <v>426</v>
      </c>
      <c r="J10" s="856">
        <f t="shared" ref="J10:J11" si="3">(F10*H10)/1000000</f>
        <v>93.1</v>
      </c>
      <c r="K10" s="535">
        <v>7.48</v>
      </c>
      <c r="L10" s="522">
        <v>0</v>
      </c>
      <c r="M10" s="522">
        <v>0</v>
      </c>
      <c r="N10" s="1"/>
      <c r="O10" s="1"/>
      <c r="P10" s="1"/>
      <c r="Q10" s="1"/>
      <c r="R10" s="1"/>
      <c r="S10" s="1"/>
      <c r="T10" s="1"/>
      <c r="U10" s="1"/>
      <c r="V10" s="1"/>
      <c r="W10" s="1"/>
      <c r="X10" s="1"/>
      <c r="Y10" s="1"/>
      <c r="Z10" s="1"/>
    </row>
    <row r="11" spans="1:26" ht="14.4">
      <c r="A11" s="1"/>
      <c r="B11" s="224"/>
      <c r="C11" s="224" t="s">
        <v>632</v>
      </c>
      <c r="D11" s="224" t="s">
        <v>633</v>
      </c>
      <c r="E11" s="224" t="s">
        <v>295</v>
      </c>
      <c r="F11" s="549">
        <v>2767100</v>
      </c>
      <c r="G11" s="224" t="s">
        <v>634</v>
      </c>
      <c r="H11" s="348">
        <v>1020</v>
      </c>
      <c r="I11" s="224" t="s">
        <v>635</v>
      </c>
      <c r="J11" s="857">
        <f t="shared" si="3"/>
        <v>2822.442</v>
      </c>
      <c r="K11" s="543">
        <v>166.25</v>
      </c>
      <c r="L11" s="858">
        <v>0</v>
      </c>
      <c r="M11" s="858">
        <v>0</v>
      </c>
      <c r="N11" s="1"/>
      <c r="O11" s="1"/>
      <c r="P11" s="1"/>
      <c r="Q11" s="1"/>
      <c r="R11" s="1"/>
      <c r="S11" s="1"/>
      <c r="T11" s="1"/>
      <c r="U11" s="1"/>
      <c r="V11" s="1"/>
      <c r="W11" s="1"/>
      <c r="X11" s="1"/>
      <c r="Y11" s="1"/>
      <c r="Z11" s="1"/>
    </row>
    <row r="12" spans="1:26" ht="14.4">
      <c r="A12" s="1"/>
      <c r="B12" s="239"/>
      <c r="C12" s="239"/>
      <c r="D12" s="239"/>
      <c r="E12" s="239"/>
      <c r="F12" s="859"/>
      <c r="G12" s="239"/>
      <c r="H12" s="859"/>
      <c r="I12" s="239"/>
      <c r="J12" s="859"/>
      <c r="K12" s="860"/>
      <c r="L12" s="861"/>
      <c r="M12" s="861"/>
      <c r="N12" s="1"/>
      <c r="O12" s="1"/>
      <c r="P12" s="1"/>
      <c r="Q12" s="1"/>
      <c r="R12" s="1"/>
      <c r="S12" s="1"/>
      <c r="T12" s="1"/>
      <c r="U12" s="1"/>
      <c r="V12" s="1"/>
      <c r="W12" s="1"/>
      <c r="X12" s="1"/>
      <c r="Y12" s="1"/>
      <c r="Z12" s="1"/>
    </row>
    <row r="13" spans="1:26" ht="14.4">
      <c r="A13" s="1"/>
      <c r="B13" s="204" t="s">
        <v>366</v>
      </c>
      <c r="C13" s="205" t="s">
        <v>367</v>
      </c>
      <c r="D13" s="204"/>
      <c r="E13" s="204"/>
      <c r="F13" s="506"/>
      <c r="G13" s="204"/>
      <c r="H13" s="506"/>
      <c r="I13" s="204"/>
      <c r="J13" s="852"/>
      <c r="K13" s="581"/>
      <c r="L13" s="527"/>
      <c r="M13" s="527"/>
      <c r="N13" s="1"/>
      <c r="O13" s="1"/>
      <c r="P13" s="1"/>
      <c r="Q13" s="1"/>
      <c r="R13" s="1"/>
      <c r="S13" s="1"/>
      <c r="T13" s="1"/>
      <c r="U13" s="1"/>
      <c r="V13" s="1"/>
      <c r="W13" s="1"/>
      <c r="X13" s="1"/>
      <c r="Y13" s="1"/>
      <c r="Z13" s="1"/>
    </row>
    <row r="14" spans="1:26" ht="14.4">
      <c r="A14" s="1"/>
      <c r="B14" s="210"/>
      <c r="C14" s="30"/>
      <c r="D14" s="210"/>
      <c r="E14" s="210"/>
      <c r="F14" s="209"/>
      <c r="G14" s="210"/>
      <c r="H14" s="209"/>
      <c r="I14" s="210"/>
      <c r="J14" s="862"/>
      <c r="K14" s="515"/>
      <c r="L14" s="535"/>
      <c r="M14" s="535"/>
      <c r="N14" s="1"/>
      <c r="O14" s="1"/>
      <c r="P14" s="1"/>
      <c r="Q14" s="1"/>
      <c r="R14" s="1"/>
      <c r="S14" s="1"/>
      <c r="T14" s="1"/>
      <c r="U14" s="1"/>
      <c r="V14" s="1"/>
      <c r="W14" s="1"/>
      <c r="X14" s="1"/>
      <c r="Y14" s="1"/>
      <c r="Z14" s="1"/>
    </row>
    <row r="15" spans="1:26" ht="14.4">
      <c r="A15" s="1"/>
      <c r="B15" s="210"/>
      <c r="C15" s="30" t="s">
        <v>729</v>
      </c>
      <c r="D15" s="210" t="s">
        <v>730</v>
      </c>
      <c r="E15" s="210"/>
      <c r="F15" s="209"/>
      <c r="G15" s="210"/>
      <c r="H15" s="209"/>
      <c r="I15" s="210"/>
      <c r="J15" s="862"/>
      <c r="K15" s="548"/>
      <c r="L15" s="535"/>
      <c r="M15" s="522"/>
      <c r="N15" s="1"/>
      <c r="O15" s="1"/>
      <c r="P15" s="1"/>
      <c r="Q15" s="1"/>
      <c r="R15" s="1"/>
      <c r="S15" s="1"/>
      <c r="T15" s="1"/>
      <c r="U15" s="1"/>
      <c r="V15" s="1"/>
      <c r="W15" s="1"/>
      <c r="X15" s="1"/>
      <c r="Y15" s="1"/>
      <c r="Z15" s="1"/>
    </row>
    <row r="16" spans="1:26" ht="14.4">
      <c r="A16" s="1"/>
      <c r="B16" s="210"/>
      <c r="C16" s="510" t="s">
        <v>368</v>
      </c>
      <c r="D16" s="529" t="s">
        <v>369</v>
      </c>
      <c r="E16" s="510" t="s">
        <v>430</v>
      </c>
      <c r="F16" s="511">
        <v>1080</v>
      </c>
      <c r="G16" s="510" t="s">
        <v>731</v>
      </c>
      <c r="H16" s="219">
        <v>139</v>
      </c>
      <c r="I16" s="510" t="s">
        <v>431</v>
      </c>
      <c r="J16" s="341">
        <f>(F16*H16)/1000</f>
        <v>150.12</v>
      </c>
      <c r="K16" s="531">
        <f>(+J16/(J16+J17))*K18</f>
        <v>17.680268317647489</v>
      </c>
      <c r="L16" s="532">
        <f>(J16/(J16+J17))*L18</f>
        <v>1.3260544686342993E-4</v>
      </c>
      <c r="M16" s="532">
        <f>(J16/(J16+J17))*M18</f>
        <v>9.9719296041299302E-5</v>
      </c>
      <c r="N16" s="1"/>
      <c r="O16" s="1"/>
      <c r="P16" s="1"/>
      <c r="Q16" s="1"/>
      <c r="R16" s="1"/>
      <c r="S16" s="1"/>
      <c r="T16" s="1"/>
      <c r="U16" s="1"/>
      <c r="V16" s="1"/>
      <c r="W16" s="1"/>
      <c r="X16" s="1"/>
      <c r="Y16" s="1"/>
      <c r="Z16" s="1"/>
    </row>
    <row r="17" spans="1:26" ht="14.4">
      <c r="A17" s="1"/>
      <c r="B17" s="210"/>
      <c r="C17" s="510"/>
      <c r="D17" s="529" t="s">
        <v>369</v>
      </c>
      <c r="E17" s="510" t="s">
        <v>370</v>
      </c>
      <c r="F17" s="511">
        <v>1246119</v>
      </c>
      <c r="G17" s="510" t="s">
        <v>364</v>
      </c>
      <c r="H17" s="219">
        <v>11356</v>
      </c>
      <c r="I17" s="510" t="s">
        <v>365</v>
      </c>
      <c r="J17" s="341">
        <f>(F17*H17*2000)/1000000</f>
        <v>28301854.728</v>
      </c>
      <c r="K17" s="531">
        <f>(+J17/(J16+J17))*K18</f>
        <v>3333229.3197316821</v>
      </c>
      <c r="L17" s="863">
        <f t="shared" ref="L17:M17" si="4">(J17/(J16+J17))*L18</f>
        <v>24.999867394553135</v>
      </c>
      <c r="M17" s="863">
        <f t="shared" si="4"/>
        <v>18.799900280703959</v>
      </c>
      <c r="N17" s="1"/>
      <c r="O17" s="1"/>
      <c r="P17" s="1"/>
      <c r="Q17" s="1"/>
      <c r="R17" s="1"/>
      <c r="S17" s="1"/>
      <c r="T17" s="1"/>
      <c r="U17" s="1"/>
      <c r="V17" s="1"/>
      <c r="W17" s="1"/>
      <c r="X17" s="1"/>
      <c r="Y17" s="1"/>
      <c r="Z17" s="1"/>
    </row>
    <row r="18" spans="1:26" ht="14.4">
      <c r="A18" s="1"/>
      <c r="B18" s="210"/>
      <c r="C18" s="210"/>
      <c r="D18" s="233"/>
      <c r="E18" s="210"/>
      <c r="F18" s="209"/>
      <c r="G18" s="210"/>
      <c r="H18" s="209"/>
      <c r="I18" s="210"/>
      <c r="J18" s="864">
        <v>32487813</v>
      </c>
      <c r="K18" s="865">
        <v>3333247</v>
      </c>
      <c r="L18" s="866">
        <v>25</v>
      </c>
      <c r="M18" s="866">
        <v>18.8</v>
      </c>
      <c r="N18" s="1"/>
      <c r="O18" s="1"/>
      <c r="P18" s="1"/>
      <c r="Q18" s="1"/>
      <c r="R18" s="1"/>
      <c r="S18" s="1"/>
      <c r="T18" s="1"/>
      <c r="U18" s="1"/>
      <c r="V18" s="1"/>
      <c r="W18" s="1"/>
      <c r="X18" s="1"/>
      <c r="Y18" s="1"/>
      <c r="Z18" s="1"/>
    </row>
    <row r="19" spans="1:26" ht="14.4">
      <c r="A19" s="1"/>
      <c r="B19" s="210"/>
      <c r="C19" s="510" t="s">
        <v>372</v>
      </c>
      <c r="D19" s="529" t="s">
        <v>373</v>
      </c>
      <c r="E19" s="510" t="s">
        <v>430</v>
      </c>
      <c r="F19" s="511">
        <v>1284</v>
      </c>
      <c r="G19" s="510" t="s">
        <v>425</v>
      </c>
      <c r="H19" s="219">
        <v>139</v>
      </c>
      <c r="I19" s="510" t="s">
        <v>431</v>
      </c>
      <c r="J19" s="341">
        <f>(F19*H19)/1000</f>
        <v>178.476</v>
      </c>
      <c r="K19" s="517">
        <f t="shared" ref="K19:K20" si="5">(J19/(J$20+J$19))*K$21</f>
        <v>18.523037689018818</v>
      </c>
      <c r="L19" s="537">
        <f t="shared" ref="L19:L20" si="6">(J19/(J$19+J$20))*L$21</f>
        <v>1.5769468121567734E-4</v>
      </c>
      <c r="M19" s="537">
        <f t="shared" ref="M19:M20" si="7">(J19/(J$19+J$20))*M$21</f>
        <v>1.1869492134513349E-4</v>
      </c>
      <c r="N19" s="1"/>
      <c r="O19" s="254"/>
      <c r="P19" s="1"/>
      <c r="Q19" s="1"/>
      <c r="R19" s="1"/>
      <c r="S19" s="1"/>
      <c r="T19" s="1"/>
      <c r="U19" s="1"/>
      <c r="V19" s="1"/>
      <c r="W19" s="1"/>
      <c r="X19" s="1"/>
      <c r="Y19" s="1"/>
      <c r="Z19" s="1"/>
    </row>
    <row r="20" spans="1:26" ht="14.4">
      <c r="A20" s="1"/>
      <c r="B20" s="210"/>
      <c r="C20" s="510"/>
      <c r="D20" s="529" t="s">
        <v>373</v>
      </c>
      <c r="E20" s="510" t="s">
        <v>370</v>
      </c>
      <c r="F20" s="511">
        <v>1390302</v>
      </c>
      <c r="G20" s="510" t="s">
        <v>364</v>
      </c>
      <c r="H20" s="219">
        <v>11356</v>
      </c>
      <c r="I20" s="510" t="s">
        <v>365</v>
      </c>
      <c r="J20" s="341">
        <f>(F20*H20*2000)/1000000</f>
        <v>31576539.024</v>
      </c>
      <c r="K20" s="517">
        <f t="shared" si="5"/>
        <v>3277154.4769623112</v>
      </c>
      <c r="L20" s="537">
        <f t="shared" si="6"/>
        <v>27.899842305318785</v>
      </c>
      <c r="M20" s="537">
        <f t="shared" si="7"/>
        <v>20.999881305078656</v>
      </c>
      <c r="N20" s="1"/>
      <c r="O20" s="1"/>
      <c r="P20" s="1"/>
      <c r="Q20" s="1"/>
      <c r="R20" s="1"/>
      <c r="S20" s="1"/>
      <c r="T20" s="1"/>
      <c r="U20" s="1"/>
      <c r="V20" s="1"/>
      <c r="W20" s="1"/>
      <c r="X20" s="1"/>
      <c r="Y20" s="1"/>
      <c r="Z20" s="1"/>
    </row>
    <row r="21" spans="1:26" ht="15.75" customHeight="1">
      <c r="A21" s="1"/>
      <c r="B21" s="224"/>
      <c r="C21" s="224"/>
      <c r="D21" s="540"/>
      <c r="E21" s="224"/>
      <c r="F21" s="348"/>
      <c r="G21" s="224"/>
      <c r="H21" s="348"/>
      <c r="I21" s="224"/>
      <c r="J21" s="867">
        <v>31941293</v>
      </c>
      <c r="K21" s="868">
        <v>3277173</v>
      </c>
      <c r="L21" s="869">
        <v>27.9</v>
      </c>
      <c r="M21" s="869">
        <v>21</v>
      </c>
      <c r="N21" s="1"/>
      <c r="O21" s="1"/>
      <c r="P21" s="1"/>
      <c r="Q21" s="1"/>
      <c r="R21" s="1"/>
      <c r="S21" s="1"/>
      <c r="T21" s="1"/>
      <c r="U21" s="1"/>
      <c r="V21" s="1"/>
      <c r="W21" s="1"/>
      <c r="X21" s="1"/>
      <c r="Y21" s="1"/>
      <c r="Z21" s="1"/>
    </row>
    <row r="22" spans="1:26" ht="15.75" customHeight="1">
      <c r="A22" s="1"/>
      <c r="B22" s="239"/>
      <c r="C22" s="239"/>
      <c r="D22" s="870"/>
      <c r="E22" s="239"/>
      <c r="F22" s="859"/>
      <c r="G22" s="239"/>
      <c r="H22" s="859"/>
      <c r="I22" s="239"/>
      <c r="J22" s="239"/>
      <c r="K22" s="860"/>
      <c r="L22" s="861"/>
      <c r="M22" s="861"/>
      <c r="N22" s="1"/>
      <c r="O22" s="1"/>
      <c r="P22" s="1"/>
      <c r="Q22" s="1"/>
      <c r="R22" s="1"/>
      <c r="S22" s="1"/>
      <c r="T22" s="1"/>
      <c r="U22" s="1"/>
      <c r="V22" s="1"/>
      <c r="W22" s="1"/>
      <c r="X22" s="1"/>
      <c r="Y22" s="1"/>
      <c r="Z22" s="1"/>
    </row>
    <row r="23" spans="1:26" ht="15.75" customHeight="1">
      <c r="A23" s="1"/>
      <c r="B23" s="204" t="s">
        <v>374</v>
      </c>
      <c r="C23" s="205" t="s">
        <v>375</v>
      </c>
      <c r="D23" s="207"/>
      <c r="E23" s="204"/>
      <c r="F23" s="506"/>
      <c r="G23" s="204"/>
      <c r="H23" s="506"/>
      <c r="I23" s="204"/>
      <c r="J23" s="852"/>
      <c r="K23" s="581"/>
      <c r="L23" s="527"/>
      <c r="M23" s="527"/>
      <c r="N23" s="1"/>
      <c r="O23" s="1"/>
      <c r="P23" s="1"/>
      <c r="Q23" s="1"/>
      <c r="R23" s="1"/>
      <c r="S23" s="1"/>
      <c r="T23" s="1"/>
      <c r="U23" s="1"/>
      <c r="V23" s="1"/>
      <c r="W23" s="1"/>
      <c r="X23" s="1"/>
      <c r="Y23" s="1"/>
      <c r="Z23" s="1"/>
    </row>
    <row r="24" spans="1:26" ht="15.75" customHeight="1">
      <c r="A24" s="1"/>
      <c r="B24" s="210"/>
      <c r="C24" s="510" t="s">
        <v>376</v>
      </c>
      <c r="D24" s="529" t="s">
        <v>377</v>
      </c>
      <c r="E24" s="510" t="s">
        <v>636</v>
      </c>
      <c r="F24" s="511">
        <v>75000000</v>
      </c>
      <c r="G24" s="510" t="s">
        <v>634</v>
      </c>
      <c r="H24" s="219">
        <v>1020</v>
      </c>
      <c r="I24" s="510" t="s">
        <v>637</v>
      </c>
      <c r="J24" s="341">
        <f>(F24*H24)/1000000</f>
        <v>76500</v>
      </c>
      <c r="K24" s="341">
        <f>(+J24/J26)*K26</f>
        <v>8023.2708769110341</v>
      </c>
      <c r="L24" s="513">
        <f>(+J24/J26)*L26</f>
        <v>2.1450042791546466E-2</v>
      </c>
      <c r="M24" s="513">
        <f>(+J24/J26)*M26</f>
        <v>0.18322488165166143</v>
      </c>
      <c r="N24" s="1"/>
      <c r="O24" s="1"/>
      <c r="P24" s="1"/>
      <c r="Q24" s="1"/>
      <c r="R24" s="1"/>
      <c r="S24" s="1"/>
      <c r="T24" s="1"/>
      <c r="U24" s="1"/>
      <c r="V24" s="1"/>
      <c r="W24" s="1"/>
      <c r="X24" s="1"/>
      <c r="Y24" s="1"/>
      <c r="Z24" s="1"/>
    </row>
    <row r="25" spans="1:26" ht="15.75" customHeight="1">
      <c r="A25" s="1"/>
      <c r="B25" s="210"/>
      <c r="C25" s="510"/>
      <c r="D25" s="529" t="s">
        <v>377</v>
      </c>
      <c r="E25" s="510" t="s">
        <v>370</v>
      </c>
      <c r="F25" s="511">
        <v>292475</v>
      </c>
      <c r="G25" s="510" t="s">
        <v>364</v>
      </c>
      <c r="H25" s="219">
        <v>11356</v>
      </c>
      <c r="I25" s="510" t="s">
        <v>365</v>
      </c>
      <c r="J25" s="341">
        <f>J26-J24</f>
        <v>5451461</v>
      </c>
      <c r="K25" s="341">
        <f>(+J25/J26)*K26</f>
        <v>571745.729123089</v>
      </c>
      <c r="L25" s="513">
        <f>(+J25/J26)*L26</f>
        <v>1.5285499572084535</v>
      </c>
      <c r="M25" s="513">
        <f>(+J25/J26)*M26</f>
        <v>13.056775118348337</v>
      </c>
      <c r="N25" s="1"/>
      <c r="O25" s="1"/>
      <c r="P25" s="1"/>
      <c r="Q25" s="1"/>
      <c r="R25" s="1"/>
      <c r="S25" s="1"/>
      <c r="T25" s="1"/>
      <c r="U25" s="1"/>
      <c r="V25" s="1"/>
      <c r="W25" s="1"/>
      <c r="X25" s="1"/>
      <c r="Y25" s="1"/>
      <c r="Z25" s="1"/>
    </row>
    <row r="26" spans="1:26" ht="15.75" customHeight="1">
      <c r="A26" s="1"/>
      <c r="B26" s="210"/>
      <c r="C26" s="210"/>
      <c r="D26" s="233"/>
      <c r="E26" s="210"/>
      <c r="F26" s="209"/>
      <c r="G26" s="210"/>
      <c r="H26" s="209"/>
      <c r="I26" s="210"/>
      <c r="J26" s="871">
        <v>5527961</v>
      </c>
      <c r="K26" s="865">
        <v>579769</v>
      </c>
      <c r="L26" s="872">
        <v>1.55</v>
      </c>
      <c r="M26" s="872">
        <v>13.24</v>
      </c>
      <c r="N26" s="1"/>
      <c r="O26" s="1"/>
      <c r="P26" s="1"/>
      <c r="Q26" s="1"/>
      <c r="R26" s="1"/>
      <c r="S26" s="1"/>
      <c r="T26" s="1"/>
      <c r="U26" s="1"/>
      <c r="V26" s="1"/>
      <c r="W26" s="1"/>
      <c r="X26" s="1"/>
      <c r="Y26" s="1"/>
      <c r="Z26" s="1"/>
    </row>
    <row r="27" spans="1:26" ht="15.75" customHeight="1">
      <c r="A27" s="1"/>
      <c r="B27" s="210"/>
      <c r="C27" s="510" t="s">
        <v>378</v>
      </c>
      <c r="D27" s="529" t="s">
        <v>379</v>
      </c>
      <c r="E27" s="510" t="s">
        <v>636</v>
      </c>
      <c r="F27" s="511">
        <v>60000000</v>
      </c>
      <c r="G27" s="510" t="s">
        <v>634</v>
      </c>
      <c r="H27" s="219">
        <v>1020</v>
      </c>
      <c r="I27" s="510" t="s">
        <v>637</v>
      </c>
      <c r="J27" s="341">
        <f>(F27*H27)/1000000</f>
        <v>61200</v>
      </c>
      <c r="K27" s="341">
        <f>(+J27/J29)*K29</f>
        <v>6418.6666143325938</v>
      </c>
      <c r="L27" s="513">
        <f>(+J27/J29)*L29</f>
        <v>1.501333727527079E-2</v>
      </c>
      <c r="M27" s="513">
        <f>(+J27/J29)*M29</f>
        <v>0.12979272225072813</v>
      </c>
      <c r="N27" s="1"/>
      <c r="O27" s="1"/>
      <c r="P27" s="1"/>
      <c r="Q27" s="1"/>
      <c r="R27" s="1"/>
      <c r="S27" s="1"/>
      <c r="T27" s="1"/>
      <c r="U27" s="1"/>
      <c r="V27" s="1"/>
      <c r="W27" s="1"/>
      <c r="X27" s="1"/>
      <c r="Y27" s="1"/>
      <c r="Z27" s="1"/>
    </row>
    <row r="28" spans="1:26" ht="15.75" customHeight="1">
      <c r="A28" s="1"/>
      <c r="B28" s="210"/>
      <c r="C28" s="510"/>
      <c r="D28" s="529" t="s">
        <v>379</v>
      </c>
      <c r="E28" s="510" t="s">
        <v>370</v>
      </c>
      <c r="F28" s="511">
        <v>296297</v>
      </c>
      <c r="G28" s="510" t="s">
        <v>364</v>
      </c>
      <c r="H28" s="219">
        <v>11356</v>
      </c>
      <c r="I28" s="510" t="s">
        <v>365</v>
      </c>
      <c r="J28" s="341">
        <f>J29-J27</f>
        <v>6257182</v>
      </c>
      <c r="K28" s="341">
        <f>(+J28/J29)*K29</f>
        <v>656254.33338566741</v>
      </c>
      <c r="L28" s="513">
        <f>(+J28/J29)*L29</f>
        <v>1.5349866627247293</v>
      </c>
      <c r="M28" s="513">
        <f>(+J28/J29)*M29</f>
        <v>13.270207277749272</v>
      </c>
      <c r="N28" s="1"/>
      <c r="O28" s="1"/>
      <c r="P28" s="1"/>
      <c r="Q28" s="1"/>
      <c r="R28" s="1"/>
      <c r="S28" s="1"/>
      <c r="T28" s="1"/>
      <c r="U28" s="1"/>
      <c r="V28" s="1"/>
      <c r="W28" s="1"/>
      <c r="X28" s="1"/>
      <c r="Y28" s="1"/>
      <c r="Z28" s="1"/>
    </row>
    <row r="29" spans="1:26" ht="15.75" customHeight="1">
      <c r="A29" s="1"/>
      <c r="B29" s="210"/>
      <c r="C29" s="210"/>
      <c r="D29" s="233"/>
      <c r="E29" s="210"/>
      <c r="F29" s="209"/>
      <c r="G29" s="210"/>
      <c r="H29" s="209"/>
      <c r="I29" s="210"/>
      <c r="J29" s="871">
        <v>6318382</v>
      </c>
      <c r="K29" s="865">
        <v>662673</v>
      </c>
      <c r="L29" s="872">
        <v>1.55</v>
      </c>
      <c r="M29" s="872">
        <v>13.4</v>
      </c>
      <c r="N29" s="1"/>
      <c r="O29" s="1"/>
      <c r="P29" s="1"/>
      <c r="Q29" s="1"/>
      <c r="R29" s="1"/>
      <c r="S29" s="1"/>
      <c r="T29" s="1"/>
      <c r="U29" s="1"/>
      <c r="V29" s="1"/>
      <c r="W29" s="1"/>
      <c r="X29" s="1"/>
      <c r="Y29" s="1"/>
      <c r="Z29" s="1"/>
    </row>
    <row r="30" spans="1:26" ht="15.75" customHeight="1">
      <c r="A30" s="1"/>
      <c r="B30" s="210"/>
      <c r="C30" s="210"/>
      <c r="D30" s="233"/>
      <c r="E30" s="210"/>
      <c r="F30" s="209"/>
      <c r="G30" s="210"/>
      <c r="H30" s="209"/>
      <c r="I30" s="210"/>
      <c r="J30" s="871"/>
      <c r="K30" s="855"/>
      <c r="L30" s="518"/>
      <c r="M30" s="518"/>
      <c r="N30" s="1"/>
      <c r="O30" s="1"/>
      <c r="P30" s="1"/>
      <c r="Q30" s="1"/>
      <c r="R30" s="1"/>
      <c r="S30" s="1"/>
      <c r="T30" s="1"/>
      <c r="U30" s="1"/>
      <c r="V30" s="1"/>
      <c r="W30" s="1"/>
      <c r="X30" s="1"/>
      <c r="Y30" s="1"/>
      <c r="Z30" s="1"/>
    </row>
    <row r="31" spans="1:26" ht="15.75" customHeight="1">
      <c r="A31" s="1"/>
      <c r="B31" s="210"/>
      <c r="C31" s="210" t="s">
        <v>432</v>
      </c>
      <c r="D31" s="233" t="s">
        <v>433</v>
      </c>
      <c r="E31" s="210" t="s">
        <v>430</v>
      </c>
      <c r="F31" s="515">
        <v>121000</v>
      </c>
      <c r="G31" s="210" t="s">
        <v>425</v>
      </c>
      <c r="H31" s="209">
        <v>139</v>
      </c>
      <c r="I31" s="210" t="s">
        <v>431</v>
      </c>
      <c r="J31" s="871">
        <f>(F31*H31)/1000</f>
        <v>16819</v>
      </c>
      <c r="K31" s="855">
        <v>1320</v>
      </c>
      <c r="L31" s="546">
        <v>1.2999999999999999E-2</v>
      </c>
      <c r="M31" s="518">
        <v>1.6E-2</v>
      </c>
      <c r="N31" s="1"/>
      <c r="O31" s="1"/>
      <c r="P31" s="1"/>
      <c r="Q31" s="1"/>
      <c r="R31" s="1"/>
      <c r="S31" s="1"/>
      <c r="T31" s="1"/>
      <c r="U31" s="1"/>
      <c r="V31" s="1"/>
      <c r="W31" s="1"/>
      <c r="X31" s="1"/>
      <c r="Y31" s="1"/>
      <c r="Z31" s="1"/>
    </row>
    <row r="32" spans="1:26" ht="15.75" customHeight="1">
      <c r="A32" s="1"/>
      <c r="B32" s="210"/>
      <c r="C32" s="210"/>
      <c r="D32" s="233"/>
      <c r="E32" s="210"/>
      <c r="F32" s="209"/>
      <c r="G32" s="210"/>
      <c r="H32" s="209"/>
      <c r="I32" s="210"/>
      <c r="J32" s="873"/>
      <c r="K32" s="515"/>
      <c r="L32" s="548"/>
      <c r="M32" s="535"/>
      <c r="N32" s="1"/>
      <c r="O32" s="1"/>
      <c r="P32" s="1"/>
      <c r="Q32" s="1"/>
      <c r="R32" s="1"/>
      <c r="S32" s="1"/>
      <c r="T32" s="1"/>
      <c r="U32" s="1"/>
      <c r="V32" s="1"/>
      <c r="W32" s="1"/>
      <c r="X32" s="1"/>
      <c r="Y32" s="1"/>
      <c r="Z32" s="1"/>
    </row>
    <row r="33" spans="1:26" ht="15.75" customHeight="1">
      <c r="A33" s="1"/>
      <c r="B33" s="210"/>
      <c r="C33" s="210" t="s">
        <v>434</v>
      </c>
      <c r="D33" s="233" t="s">
        <v>435</v>
      </c>
      <c r="E33" s="210" t="s">
        <v>430</v>
      </c>
      <c r="F33" s="515">
        <v>15000</v>
      </c>
      <c r="G33" s="210" t="s">
        <v>425</v>
      </c>
      <c r="H33" s="209">
        <v>139</v>
      </c>
      <c r="I33" s="210" t="s">
        <v>431</v>
      </c>
      <c r="J33" s="871">
        <f>(F33*H33)/1000</f>
        <v>2085</v>
      </c>
      <c r="K33" s="855">
        <v>164</v>
      </c>
      <c r="L33" s="546">
        <v>2E-3</v>
      </c>
      <c r="M33" s="518">
        <v>2E-3</v>
      </c>
      <c r="N33" s="1"/>
      <c r="O33" s="1"/>
      <c r="P33" s="1"/>
      <c r="Q33" s="1"/>
      <c r="R33" s="1"/>
      <c r="S33" s="1"/>
      <c r="T33" s="1"/>
      <c r="U33" s="1"/>
      <c r="V33" s="1"/>
      <c r="W33" s="1"/>
      <c r="X33" s="1"/>
      <c r="Y33" s="1"/>
      <c r="Z33" s="1"/>
    </row>
    <row r="34" spans="1:26" ht="15.75" customHeight="1">
      <c r="A34" s="1"/>
      <c r="B34" s="210"/>
      <c r="C34" s="210"/>
      <c r="D34" s="233"/>
      <c r="E34" s="210"/>
      <c r="F34" s="515"/>
      <c r="G34" s="210"/>
      <c r="H34" s="209"/>
      <c r="I34" s="210"/>
      <c r="J34" s="873"/>
      <c r="K34" s="515"/>
      <c r="L34" s="548"/>
      <c r="M34" s="535"/>
      <c r="N34" s="1"/>
      <c r="O34" s="1"/>
      <c r="P34" s="1"/>
      <c r="Q34" s="1"/>
      <c r="R34" s="1"/>
      <c r="S34" s="1"/>
      <c r="T34" s="1"/>
      <c r="U34" s="1"/>
      <c r="V34" s="1"/>
      <c r="W34" s="1"/>
      <c r="X34" s="1"/>
      <c r="Y34" s="1"/>
      <c r="Z34" s="1"/>
    </row>
    <row r="35" spans="1:26" ht="15.75" customHeight="1">
      <c r="A35" s="1"/>
      <c r="B35" s="224"/>
      <c r="C35" s="224" t="s">
        <v>436</v>
      </c>
      <c r="D35" s="540" t="s">
        <v>437</v>
      </c>
      <c r="E35" s="224" t="s">
        <v>430</v>
      </c>
      <c r="F35" s="549">
        <v>89000</v>
      </c>
      <c r="G35" s="224" t="s">
        <v>425</v>
      </c>
      <c r="H35" s="348">
        <v>139</v>
      </c>
      <c r="I35" s="224" t="s">
        <v>431</v>
      </c>
      <c r="J35" s="874">
        <f>(F35*H35)/1000</f>
        <v>12371</v>
      </c>
      <c r="K35" s="875">
        <v>968</v>
      </c>
      <c r="L35" s="551">
        <v>0.01</v>
      </c>
      <c r="M35" s="876">
        <v>1.2E-2</v>
      </c>
      <c r="N35" s="1"/>
      <c r="O35" s="1"/>
      <c r="P35" s="1"/>
      <c r="Q35" s="1"/>
      <c r="R35" s="1"/>
      <c r="S35" s="1"/>
      <c r="T35" s="1"/>
      <c r="U35" s="1"/>
      <c r="V35" s="1"/>
      <c r="W35" s="1"/>
      <c r="X35" s="1"/>
      <c r="Y35" s="1"/>
      <c r="Z35" s="1"/>
    </row>
    <row r="36" spans="1:26" ht="15.75" customHeight="1">
      <c r="A36" s="1"/>
      <c r="B36" s="239"/>
      <c r="C36" s="239"/>
      <c r="D36" s="239"/>
      <c r="E36" s="239"/>
      <c r="F36" s="859"/>
      <c r="G36" s="239"/>
      <c r="H36" s="859"/>
      <c r="I36" s="239"/>
      <c r="J36" s="859"/>
      <c r="K36" s="860"/>
      <c r="L36" s="861"/>
      <c r="M36" s="861"/>
      <c r="N36" s="1"/>
      <c r="O36" s="1"/>
      <c r="P36" s="1"/>
      <c r="Q36" s="1"/>
      <c r="R36" s="1"/>
      <c r="S36" s="1"/>
      <c r="T36" s="1"/>
      <c r="U36" s="1"/>
      <c r="V36" s="1"/>
      <c r="W36" s="1"/>
      <c r="X36" s="1"/>
      <c r="Y36" s="1"/>
      <c r="Z36" s="1"/>
    </row>
    <row r="37" spans="1:26" ht="15.75" customHeight="1">
      <c r="A37" s="1"/>
      <c r="B37" s="204" t="s">
        <v>380</v>
      </c>
      <c r="C37" s="205" t="s">
        <v>381</v>
      </c>
      <c r="D37" s="204"/>
      <c r="E37" s="204"/>
      <c r="F37" s="506"/>
      <c r="G37" s="204"/>
      <c r="H37" s="506"/>
      <c r="I37" s="204"/>
      <c r="J37" s="635"/>
      <c r="K37" s="581"/>
      <c r="L37" s="527"/>
      <c r="M37" s="527"/>
      <c r="N37" s="1"/>
      <c r="O37" s="1"/>
      <c r="P37" s="1"/>
      <c r="Q37" s="1"/>
      <c r="R37" s="1"/>
      <c r="S37" s="1"/>
      <c r="T37" s="1"/>
      <c r="U37" s="1"/>
      <c r="V37" s="1"/>
      <c r="W37" s="1"/>
      <c r="X37" s="1"/>
      <c r="Y37" s="1"/>
      <c r="Z37" s="1"/>
    </row>
    <row r="38" spans="1:26" ht="15.75" customHeight="1">
      <c r="A38" s="1"/>
      <c r="B38" s="210"/>
      <c r="C38" s="210"/>
      <c r="D38" s="210"/>
      <c r="E38" s="210"/>
      <c r="F38" s="209"/>
      <c r="G38" s="210"/>
      <c r="H38" s="209"/>
      <c r="I38" s="210"/>
      <c r="J38" s="873"/>
      <c r="K38" s="515"/>
      <c r="L38" s="535"/>
      <c r="M38" s="535"/>
      <c r="N38" s="1"/>
      <c r="O38" s="1"/>
      <c r="P38" s="1"/>
      <c r="Q38" s="1"/>
      <c r="R38" s="1"/>
      <c r="S38" s="1"/>
      <c r="T38" s="1"/>
      <c r="U38" s="1"/>
      <c r="V38" s="1"/>
      <c r="W38" s="1"/>
      <c r="X38" s="1"/>
      <c r="Y38" s="1"/>
      <c r="Z38" s="1"/>
    </row>
    <row r="39" spans="1:26" ht="15.75" customHeight="1">
      <c r="A39" s="1"/>
      <c r="B39" s="210"/>
      <c r="C39" s="510" t="s">
        <v>382</v>
      </c>
      <c r="D39" s="529" t="s">
        <v>369</v>
      </c>
      <c r="E39" s="510" t="s">
        <v>293</v>
      </c>
      <c r="F39" s="511">
        <v>575093</v>
      </c>
      <c r="G39" s="510" t="s">
        <v>364</v>
      </c>
      <c r="H39" s="219">
        <v>12971</v>
      </c>
      <c r="I39" s="510" t="s">
        <v>383</v>
      </c>
      <c r="J39" s="341">
        <f>(F39*H39*2000)/1000000</f>
        <v>14919062.606000001</v>
      </c>
      <c r="K39" s="517">
        <f t="shared" ref="K39:K41" si="8">(J39/(J$39+J$40+J$41))*K$42</f>
        <v>1609435.734807441</v>
      </c>
      <c r="L39" s="517">
        <f t="shared" ref="L39:L41" si="9">(J39/(J$39+J$40+J$41))*L$42</f>
        <v>11.762627550617388</v>
      </c>
      <c r="M39" s="537">
        <f t="shared" ref="M39:M41" si="10">(J39/(J$39+J$40+J$41))*M$42</f>
        <v>9.4140658576971514</v>
      </c>
      <c r="N39" s="1"/>
      <c r="O39" s="1"/>
      <c r="P39" s="1"/>
      <c r="Q39" s="1"/>
      <c r="R39" s="1"/>
      <c r="S39" s="1"/>
      <c r="T39" s="1"/>
      <c r="U39" s="1"/>
      <c r="V39" s="1"/>
      <c r="W39" s="1"/>
      <c r="X39" s="1"/>
      <c r="Y39" s="1"/>
      <c r="Z39" s="1"/>
    </row>
    <row r="40" spans="1:26" ht="15.75" customHeight="1">
      <c r="A40" s="1"/>
      <c r="B40" s="210"/>
      <c r="C40" s="510"/>
      <c r="D40" s="510"/>
      <c r="E40" s="510" t="s">
        <v>438</v>
      </c>
      <c r="F40" s="511">
        <v>757726</v>
      </c>
      <c r="G40" s="510" t="s">
        <v>425</v>
      </c>
      <c r="H40" s="219">
        <v>137572</v>
      </c>
      <c r="I40" s="510" t="s">
        <v>426</v>
      </c>
      <c r="J40" s="341">
        <f>(F40*H40)/1000000</f>
        <v>104241.881272</v>
      </c>
      <c r="K40" s="517">
        <f t="shared" si="8"/>
        <v>11245.385398090562</v>
      </c>
      <c r="L40" s="517">
        <f t="shared" si="9"/>
        <v>8.2187363707763361E-2</v>
      </c>
      <c r="M40" s="537">
        <f t="shared" si="10"/>
        <v>6.5777586792228476E-2</v>
      </c>
      <c r="N40" s="1"/>
      <c r="O40" s="1"/>
      <c r="P40" s="1"/>
      <c r="Q40" s="1"/>
      <c r="R40" s="1"/>
      <c r="S40" s="1"/>
      <c r="T40" s="1"/>
      <c r="U40" s="1"/>
      <c r="V40" s="1"/>
      <c r="W40" s="1"/>
      <c r="X40" s="1"/>
      <c r="Y40" s="1"/>
      <c r="Z40" s="1"/>
    </row>
    <row r="41" spans="1:26" ht="15.75" customHeight="1">
      <c r="A41" s="1"/>
      <c r="B41" s="210"/>
      <c r="C41" s="510"/>
      <c r="D41" s="510"/>
      <c r="E41" s="510" t="s">
        <v>310</v>
      </c>
      <c r="F41" s="511">
        <v>30893</v>
      </c>
      <c r="G41" s="510" t="s">
        <v>634</v>
      </c>
      <c r="H41" s="219">
        <v>1034</v>
      </c>
      <c r="I41" s="510" t="s">
        <v>637</v>
      </c>
      <c r="J41" s="341">
        <f>(F41*H41)/1000</f>
        <v>31943.362000000001</v>
      </c>
      <c r="K41" s="517">
        <f t="shared" si="8"/>
        <v>3445.9797944687357</v>
      </c>
      <c r="L41" s="517">
        <f t="shared" si="9"/>
        <v>2.5185085674848902E-2</v>
      </c>
      <c r="M41" s="537">
        <f t="shared" si="10"/>
        <v>2.0156555510620434E-2</v>
      </c>
      <c r="N41" s="1"/>
      <c r="O41" s="1"/>
      <c r="P41" s="1"/>
      <c r="Q41" s="1"/>
      <c r="R41" s="1"/>
      <c r="S41" s="1"/>
      <c r="T41" s="1"/>
      <c r="U41" s="1"/>
      <c r="V41" s="1"/>
      <c r="W41" s="1"/>
      <c r="X41" s="1"/>
      <c r="Y41" s="1"/>
      <c r="Z41" s="1"/>
    </row>
    <row r="42" spans="1:26" ht="15.75" customHeight="1">
      <c r="A42" s="1"/>
      <c r="B42" s="210"/>
      <c r="C42" s="210"/>
      <c r="D42" s="210"/>
      <c r="E42" s="210"/>
      <c r="F42" s="209"/>
      <c r="G42" s="210"/>
      <c r="H42" s="209"/>
      <c r="I42" s="210"/>
      <c r="J42" s="871">
        <v>15831379</v>
      </c>
      <c r="K42" s="865">
        <v>1624127.1</v>
      </c>
      <c r="L42" s="872">
        <v>11.87</v>
      </c>
      <c r="M42" s="872">
        <v>9.5</v>
      </c>
      <c r="N42" s="1"/>
      <c r="O42" s="1"/>
      <c r="P42" s="1"/>
      <c r="Q42" s="1"/>
      <c r="R42" s="1"/>
      <c r="S42" s="1"/>
      <c r="T42" s="1"/>
      <c r="U42" s="1"/>
      <c r="V42" s="1"/>
      <c r="W42" s="1"/>
      <c r="X42" s="1"/>
      <c r="Y42" s="1"/>
      <c r="Z42" s="1"/>
    </row>
    <row r="43" spans="1:26" ht="15.75" customHeight="1">
      <c r="A43" s="1"/>
      <c r="B43" s="210"/>
      <c r="C43" s="510" t="s">
        <v>384</v>
      </c>
      <c r="D43" s="529" t="s">
        <v>373</v>
      </c>
      <c r="E43" s="510" t="s">
        <v>293</v>
      </c>
      <c r="F43" s="511">
        <v>781584</v>
      </c>
      <c r="G43" s="510" t="s">
        <v>364</v>
      </c>
      <c r="H43" s="219">
        <v>12976</v>
      </c>
      <c r="I43" s="510" t="s">
        <v>383</v>
      </c>
      <c r="J43" s="341">
        <f>(F43*H43*2000)/1000000</f>
        <v>20283667.967999998</v>
      </c>
      <c r="K43" s="517">
        <f t="shared" ref="K43:K45" si="11">(J43/(J$43+J$44+J$45))*K$46</f>
        <v>2177032.1726198266</v>
      </c>
      <c r="L43" s="537">
        <f t="shared" ref="L43:L45" si="12">(J43/(J$43+J$44+J$45))*L$46</f>
        <v>15.912165354062218</v>
      </c>
      <c r="M43" s="537">
        <f t="shared" ref="M43:M45" si="13">(J43/(J$43+J$44+J$45))*M$46</f>
        <v>12.729732283249774</v>
      </c>
      <c r="N43" s="1"/>
      <c r="O43" s="1"/>
      <c r="P43" s="1"/>
      <c r="Q43" s="1"/>
      <c r="R43" s="1"/>
      <c r="S43" s="1"/>
      <c r="T43" s="1"/>
      <c r="U43" s="1"/>
      <c r="V43" s="1"/>
      <c r="W43" s="1"/>
      <c r="X43" s="1"/>
      <c r="Y43" s="1"/>
      <c r="Z43" s="1"/>
    </row>
    <row r="44" spans="1:26" ht="15.75" customHeight="1">
      <c r="A44" s="1"/>
      <c r="B44" s="210"/>
      <c r="C44" s="510"/>
      <c r="D44" s="529"/>
      <c r="E44" s="510" t="s">
        <v>438</v>
      </c>
      <c r="F44" s="511">
        <v>47448</v>
      </c>
      <c r="G44" s="510" t="s">
        <v>425</v>
      </c>
      <c r="H44" s="219">
        <v>137658</v>
      </c>
      <c r="I44" s="510" t="s">
        <v>426</v>
      </c>
      <c r="J44" s="341">
        <f>(F44*H44)/1000000</f>
        <v>6531.5967840000003</v>
      </c>
      <c r="K44" s="517">
        <f t="shared" si="11"/>
        <v>701.03180350719674</v>
      </c>
      <c r="L44" s="537">
        <f t="shared" si="12"/>
        <v>5.1239178346359441E-3</v>
      </c>
      <c r="M44" s="537">
        <f t="shared" si="13"/>
        <v>4.0991342677087553E-3</v>
      </c>
      <c r="N44" s="1"/>
      <c r="O44" s="1"/>
      <c r="P44" s="1"/>
      <c r="Q44" s="1"/>
      <c r="R44" s="1"/>
      <c r="S44" s="1"/>
      <c r="T44" s="1"/>
      <c r="U44" s="1"/>
      <c r="V44" s="1"/>
      <c r="W44" s="1"/>
      <c r="X44" s="1"/>
      <c r="Y44" s="1"/>
      <c r="Z44" s="1"/>
    </row>
    <row r="45" spans="1:26" ht="15.75" customHeight="1">
      <c r="A45" s="1"/>
      <c r="B45" s="210"/>
      <c r="C45" s="510"/>
      <c r="D45" s="529"/>
      <c r="E45" s="510" t="s">
        <v>310</v>
      </c>
      <c r="F45" s="511">
        <v>163134</v>
      </c>
      <c r="G45" s="510" t="s">
        <v>634</v>
      </c>
      <c r="H45" s="219">
        <v>1037</v>
      </c>
      <c r="I45" s="510" t="s">
        <v>637</v>
      </c>
      <c r="J45" s="341">
        <f>(F45*H45)/1000</f>
        <v>169169.95800000001</v>
      </c>
      <c r="K45" s="517">
        <f t="shared" si="11"/>
        <v>18156.895576666189</v>
      </c>
      <c r="L45" s="537">
        <f t="shared" si="12"/>
        <v>0.13271072810314702</v>
      </c>
      <c r="M45" s="537">
        <f t="shared" si="13"/>
        <v>0.10616858248251762</v>
      </c>
      <c r="N45" s="1"/>
      <c r="O45" s="1"/>
      <c r="P45" s="1"/>
      <c r="Q45" s="1"/>
      <c r="R45" s="1"/>
      <c r="S45" s="1"/>
      <c r="T45" s="1"/>
      <c r="U45" s="1"/>
      <c r="V45" s="1"/>
      <c r="W45" s="1"/>
      <c r="X45" s="1"/>
      <c r="Y45" s="1"/>
      <c r="Z45" s="1"/>
    </row>
    <row r="46" spans="1:26" ht="15.75" customHeight="1">
      <c r="A46" s="1"/>
      <c r="B46" s="210"/>
      <c r="C46" s="210"/>
      <c r="D46" s="233"/>
      <c r="E46" s="210"/>
      <c r="F46" s="209"/>
      <c r="G46" s="210"/>
      <c r="H46" s="209"/>
      <c r="I46" s="210"/>
      <c r="J46" s="871">
        <v>21404540</v>
      </c>
      <c r="K46" s="865">
        <v>2195890.1</v>
      </c>
      <c r="L46" s="872">
        <v>16.05</v>
      </c>
      <c r="M46" s="872">
        <v>12.84</v>
      </c>
      <c r="N46" s="1"/>
      <c r="O46" s="1"/>
      <c r="P46" s="1"/>
      <c r="Q46" s="1"/>
      <c r="R46" s="1"/>
      <c r="S46" s="1"/>
      <c r="T46" s="1"/>
      <c r="U46" s="1"/>
      <c r="V46" s="1"/>
      <c r="W46" s="1"/>
      <c r="X46" s="1"/>
      <c r="Y46" s="1"/>
      <c r="Z46" s="1"/>
    </row>
    <row r="47" spans="1:26" ht="15.75" customHeight="1">
      <c r="A47" s="1"/>
      <c r="B47" s="210"/>
      <c r="C47" s="210"/>
      <c r="D47" s="233"/>
      <c r="E47" s="210"/>
      <c r="F47" s="209"/>
      <c r="G47" s="210"/>
      <c r="H47" s="209"/>
      <c r="I47" s="210"/>
      <c r="J47" s="873"/>
      <c r="K47" s="515"/>
      <c r="L47" s="535"/>
      <c r="M47" s="535"/>
      <c r="N47" s="1"/>
      <c r="O47" s="1"/>
      <c r="P47" s="1"/>
      <c r="Q47" s="1"/>
      <c r="R47" s="1"/>
      <c r="S47" s="1"/>
      <c r="T47" s="1"/>
      <c r="U47" s="1"/>
      <c r="V47" s="1"/>
      <c r="W47" s="1"/>
      <c r="X47" s="1"/>
      <c r="Y47" s="1"/>
      <c r="Z47" s="1"/>
    </row>
    <row r="48" spans="1:26" ht="15.75" customHeight="1">
      <c r="A48" s="1"/>
      <c r="B48" s="210"/>
      <c r="C48" s="510" t="s">
        <v>612</v>
      </c>
      <c r="D48" s="529" t="s">
        <v>390</v>
      </c>
      <c r="E48" s="510" t="s">
        <v>613</v>
      </c>
      <c r="F48" s="511">
        <v>620224</v>
      </c>
      <c r="G48" s="510" t="s">
        <v>425</v>
      </c>
      <c r="H48" s="219">
        <v>151598</v>
      </c>
      <c r="I48" s="510" t="s">
        <v>426</v>
      </c>
      <c r="J48" s="341">
        <f t="shared" ref="J48:J49" si="14">(F48*H48)/1000000</f>
        <v>94024.717952000006</v>
      </c>
      <c r="K48" s="517">
        <f>(J48/(J$48+J$49+J$50))*K$51</f>
        <v>5852.9094182510353</v>
      </c>
      <c r="L48" s="537">
        <f t="shared" ref="L48:L50" si="15">(J48/(J$48+J$49+J$50))*L$51</f>
        <v>0.11209004761242979</v>
      </c>
      <c r="M48" s="537">
        <f t="shared" ref="M48:M50" si="16">(J48/(J$48+J$49+J$50))*M$51</f>
        <v>3.7591174504168524E-2</v>
      </c>
      <c r="N48" s="1"/>
      <c r="O48" s="1"/>
      <c r="P48" s="1"/>
      <c r="Q48" s="1"/>
      <c r="R48" s="1"/>
      <c r="S48" s="1"/>
      <c r="T48" s="1"/>
      <c r="U48" s="1"/>
      <c r="V48" s="1"/>
      <c r="W48" s="1"/>
      <c r="X48" s="1"/>
      <c r="Y48" s="1"/>
      <c r="Z48" s="1"/>
    </row>
    <row r="49" spans="1:26" ht="15.75" customHeight="1">
      <c r="A49" s="1"/>
      <c r="B49" s="210"/>
      <c r="C49" s="510"/>
      <c r="D49" s="529"/>
      <c r="E49" s="510" t="s">
        <v>438</v>
      </c>
      <c r="F49" s="219">
        <v>0</v>
      </c>
      <c r="G49" s="510" t="s">
        <v>425</v>
      </c>
      <c r="H49" s="219">
        <v>132252</v>
      </c>
      <c r="I49" s="510" t="s">
        <v>426</v>
      </c>
      <c r="J49" s="341">
        <f t="shared" si="14"/>
        <v>0</v>
      </c>
      <c r="K49" s="517" t="s">
        <v>732</v>
      </c>
      <c r="L49" s="537">
        <f t="shared" si="15"/>
        <v>0</v>
      </c>
      <c r="M49" s="537">
        <f t="shared" si="16"/>
        <v>0</v>
      </c>
      <c r="N49" s="1"/>
      <c r="O49" s="1"/>
      <c r="P49" s="1"/>
      <c r="Q49" s="1"/>
      <c r="R49" s="1"/>
      <c r="S49" s="1"/>
      <c r="T49" s="1"/>
      <c r="U49" s="1"/>
      <c r="V49" s="1"/>
      <c r="W49" s="1"/>
      <c r="X49" s="1"/>
      <c r="Y49" s="1"/>
      <c r="Z49" s="1"/>
    </row>
    <row r="50" spans="1:26" ht="15.75" customHeight="1">
      <c r="A50" s="1"/>
      <c r="B50" s="210"/>
      <c r="C50" s="510"/>
      <c r="D50" s="529"/>
      <c r="E50" s="510" t="s">
        <v>310</v>
      </c>
      <c r="F50" s="511">
        <v>3911764</v>
      </c>
      <c r="G50" s="510" t="s">
        <v>634</v>
      </c>
      <c r="H50" s="219">
        <v>1031</v>
      </c>
      <c r="I50" s="510" t="s">
        <v>637</v>
      </c>
      <c r="J50" s="341">
        <f>(F50*H50)/1000</f>
        <v>4033028.6839999999</v>
      </c>
      <c r="K50" s="517">
        <f>(J50/(J$48+J$49+J$50))*K$51</f>
        <v>251050.49058174895</v>
      </c>
      <c r="L50" s="537">
        <f t="shared" si="15"/>
        <v>4.8079099523875701</v>
      </c>
      <c r="M50" s="537">
        <f t="shared" si="16"/>
        <v>1.6124088254958313</v>
      </c>
      <c r="N50" s="1"/>
      <c r="O50" s="1"/>
      <c r="P50" s="1"/>
      <c r="Q50" s="1"/>
      <c r="R50" s="1"/>
      <c r="S50" s="1"/>
      <c r="T50" s="1"/>
      <c r="U50" s="1"/>
      <c r="V50" s="1"/>
      <c r="W50" s="1"/>
      <c r="X50" s="1"/>
      <c r="Y50" s="1"/>
      <c r="Z50" s="1"/>
    </row>
    <row r="51" spans="1:26" ht="15.75" customHeight="1">
      <c r="A51" s="1"/>
      <c r="B51" s="210"/>
      <c r="C51" s="210"/>
      <c r="D51" s="233"/>
      <c r="E51" s="210"/>
      <c r="F51" s="209"/>
      <c r="G51" s="210"/>
      <c r="H51" s="209"/>
      <c r="I51" s="210"/>
      <c r="J51" s="871">
        <v>4294455</v>
      </c>
      <c r="K51" s="865">
        <v>256903.4</v>
      </c>
      <c r="L51" s="872">
        <v>4.92</v>
      </c>
      <c r="M51" s="872">
        <v>1.65</v>
      </c>
      <c r="N51" s="1"/>
      <c r="O51" s="1"/>
      <c r="P51" s="1"/>
      <c r="Q51" s="1"/>
      <c r="R51" s="1"/>
      <c r="S51" s="1"/>
      <c r="T51" s="1"/>
      <c r="U51" s="1"/>
      <c r="V51" s="1"/>
      <c r="W51" s="1"/>
      <c r="X51" s="1"/>
      <c r="Y51" s="1"/>
      <c r="Z51" s="1"/>
    </row>
    <row r="52" spans="1:26" ht="15.75" customHeight="1">
      <c r="A52" s="1"/>
      <c r="B52" s="210"/>
      <c r="C52" s="210"/>
      <c r="D52" s="233"/>
      <c r="E52" s="210"/>
      <c r="F52" s="209"/>
      <c r="G52" s="210"/>
      <c r="H52" s="209"/>
      <c r="I52" s="210"/>
      <c r="J52" s="873"/>
      <c r="K52" s="515"/>
      <c r="L52" s="535"/>
      <c r="M52" s="535"/>
      <c r="N52" s="1"/>
      <c r="O52" s="1"/>
      <c r="P52" s="1"/>
      <c r="Q52" s="1"/>
      <c r="R52" s="1"/>
      <c r="S52" s="1"/>
      <c r="T52" s="1"/>
      <c r="U52" s="1"/>
      <c r="V52" s="1"/>
      <c r="W52" s="1"/>
      <c r="X52" s="1"/>
      <c r="Y52" s="1"/>
      <c r="Z52" s="1"/>
    </row>
    <row r="53" spans="1:26" ht="15.75" customHeight="1">
      <c r="A53" s="1"/>
      <c r="B53" s="210"/>
      <c r="C53" s="210" t="s">
        <v>614</v>
      </c>
      <c r="D53" s="695" t="s">
        <v>615</v>
      </c>
      <c r="E53" s="210" t="s">
        <v>613</v>
      </c>
      <c r="F53" s="515">
        <v>563476</v>
      </c>
      <c r="G53" s="210" t="s">
        <v>425</v>
      </c>
      <c r="H53" s="209">
        <v>151673</v>
      </c>
      <c r="I53" s="210" t="s">
        <v>426</v>
      </c>
      <c r="J53" s="877">
        <f t="shared" ref="J53:J54" si="17">(F53*H53)/1000000</f>
        <v>85464.095348000003</v>
      </c>
      <c r="K53" s="517">
        <f t="shared" ref="K53:K55" si="18">(J53/(J$53+J$54+J$55))*K$56</f>
        <v>6041.7196432692781</v>
      </c>
      <c r="L53" s="537">
        <f t="shared" ref="L53:L55" si="19">(J53/(J$53+J$54+J$55))*L$56</f>
        <v>0.11592271821026373</v>
      </c>
      <c r="M53" s="537">
        <f t="shared" ref="M53:M55" si="20">(J53/(J$53+J$54+J$55))*M$56</f>
        <v>3.8017665649602621E-2</v>
      </c>
      <c r="N53" s="1"/>
      <c r="O53" s="1"/>
      <c r="P53" s="1"/>
      <c r="Q53" s="1"/>
      <c r="R53" s="1"/>
      <c r="S53" s="1"/>
      <c r="T53" s="1"/>
      <c r="U53" s="1"/>
      <c r="V53" s="1"/>
      <c r="W53" s="1"/>
      <c r="X53" s="1"/>
      <c r="Y53" s="1"/>
      <c r="Z53" s="1"/>
    </row>
    <row r="54" spans="1:26" ht="15.75" customHeight="1">
      <c r="A54" s="1"/>
      <c r="B54" s="210"/>
      <c r="C54" s="210"/>
      <c r="D54" s="233"/>
      <c r="E54" s="210" t="s">
        <v>438</v>
      </c>
      <c r="F54" s="209">
        <v>0</v>
      </c>
      <c r="G54" s="210" t="s">
        <v>425</v>
      </c>
      <c r="H54" s="209">
        <v>132424</v>
      </c>
      <c r="I54" s="210" t="s">
        <v>426</v>
      </c>
      <c r="J54" s="877">
        <f t="shared" si="17"/>
        <v>0</v>
      </c>
      <c r="K54" s="517">
        <f t="shared" si="18"/>
        <v>0</v>
      </c>
      <c r="L54" s="537">
        <f t="shared" si="19"/>
        <v>0</v>
      </c>
      <c r="M54" s="537">
        <f t="shared" si="20"/>
        <v>0</v>
      </c>
      <c r="N54" s="1"/>
      <c r="O54" s="1"/>
      <c r="P54" s="1"/>
      <c r="Q54" s="1"/>
      <c r="R54" s="1"/>
      <c r="S54" s="1"/>
      <c r="T54" s="1"/>
      <c r="U54" s="1"/>
      <c r="V54" s="1"/>
      <c r="W54" s="1"/>
      <c r="X54" s="1"/>
      <c r="Y54" s="1"/>
      <c r="Z54" s="1"/>
    </row>
    <row r="55" spans="1:26" ht="15.75" customHeight="1">
      <c r="A55" s="1"/>
      <c r="B55" s="210"/>
      <c r="C55" s="210"/>
      <c r="D55" s="233"/>
      <c r="E55" s="210" t="s">
        <v>310</v>
      </c>
      <c r="F55" s="515">
        <v>3907269</v>
      </c>
      <c r="G55" s="210" t="s">
        <v>634</v>
      </c>
      <c r="H55" s="209">
        <v>1031</v>
      </c>
      <c r="I55" s="210" t="s">
        <v>637</v>
      </c>
      <c r="J55" s="877">
        <f>(F55*H55)/1000</f>
        <v>4028394.3390000002</v>
      </c>
      <c r="K55" s="517">
        <f t="shared" si="18"/>
        <v>284779.58035673073</v>
      </c>
      <c r="L55" s="537">
        <f t="shared" si="19"/>
        <v>5.4640772817897361</v>
      </c>
      <c r="M55" s="537">
        <f t="shared" si="20"/>
        <v>1.7919823343503976</v>
      </c>
      <c r="N55" s="1"/>
      <c r="O55" s="1"/>
      <c r="P55" s="1"/>
      <c r="Q55" s="1"/>
      <c r="R55" s="1"/>
      <c r="S55" s="1"/>
      <c r="T55" s="1"/>
      <c r="U55" s="1"/>
      <c r="V55" s="1"/>
      <c r="W55" s="1"/>
      <c r="X55" s="1"/>
      <c r="Y55" s="1"/>
      <c r="Z55" s="1"/>
    </row>
    <row r="56" spans="1:26" ht="15.75" customHeight="1">
      <c r="A56" s="1"/>
      <c r="B56" s="210"/>
      <c r="C56" s="210"/>
      <c r="D56" s="233"/>
      <c r="E56" s="210"/>
      <c r="F56" s="209"/>
      <c r="G56" s="210"/>
      <c r="H56" s="209"/>
      <c r="I56" s="210"/>
      <c r="J56" s="871">
        <v>4867186</v>
      </c>
      <c r="K56" s="865">
        <v>290821.3</v>
      </c>
      <c r="L56" s="872">
        <v>5.58</v>
      </c>
      <c r="M56" s="872">
        <v>1.83</v>
      </c>
      <c r="N56" s="1"/>
      <c r="O56" s="1"/>
      <c r="P56" s="1"/>
      <c r="Q56" s="1"/>
      <c r="R56" s="1"/>
      <c r="S56" s="1"/>
      <c r="T56" s="1"/>
      <c r="U56" s="1"/>
      <c r="V56" s="1"/>
      <c r="W56" s="1"/>
      <c r="X56" s="1"/>
      <c r="Y56" s="1"/>
      <c r="Z56" s="1"/>
    </row>
    <row r="57" spans="1:26" ht="15.75" customHeight="1">
      <c r="A57" s="1"/>
      <c r="B57" s="210"/>
      <c r="C57" s="210"/>
      <c r="D57" s="233"/>
      <c r="E57" s="210"/>
      <c r="F57" s="209"/>
      <c r="G57" s="210"/>
      <c r="H57" s="209"/>
      <c r="I57" s="210"/>
      <c r="J57" s="871"/>
      <c r="K57" s="515"/>
      <c r="L57" s="535"/>
      <c r="M57" s="535"/>
      <c r="N57" s="1"/>
      <c r="O57" s="1"/>
      <c r="P57" s="1"/>
      <c r="Q57" s="1"/>
      <c r="R57" s="1"/>
      <c r="S57" s="1"/>
      <c r="T57" s="1"/>
      <c r="U57" s="1"/>
      <c r="V57" s="1"/>
      <c r="W57" s="1"/>
      <c r="X57" s="1"/>
      <c r="Y57" s="1"/>
      <c r="Z57" s="1"/>
    </row>
    <row r="58" spans="1:26" ht="15.75" customHeight="1">
      <c r="A58" s="1"/>
      <c r="B58" s="210"/>
      <c r="C58" s="210" t="s">
        <v>439</v>
      </c>
      <c r="D58" s="233" t="s">
        <v>440</v>
      </c>
      <c r="E58" s="210" t="s">
        <v>438</v>
      </c>
      <c r="F58" s="515">
        <v>63080</v>
      </c>
      <c r="G58" s="210" t="s">
        <v>425</v>
      </c>
      <c r="H58" s="209">
        <v>137630</v>
      </c>
      <c r="I58" s="210" t="s">
        <v>426</v>
      </c>
      <c r="J58" s="871">
        <f>(F58*H58)/1000000</f>
        <v>8681.7003999999997</v>
      </c>
      <c r="K58" s="855">
        <v>1550</v>
      </c>
      <c r="L58" s="554">
        <v>2.0000000000000001E-4</v>
      </c>
      <c r="M58" s="518">
        <v>3.5000000000000003E-2</v>
      </c>
      <c r="N58" s="1"/>
      <c r="O58" s="1"/>
      <c r="P58" s="1"/>
      <c r="Q58" s="1"/>
      <c r="R58" s="1"/>
      <c r="S58" s="1"/>
      <c r="T58" s="1"/>
      <c r="U58" s="1"/>
      <c r="V58" s="1"/>
      <c r="W58" s="1"/>
      <c r="X58" s="1"/>
      <c r="Y58" s="1"/>
      <c r="Z58" s="1"/>
    </row>
    <row r="59" spans="1:26" ht="15.75" customHeight="1">
      <c r="A59" s="1"/>
      <c r="B59" s="210"/>
      <c r="C59" s="210"/>
      <c r="D59" s="233"/>
      <c r="E59" s="210"/>
      <c r="F59" s="209"/>
      <c r="G59" s="210"/>
      <c r="H59" s="209"/>
      <c r="I59" s="210"/>
      <c r="J59" s="873"/>
      <c r="K59" s="515"/>
      <c r="L59" s="535"/>
      <c r="M59" s="535"/>
      <c r="N59" s="1"/>
      <c r="O59" s="1"/>
      <c r="P59" s="1"/>
      <c r="Q59" s="1"/>
      <c r="R59" s="1"/>
      <c r="S59" s="1"/>
      <c r="T59" s="1"/>
      <c r="U59" s="1"/>
      <c r="V59" s="1"/>
      <c r="W59" s="1"/>
      <c r="X59" s="1"/>
      <c r="Y59" s="1"/>
      <c r="Z59" s="1"/>
    </row>
    <row r="60" spans="1:26" ht="15.75" customHeight="1">
      <c r="A60" s="1"/>
      <c r="B60" s="210"/>
      <c r="C60" s="210" t="s">
        <v>441</v>
      </c>
      <c r="D60" s="695" t="s">
        <v>442</v>
      </c>
      <c r="E60" s="210" t="s">
        <v>438</v>
      </c>
      <c r="F60" s="515">
        <v>111736</v>
      </c>
      <c r="G60" s="210" t="s">
        <v>425</v>
      </c>
      <c r="H60" s="209">
        <v>137630</v>
      </c>
      <c r="I60" s="210" t="s">
        <v>426</v>
      </c>
      <c r="J60" s="871">
        <v>10527</v>
      </c>
      <c r="K60" s="515">
        <v>854</v>
      </c>
      <c r="L60" s="555">
        <v>2.9999999999999997E-4</v>
      </c>
      <c r="M60" s="535">
        <v>6.2E-2</v>
      </c>
      <c r="N60" s="1"/>
      <c r="O60" s="1"/>
      <c r="P60" s="1"/>
      <c r="Q60" s="1"/>
      <c r="R60" s="1"/>
      <c r="S60" s="1"/>
      <c r="T60" s="1"/>
      <c r="U60" s="1"/>
      <c r="V60" s="1"/>
      <c r="W60" s="1"/>
      <c r="X60" s="1"/>
      <c r="Y60" s="1"/>
      <c r="Z60" s="1"/>
    </row>
    <row r="61" spans="1:26" ht="15.75" customHeight="1">
      <c r="A61" s="1"/>
      <c r="B61" s="210"/>
      <c r="C61" s="210"/>
      <c r="D61" s="233"/>
      <c r="E61" s="210"/>
      <c r="F61" s="209"/>
      <c r="G61" s="210"/>
      <c r="H61" s="209"/>
      <c r="I61" s="210"/>
      <c r="J61" s="873"/>
      <c r="K61" s="515"/>
      <c r="L61" s="535"/>
      <c r="M61" s="535"/>
      <c r="N61" s="1"/>
      <c r="O61" s="1"/>
      <c r="P61" s="1"/>
      <c r="Q61" s="1"/>
      <c r="R61" s="1"/>
      <c r="S61" s="1"/>
      <c r="T61" s="1"/>
      <c r="U61" s="1"/>
      <c r="V61" s="1"/>
      <c r="W61" s="1"/>
      <c r="X61" s="1"/>
      <c r="Y61" s="1"/>
      <c r="Z61" s="1"/>
    </row>
    <row r="62" spans="1:26" ht="15.75" customHeight="1">
      <c r="A62" s="1"/>
      <c r="B62" s="210"/>
      <c r="C62" s="510" t="s">
        <v>443</v>
      </c>
      <c r="D62" s="529" t="s">
        <v>444</v>
      </c>
      <c r="E62" s="510" t="s">
        <v>438</v>
      </c>
      <c r="F62" s="511">
        <v>269708</v>
      </c>
      <c r="G62" s="510" t="s">
        <v>425</v>
      </c>
      <c r="H62" s="219">
        <v>139001</v>
      </c>
      <c r="I62" s="510" t="s">
        <v>426</v>
      </c>
      <c r="J62" s="341">
        <f>(F62*H62)/1000000</f>
        <v>37489.681707999996</v>
      </c>
      <c r="K62" s="517">
        <f t="shared" ref="K62:K63" si="21">(J62/(J$62+J$63))*K$64</f>
        <v>2444.017633327051</v>
      </c>
      <c r="L62" s="537">
        <f t="shared" ref="L62:L63" si="22">(J62/(J$62+J$63))*L$64</f>
        <v>1.4580915764344652E-2</v>
      </c>
      <c r="M62" s="537">
        <f t="shared" ref="M62:M63" si="23">(J62/(J$62+J$63))*M$64</f>
        <v>5.9111820666262103E-2</v>
      </c>
      <c r="N62" s="1"/>
      <c r="O62" s="1"/>
      <c r="P62" s="1"/>
      <c r="Q62" s="1"/>
      <c r="R62" s="1"/>
      <c r="S62" s="1"/>
      <c r="T62" s="1"/>
      <c r="U62" s="1"/>
      <c r="V62" s="1"/>
      <c r="W62" s="1"/>
      <c r="X62" s="1"/>
      <c r="Y62" s="1"/>
      <c r="Z62" s="1"/>
    </row>
    <row r="63" spans="1:26" ht="15.75" customHeight="1">
      <c r="A63" s="1"/>
      <c r="B63" s="210"/>
      <c r="C63" s="510"/>
      <c r="D63" s="529"/>
      <c r="E63" s="510" t="s">
        <v>310</v>
      </c>
      <c r="F63" s="511">
        <v>148038</v>
      </c>
      <c r="G63" s="510" t="s">
        <v>634</v>
      </c>
      <c r="H63" s="219">
        <v>1032</v>
      </c>
      <c r="I63" s="510" t="s">
        <v>637</v>
      </c>
      <c r="J63" s="341">
        <f>(F63*H63)/1000</f>
        <v>152775.21599999999</v>
      </c>
      <c r="K63" s="517">
        <f t="shared" si="21"/>
        <v>9959.6823666729506</v>
      </c>
      <c r="L63" s="537">
        <f t="shared" si="22"/>
        <v>5.9419084235655346E-2</v>
      </c>
      <c r="M63" s="537">
        <f t="shared" si="23"/>
        <v>0.24088817933373788</v>
      </c>
      <c r="N63" s="1"/>
      <c r="O63" s="1"/>
      <c r="P63" s="1"/>
      <c r="Q63" s="1"/>
      <c r="R63" s="1"/>
      <c r="S63" s="1"/>
      <c r="T63" s="1"/>
      <c r="U63" s="1"/>
      <c r="V63" s="1"/>
      <c r="W63" s="1"/>
      <c r="X63" s="1"/>
      <c r="Y63" s="1"/>
      <c r="Z63" s="1"/>
    </row>
    <row r="64" spans="1:26" ht="15.75" customHeight="1">
      <c r="A64" s="1"/>
      <c r="B64" s="210"/>
      <c r="C64" s="210"/>
      <c r="D64" s="233"/>
      <c r="E64" s="210"/>
      <c r="F64" s="209"/>
      <c r="G64" s="210"/>
      <c r="H64" s="209"/>
      <c r="I64" s="210"/>
      <c r="J64" s="871">
        <v>193369</v>
      </c>
      <c r="K64" s="865">
        <v>12403.7</v>
      </c>
      <c r="L64" s="872">
        <v>7.3999999999999996E-2</v>
      </c>
      <c r="M64" s="872">
        <v>0.3</v>
      </c>
      <c r="N64" s="1"/>
      <c r="O64" s="1"/>
      <c r="P64" s="1"/>
      <c r="Q64" s="1"/>
      <c r="R64" s="1"/>
      <c r="S64" s="1"/>
      <c r="T64" s="1"/>
      <c r="U64" s="1"/>
      <c r="V64" s="1"/>
      <c r="W64" s="1"/>
      <c r="X64" s="1"/>
      <c r="Y64" s="1"/>
      <c r="Z64" s="1"/>
    </row>
    <row r="65" spans="1:26" ht="15.75" customHeight="1">
      <c r="A65" s="1"/>
      <c r="B65" s="210"/>
      <c r="C65" s="510" t="s">
        <v>445</v>
      </c>
      <c r="D65" s="529" t="s">
        <v>446</v>
      </c>
      <c r="E65" s="510" t="s">
        <v>438</v>
      </c>
      <c r="F65" s="511">
        <v>66485</v>
      </c>
      <c r="G65" s="510" t="s">
        <v>425</v>
      </c>
      <c r="H65" s="219">
        <v>139001</v>
      </c>
      <c r="I65" s="510" t="s">
        <v>426</v>
      </c>
      <c r="J65" s="341">
        <f>(F65*H65)/1000000</f>
        <v>9241.4814850000002</v>
      </c>
      <c r="K65" s="517">
        <f t="shared" ref="K65:K66" si="24">(J65/(J$65+J$66))*K$67</f>
        <v>565.3152868808354</v>
      </c>
      <c r="L65" s="537">
        <f t="shared" ref="L65:L66" si="25">(J65/(J$65+J$66))*L$67</f>
        <v>3.7826957772946995E-3</v>
      </c>
      <c r="M65" s="537">
        <f t="shared" ref="M65:M66" si="26">(J65/(J$65+J$66))*M$67</f>
        <v>1.0316443028985545E-2</v>
      </c>
      <c r="N65" s="1"/>
      <c r="O65" s="1"/>
      <c r="P65" s="1"/>
      <c r="Q65" s="1"/>
      <c r="R65" s="1"/>
      <c r="S65" s="1"/>
      <c r="T65" s="1"/>
      <c r="U65" s="1"/>
      <c r="V65" s="1"/>
      <c r="W65" s="1"/>
      <c r="X65" s="1"/>
      <c r="Y65" s="1"/>
      <c r="Z65" s="1"/>
    </row>
    <row r="66" spans="1:26" ht="15.75" customHeight="1">
      <c r="A66" s="1"/>
      <c r="B66" s="210"/>
      <c r="C66" s="510"/>
      <c r="D66" s="529"/>
      <c r="E66" s="510" t="s">
        <v>310</v>
      </c>
      <c r="F66" s="511">
        <v>95208</v>
      </c>
      <c r="G66" s="510" t="s">
        <v>634</v>
      </c>
      <c r="H66" s="219">
        <v>1032</v>
      </c>
      <c r="I66" s="510" t="s">
        <v>637</v>
      </c>
      <c r="J66" s="341">
        <f>(F66*H66)/1000</f>
        <v>98254.656000000003</v>
      </c>
      <c r="K66" s="517">
        <f t="shared" si="24"/>
        <v>6010.3847131191642</v>
      </c>
      <c r="L66" s="537">
        <f t="shared" si="25"/>
        <v>4.0217304222705294E-2</v>
      </c>
      <c r="M66" s="537">
        <f t="shared" si="26"/>
        <v>0.10968355697101445</v>
      </c>
      <c r="N66" s="1"/>
      <c r="O66" s="1"/>
      <c r="P66" s="1"/>
      <c r="Q66" s="1"/>
      <c r="R66" s="1"/>
      <c r="S66" s="1"/>
      <c r="T66" s="1"/>
      <c r="U66" s="1"/>
      <c r="V66" s="1"/>
      <c r="W66" s="1"/>
      <c r="X66" s="1"/>
      <c r="Y66" s="1"/>
      <c r="Z66" s="1"/>
    </row>
    <row r="67" spans="1:26" ht="15.75" customHeight="1">
      <c r="A67" s="1"/>
      <c r="B67" s="210"/>
      <c r="C67" s="210"/>
      <c r="D67" s="233"/>
      <c r="E67" s="210"/>
      <c r="F67" s="209"/>
      <c r="G67" s="210"/>
      <c r="H67" s="209"/>
      <c r="I67" s="210"/>
      <c r="J67" s="871">
        <v>108353</v>
      </c>
      <c r="K67" s="865">
        <v>6575.7</v>
      </c>
      <c r="L67" s="872">
        <v>4.3999999999999997E-2</v>
      </c>
      <c r="M67" s="872">
        <v>0.12</v>
      </c>
      <c r="N67" s="1"/>
      <c r="O67" s="1"/>
      <c r="P67" s="1"/>
      <c r="Q67" s="1"/>
      <c r="R67" s="1"/>
      <c r="S67" s="1"/>
      <c r="T67" s="1"/>
      <c r="U67" s="1"/>
      <c r="V67" s="1"/>
      <c r="W67" s="1"/>
      <c r="X67" s="1"/>
      <c r="Y67" s="1"/>
      <c r="Z67" s="1"/>
    </row>
    <row r="68" spans="1:26" ht="15.75" customHeight="1">
      <c r="A68" s="1"/>
      <c r="B68" s="210"/>
      <c r="C68" s="510" t="s">
        <v>447</v>
      </c>
      <c r="D68" s="529" t="s">
        <v>448</v>
      </c>
      <c r="E68" s="510" t="s">
        <v>438</v>
      </c>
      <c r="F68" s="511">
        <v>145075</v>
      </c>
      <c r="G68" s="510" t="s">
        <v>425</v>
      </c>
      <c r="H68" s="219">
        <v>139001</v>
      </c>
      <c r="I68" s="510" t="s">
        <v>426</v>
      </c>
      <c r="J68" s="341">
        <f>(F68*H68)/1000000</f>
        <v>20165.570075</v>
      </c>
      <c r="K68" s="517">
        <f t="shared" ref="K68:K69" si="27">(J68/(J$68+J$69))*K$70</f>
        <v>1167.5515959444067</v>
      </c>
      <c r="L68" s="537">
        <f t="shared" ref="L68:L69" si="28">(J68/(J$68+J$69))*L$70</f>
        <v>7.3810337159427907E-3</v>
      </c>
      <c r="M68" s="537">
        <f t="shared" ref="M68:M69" si="29">(J68/(J$68+J$69))*M$70</f>
        <v>2.0666894404639813E-2</v>
      </c>
      <c r="N68" s="1"/>
      <c r="O68" s="1"/>
      <c r="P68" s="1"/>
      <c r="Q68" s="1"/>
      <c r="R68" s="1"/>
      <c r="S68" s="1"/>
      <c r="T68" s="1"/>
      <c r="U68" s="1"/>
      <c r="V68" s="1"/>
      <c r="W68" s="1"/>
      <c r="X68" s="1"/>
      <c r="Y68" s="1"/>
      <c r="Z68" s="1"/>
    </row>
    <row r="69" spans="1:26" ht="15.75" customHeight="1">
      <c r="A69" s="1"/>
      <c r="B69" s="210"/>
      <c r="C69" s="510"/>
      <c r="D69" s="529"/>
      <c r="E69" s="510" t="s">
        <v>310</v>
      </c>
      <c r="F69" s="511">
        <v>179012</v>
      </c>
      <c r="G69" s="510" t="s">
        <v>634</v>
      </c>
      <c r="H69" s="219">
        <v>1032</v>
      </c>
      <c r="I69" s="510" t="s">
        <v>637</v>
      </c>
      <c r="J69" s="341">
        <f>(F69*H69)/1000</f>
        <v>184740.38399999999</v>
      </c>
      <c r="K69" s="517">
        <f t="shared" si="27"/>
        <v>10696.148404055595</v>
      </c>
      <c r="L69" s="537">
        <f t="shared" si="28"/>
        <v>6.7618966284057211E-2</v>
      </c>
      <c r="M69" s="537">
        <f t="shared" si="29"/>
        <v>0.18933310559536018</v>
      </c>
      <c r="N69" s="1"/>
      <c r="O69" s="1"/>
      <c r="P69" s="1"/>
      <c r="Q69" s="1"/>
      <c r="R69" s="1"/>
      <c r="S69" s="1"/>
      <c r="T69" s="1"/>
      <c r="U69" s="1"/>
      <c r="V69" s="1"/>
      <c r="W69" s="1"/>
      <c r="X69" s="1"/>
      <c r="Y69" s="1"/>
      <c r="Z69" s="1"/>
    </row>
    <row r="70" spans="1:26" ht="15.75" customHeight="1">
      <c r="A70" s="1"/>
      <c r="B70" s="210"/>
      <c r="C70" s="210"/>
      <c r="D70" s="233"/>
      <c r="E70" s="210"/>
      <c r="F70" s="209"/>
      <c r="G70" s="210"/>
      <c r="H70" s="209"/>
      <c r="I70" s="210"/>
      <c r="J70" s="871">
        <v>183850</v>
      </c>
      <c r="K70" s="865">
        <v>11863.7</v>
      </c>
      <c r="L70" s="872">
        <v>7.4999999999999997E-2</v>
      </c>
      <c r="M70" s="872">
        <v>0.21</v>
      </c>
      <c r="N70" s="1"/>
      <c r="O70" s="1"/>
      <c r="P70" s="1"/>
      <c r="Q70" s="1"/>
      <c r="R70" s="1"/>
      <c r="S70" s="1"/>
      <c r="T70" s="1"/>
      <c r="U70" s="1"/>
      <c r="V70" s="1"/>
      <c r="W70" s="1"/>
      <c r="X70" s="1"/>
      <c r="Y70" s="1"/>
      <c r="Z70" s="1"/>
    </row>
    <row r="71" spans="1:26" ht="15.75" customHeight="1">
      <c r="A71" s="1"/>
      <c r="B71" s="210"/>
      <c r="C71" s="510" t="s">
        <v>449</v>
      </c>
      <c r="D71" s="529" t="s">
        <v>450</v>
      </c>
      <c r="E71" s="510" t="s">
        <v>438</v>
      </c>
      <c r="F71" s="511">
        <v>209727</v>
      </c>
      <c r="G71" s="510" t="s">
        <v>425</v>
      </c>
      <c r="H71" s="219">
        <v>139001</v>
      </c>
      <c r="I71" s="510" t="s">
        <v>426</v>
      </c>
      <c r="J71" s="341">
        <f>(F71*H71)/1000000</f>
        <v>29152.262727000001</v>
      </c>
      <c r="K71" s="517">
        <f t="shared" ref="K71:K72" si="30">(J71/(J$71+J$72))*K$73</f>
        <v>1960.3415059859005</v>
      </c>
      <c r="L71" s="537">
        <f t="shared" ref="L71:L72" si="31">(J71/(J$71+J$72))*L$73</f>
        <v>1.2381211735791457E-2</v>
      </c>
      <c r="M71" s="537">
        <f t="shared" ref="M71:M72" si="32">(J71/(J$71+J$72))*M$73</f>
        <v>3.9568821011292284E-2</v>
      </c>
      <c r="N71" s="1"/>
      <c r="O71" s="1"/>
      <c r="P71" s="1"/>
      <c r="Q71" s="1"/>
      <c r="R71" s="1"/>
      <c r="S71" s="1"/>
      <c r="T71" s="1"/>
      <c r="U71" s="1"/>
      <c r="V71" s="1"/>
      <c r="W71" s="1"/>
      <c r="X71" s="1"/>
      <c r="Y71" s="1"/>
      <c r="Z71" s="1"/>
    </row>
    <row r="72" spans="1:26" ht="15.75" customHeight="1">
      <c r="A72" s="1"/>
      <c r="B72" s="210"/>
      <c r="C72" s="510"/>
      <c r="D72" s="510"/>
      <c r="E72" s="510" t="s">
        <v>310</v>
      </c>
      <c r="F72" s="511">
        <v>193249</v>
      </c>
      <c r="G72" s="510" t="s">
        <v>634</v>
      </c>
      <c r="H72" s="219">
        <v>1031</v>
      </c>
      <c r="I72" s="510" t="s">
        <v>637</v>
      </c>
      <c r="J72" s="341">
        <f>(F72*H72)/1000</f>
        <v>199239.71900000001</v>
      </c>
      <c r="K72" s="517">
        <f t="shared" si="30"/>
        <v>13397.858494014101</v>
      </c>
      <c r="L72" s="537">
        <f t="shared" si="31"/>
        <v>8.4618788264208558E-2</v>
      </c>
      <c r="M72" s="537">
        <f t="shared" si="32"/>
        <v>0.27043117898870772</v>
      </c>
      <c r="N72" s="1"/>
      <c r="O72" s="1"/>
      <c r="P72" s="1"/>
      <c r="Q72" s="1"/>
      <c r="R72" s="1"/>
      <c r="S72" s="1"/>
      <c r="T72" s="1"/>
      <c r="U72" s="1"/>
      <c r="V72" s="1"/>
      <c r="W72" s="1"/>
      <c r="X72" s="1"/>
      <c r="Y72" s="1"/>
      <c r="Z72" s="1"/>
    </row>
    <row r="73" spans="1:26" ht="15.75" customHeight="1">
      <c r="A73" s="1"/>
      <c r="B73" s="210"/>
      <c r="C73" s="210"/>
      <c r="D73" s="233"/>
      <c r="E73" s="210"/>
      <c r="F73" s="209"/>
      <c r="G73" s="210"/>
      <c r="H73" s="209"/>
      <c r="I73" s="210"/>
      <c r="J73" s="871">
        <v>242149</v>
      </c>
      <c r="K73" s="865">
        <v>15358.2</v>
      </c>
      <c r="L73" s="872">
        <v>9.7000000000000003E-2</v>
      </c>
      <c r="M73" s="872">
        <v>0.31</v>
      </c>
      <c r="N73" s="1"/>
      <c r="O73" s="1"/>
      <c r="P73" s="1"/>
      <c r="Q73" s="1"/>
      <c r="R73" s="1"/>
      <c r="S73" s="1"/>
      <c r="T73" s="1"/>
      <c r="U73" s="1"/>
      <c r="V73" s="1"/>
      <c r="W73" s="1"/>
      <c r="X73" s="1"/>
      <c r="Y73" s="1"/>
      <c r="Z73" s="1"/>
    </row>
    <row r="74" spans="1:26" ht="15.75" customHeight="1">
      <c r="A74" s="1"/>
      <c r="B74" s="210"/>
      <c r="C74" s="210"/>
      <c r="D74" s="233"/>
      <c r="E74" s="210"/>
      <c r="F74" s="209"/>
      <c r="G74" s="210"/>
      <c r="H74" s="209"/>
      <c r="I74" s="210"/>
      <c r="J74" s="871"/>
      <c r="K74" s="515"/>
      <c r="L74" s="535"/>
      <c r="M74" s="535"/>
      <c r="N74" s="1"/>
      <c r="O74" s="1"/>
      <c r="P74" s="1"/>
      <c r="Q74" s="1"/>
      <c r="R74" s="1"/>
      <c r="S74" s="1"/>
      <c r="T74" s="1"/>
      <c r="U74" s="1"/>
      <c r="V74" s="1"/>
      <c r="W74" s="1"/>
      <c r="X74" s="1"/>
      <c r="Y74" s="1"/>
      <c r="Z74" s="1"/>
    </row>
    <row r="75" spans="1:26" ht="15.75" customHeight="1">
      <c r="A75" s="1"/>
      <c r="B75" s="210"/>
      <c r="C75" s="210" t="s">
        <v>451</v>
      </c>
      <c r="D75" s="233" t="s">
        <v>452</v>
      </c>
      <c r="E75" s="210" t="s">
        <v>438</v>
      </c>
      <c r="F75" s="515">
        <v>661277</v>
      </c>
      <c r="G75" s="210" t="s">
        <v>425</v>
      </c>
      <c r="H75" s="209">
        <v>139001</v>
      </c>
      <c r="I75" s="210" t="s">
        <v>426</v>
      </c>
      <c r="J75" s="864">
        <f t="shared" ref="J75:J77" si="33">(F75*H75)/1000000</f>
        <v>91918.164277000003</v>
      </c>
      <c r="K75" s="515">
        <v>7510</v>
      </c>
      <c r="L75" s="535">
        <v>0.24</v>
      </c>
      <c r="M75" s="535">
        <v>0.37</v>
      </c>
      <c r="N75" s="1"/>
      <c r="O75" s="1"/>
      <c r="P75" s="1"/>
      <c r="Q75" s="1"/>
      <c r="R75" s="1"/>
      <c r="S75" s="1"/>
      <c r="T75" s="1"/>
      <c r="U75" s="1"/>
      <c r="V75" s="1"/>
      <c r="W75" s="1"/>
      <c r="X75" s="1"/>
      <c r="Y75" s="1"/>
      <c r="Z75" s="1"/>
    </row>
    <row r="76" spans="1:26" ht="15.75" customHeight="1">
      <c r="A76" s="1"/>
      <c r="B76" s="210"/>
      <c r="C76" s="210" t="s">
        <v>453</v>
      </c>
      <c r="D76" s="233" t="s">
        <v>454</v>
      </c>
      <c r="E76" s="210" t="s">
        <v>438</v>
      </c>
      <c r="F76" s="515">
        <v>761546</v>
      </c>
      <c r="G76" s="210" t="s">
        <v>425</v>
      </c>
      <c r="H76" s="209">
        <v>139001</v>
      </c>
      <c r="I76" s="210" t="s">
        <v>426</v>
      </c>
      <c r="J76" s="864">
        <f t="shared" si="33"/>
        <v>105855.65554599999</v>
      </c>
      <c r="K76" s="515">
        <v>8648</v>
      </c>
      <c r="L76" s="535">
        <v>0.28000000000000003</v>
      </c>
      <c r="M76" s="535">
        <v>0.42</v>
      </c>
      <c r="N76" s="1"/>
      <c r="O76" s="1"/>
      <c r="P76" s="1"/>
      <c r="Q76" s="1"/>
      <c r="R76" s="1"/>
      <c r="S76" s="1"/>
      <c r="T76" s="1"/>
      <c r="U76" s="1"/>
      <c r="V76" s="1"/>
      <c r="W76" s="1"/>
      <c r="X76" s="1"/>
      <c r="Y76" s="1"/>
      <c r="Z76" s="1"/>
    </row>
    <row r="77" spans="1:26" ht="15.75" customHeight="1">
      <c r="A77" s="1"/>
      <c r="B77" s="210"/>
      <c r="C77" s="210" t="s">
        <v>455</v>
      </c>
      <c r="D77" s="233" t="s">
        <v>456</v>
      </c>
      <c r="E77" s="210" t="s">
        <v>438</v>
      </c>
      <c r="F77" s="515">
        <v>390</v>
      </c>
      <c r="G77" s="210" t="s">
        <v>425</v>
      </c>
      <c r="H77" s="209">
        <v>139001</v>
      </c>
      <c r="I77" s="210" t="s">
        <v>426</v>
      </c>
      <c r="J77" s="864">
        <f t="shared" si="33"/>
        <v>54.210389999999997</v>
      </c>
      <c r="K77" s="515">
        <v>4</v>
      </c>
      <c r="L77" s="556">
        <v>1.3999999999999999E-4</v>
      </c>
      <c r="M77" s="556">
        <v>2.2000000000000001E-4</v>
      </c>
      <c r="N77" s="1"/>
      <c r="O77" s="1"/>
      <c r="P77" s="1"/>
      <c r="Q77" s="1"/>
      <c r="R77" s="1"/>
      <c r="S77" s="1"/>
      <c r="T77" s="1"/>
      <c r="U77" s="1"/>
      <c r="V77" s="1"/>
      <c r="W77" s="1"/>
      <c r="X77" s="1"/>
      <c r="Y77" s="1"/>
      <c r="Z77" s="1"/>
    </row>
    <row r="78" spans="1:26" ht="15.75" customHeight="1">
      <c r="A78" s="1"/>
      <c r="B78" s="224"/>
      <c r="C78" s="224"/>
      <c r="D78" s="224"/>
      <c r="E78" s="224"/>
      <c r="F78" s="348"/>
      <c r="G78" s="224"/>
      <c r="H78" s="348"/>
      <c r="I78" s="224"/>
      <c r="J78" s="878"/>
      <c r="K78" s="549"/>
      <c r="L78" s="543"/>
      <c r="M78" s="543"/>
      <c r="N78" s="1"/>
      <c r="O78" s="1"/>
      <c r="P78" s="1"/>
      <c r="Q78" s="1"/>
      <c r="R78" s="1"/>
      <c r="S78" s="1"/>
      <c r="T78" s="1"/>
      <c r="U78" s="1"/>
      <c r="V78" s="1"/>
      <c r="W78" s="1"/>
      <c r="X78" s="1"/>
      <c r="Y78" s="1"/>
      <c r="Z78" s="1"/>
    </row>
    <row r="79" spans="1:26" ht="15.75" customHeight="1">
      <c r="A79" s="1"/>
      <c r="B79" s="239"/>
      <c r="C79" s="239"/>
      <c r="D79" s="239"/>
      <c r="E79" s="239"/>
      <c r="F79" s="859"/>
      <c r="G79" s="239"/>
      <c r="H79" s="859"/>
      <c r="I79" s="239"/>
      <c r="J79" s="859"/>
      <c r="K79" s="860"/>
      <c r="L79" s="861"/>
      <c r="M79" s="861"/>
      <c r="N79" s="1"/>
      <c r="O79" s="1"/>
      <c r="P79" s="1"/>
      <c r="Q79" s="1"/>
      <c r="R79" s="1"/>
      <c r="S79" s="1"/>
      <c r="T79" s="1"/>
      <c r="U79" s="1"/>
      <c r="V79" s="1"/>
      <c r="W79" s="1"/>
      <c r="X79" s="1"/>
      <c r="Y79" s="1"/>
      <c r="Z79" s="1"/>
    </row>
    <row r="80" spans="1:26" ht="15.75" customHeight="1">
      <c r="A80" s="1"/>
      <c r="B80" s="204" t="s">
        <v>457</v>
      </c>
      <c r="C80" s="205" t="s">
        <v>458</v>
      </c>
      <c r="D80" s="204"/>
      <c r="E80" s="204"/>
      <c r="F80" s="506"/>
      <c r="G80" s="204"/>
      <c r="H80" s="506"/>
      <c r="I80" s="204"/>
      <c r="J80" s="635"/>
      <c r="K80" s="581"/>
      <c r="L80" s="527"/>
      <c r="M80" s="527"/>
      <c r="N80" s="1"/>
      <c r="O80" s="1"/>
      <c r="P80" s="1"/>
      <c r="Q80" s="1"/>
      <c r="R80" s="1"/>
      <c r="S80" s="1"/>
      <c r="T80" s="1"/>
      <c r="U80" s="1"/>
      <c r="V80" s="1"/>
      <c r="W80" s="1"/>
      <c r="X80" s="1"/>
      <c r="Y80" s="1"/>
      <c r="Z80" s="1"/>
    </row>
    <row r="81" spans="1:26" ht="15.75" customHeight="1">
      <c r="A81" s="1"/>
      <c r="B81" s="210"/>
      <c r="C81" s="510" t="s">
        <v>459</v>
      </c>
      <c r="D81" s="510" t="s">
        <v>460</v>
      </c>
      <c r="E81" s="510" t="s">
        <v>310</v>
      </c>
      <c r="F81" s="511">
        <v>90508</v>
      </c>
      <c r="G81" s="510" t="s">
        <v>634</v>
      </c>
      <c r="H81" s="219">
        <v>1032</v>
      </c>
      <c r="I81" s="510" t="s">
        <v>635</v>
      </c>
      <c r="J81" s="341">
        <f>(F81*H81)/1000</f>
        <v>93404.255999999994</v>
      </c>
      <c r="K81" s="341">
        <f t="shared" ref="K81:K82" si="34">+J81/(J$81+J$82)*K$83</f>
        <v>5476.2034079014793</v>
      </c>
      <c r="L81" s="513">
        <f t="shared" ref="L81:L82" si="35">+J81/(J$81+J$82)*L$83</f>
        <v>9.0109554954250229E-2</v>
      </c>
      <c r="M81" s="513">
        <f t="shared" ref="M81:M82" si="36">+J81/(J$81+J$82)*M$83</f>
        <v>0.18021910990850046</v>
      </c>
      <c r="N81" s="1"/>
      <c r="O81" s="1"/>
      <c r="P81" s="1"/>
      <c r="Q81" s="1"/>
      <c r="R81" s="1"/>
      <c r="S81" s="1"/>
      <c r="T81" s="1"/>
      <c r="U81" s="1"/>
      <c r="V81" s="1"/>
      <c r="W81" s="1"/>
      <c r="X81" s="1"/>
      <c r="Y81" s="1"/>
      <c r="Z81" s="1"/>
    </row>
    <row r="82" spans="1:26" ht="15.75" customHeight="1">
      <c r="A82" s="1"/>
      <c r="B82" s="210"/>
      <c r="C82" s="510"/>
      <c r="D82" s="510"/>
      <c r="E82" s="510" t="s">
        <v>438</v>
      </c>
      <c r="F82" s="511">
        <v>148903</v>
      </c>
      <c r="G82" s="510" t="s">
        <v>425</v>
      </c>
      <c r="H82" s="219">
        <v>138464</v>
      </c>
      <c r="I82" s="510" t="s">
        <v>426</v>
      </c>
      <c r="J82" s="341">
        <f>(F82*H82)/1000000</f>
        <v>20617.704991999999</v>
      </c>
      <c r="K82" s="341">
        <f t="shared" si="34"/>
        <v>1208.7965920985203</v>
      </c>
      <c r="L82" s="513">
        <f t="shared" si="35"/>
        <v>1.9890445045749772E-2</v>
      </c>
      <c r="M82" s="513">
        <f t="shared" si="36"/>
        <v>3.9780890091499543E-2</v>
      </c>
      <c r="N82" s="1"/>
      <c r="O82" s="1"/>
      <c r="P82" s="1"/>
      <c r="Q82" s="1"/>
      <c r="R82" s="1"/>
      <c r="S82" s="1"/>
      <c r="T82" s="1"/>
      <c r="U82" s="1"/>
      <c r="V82" s="1"/>
      <c r="W82" s="1"/>
      <c r="X82" s="1"/>
      <c r="Y82" s="1"/>
      <c r="Z82" s="1"/>
    </row>
    <row r="83" spans="1:26" ht="15.75" customHeight="1">
      <c r="A83" s="1"/>
      <c r="B83" s="879"/>
      <c r="C83" s="880"/>
      <c r="D83" s="880"/>
      <c r="E83" s="880"/>
      <c r="F83" s="881"/>
      <c r="G83" s="880"/>
      <c r="H83" s="882"/>
      <c r="I83" s="880"/>
      <c r="J83" s="874">
        <f>J81+J82</f>
        <v>114021.96099199999</v>
      </c>
      <c r="K83" s="868">
        <v>6685</v>
      </c>
      <c r="L83" s="869">
        <v>0.11</v>
      </c>
      <c r="M83" s="869">
        <v>0.22</v>
      </c>
      <c r="N83" s="1"/>
      <c r="O83" s="1"/>
      <c r="P83" s="1"/>
      <c r="Q83" s="1"/>
      <c r="R83" s="1"/>
      <c r="S83" s="1"/>
      <c r="T83" s="1"/>
      <c r="U83" s="1"/>
      <c r="V83" s="1"/>
      <c r="W83" s="1"/>
      <c r="X83" s="1"/>
      <c r="Y83" s="1"/>
      <c r="Z83" s="1"/>
    </row>
    <row r="84" spans="1:26" ht="15.75" customHeight="1">
      <c r="A84" s="1"/>
      <c r="B84" s="253"/>
      <c r="C84" s="253"/>
      <c r="D84" s="253"/>
      <c r="E84" s="253"/>
      <c r="F84" s="252"/>
      <c r="G84" s="253"/>
      <c r="H84" s="252"/>
      <c r="I84" s="253"/>
      <c r="J84" s="883"/>
      <c r="K84" s="883"/>
      <c r="L84" s="883"/>
      <c r="M84" s="884"/>
      <c r="N84" s="1"/>
      <c r="O84" s="1"/>
      <c r="P84" s="1"/>
      <c r="Q84" s="1"/>
      <c r="R84" s="1"/>
      <c r="S84" s="1"/>
      <c r="T84" s="1"/>
      <c r="U84" s="1"/>
      <c r="V84" s="1"/>
      <c r="W84" s="1"/>
      <c r="X84" s="1"/>
      <c r="Y84" s="1"/>
      <c r="Z84" s="1"/>
    </row>
    <row r="85" spans="1:26" ht="15.75" customHeight="1">
      <c r="A85" s="1"/>
      <c r="B85" s="204" t="s">
        <v>385</v>
      </c>
      <c r="C85" s="205" t="s">
        <v>386</v>
      </c>
      <c r="D85" s="204"/>
      <c r="E85" s="204"/>
      <c r="F85" s="506"/>
      <c r="G85" s="204"/>
      <c r="H85" s="506"/>
      <c r="I85" s="204"/>
      <c r="J85" s="635"/>
      <c r="K85" s="581"/>
      <c r="L85" s="527"/>
      <c r="M85" s="527"/>
      <c r="N85" s="1"/>
      <c r="O85" s="1"/>
      <c r="P85" s="1"/>
      <c r="Q85" s="1"/>
      <c r="R85" s="1"/>
      <c r="S85" s="1"/>
      <c r="T85" s="1"/>
      <c r="U85" s="1"/>
      <c r="V85" s="1"/>
      <c r="W85" s="1"/>
      <c r="X85" s="1"/>
      <c r="Y85" s="1"/>
      <c r="Z85" s="1"/>
    </row>
    <row r="86" spans="1:26" ht="15.75" customHeight="1">
      <c r="A86" s="1"/>
      <c r="B86" s="210"/>
      <c r="C86" s="210" t="s">
        <v>638</v>
      </c>
      <c r="D86" s="210" t="s">
        <v>369</v>
      </c>
      <c r="E86" s="210" t="s">
        <v>310</v>
      </c>
      <c r="F86" s="515">
        <v>443</v>
      </c>
      <c r="G86" s="210" t="s">
        <v>733</v>
      </c>
      <c r="H86" s="209">
        <v>1027</v>
      </c>
      <c r="I86" s="210" t="s">
        <v>639</v>
      </c>
      <c r="J86" s="885">
        <f>(F86*H86)/1000</f>
        <v>454.96100000000001</v>
      </c>
      <c r="K86" s="515"/>
      <c r="L86" s="535"/>
      <c r="M86" s="535"/>
      <c r="N86" s="1"/>
      <c r="O86" s="1"/>
      <c r="P86" s="1"/>
      <c r="Q86" s="1"/>
      <c r="R86" s="1"/>
      <c r="S86" s="1"/>
      <c r="T86" s="1"/>
      <c r="U86" s="1"/>
      <c r="V86" s="1"/>
      <c r="W86" s="1"/>
      <c r="X86" s="1"/>
      <c r="Y86" s="1"/>
      <c r="Z86" s="1"/>
    </row>
    <row r="87" spans="1:26" ht="15.75" customHeight="1">
      <c r="A87" s="1"/>
      <c r="B87" s="210"/>
      <c r="C87" s="210"/>
      <c r="D87" s="210"/>
      <c r="E87" s="210"/>
      <c r="F87" s="209"/>
      <c r="G87" s="210"/>
      <c r="H87" s="209"/>
      <c r="I87" s="210"/>
      <c r="J87" s="877">
        <v>503736</v>
      </c>
      <c r="K87" s="855">
        <v>29944</v>
      </c>
      <c r="L87" s="518">
        <v>0.5</v>
      </c>
      <c r="M87" s="518">
        <v>0.49</v>
      </c>
      <c r="N87" s="1"/>
      <c r="O87" s="1"/>
      <c r="P87" s="1"/>
      <c r="Q87" s="1"/>
      <c r="R87" s="1"/>
      <c r="S87" s="1"/>
      <c r="T87" s="1"/>
      <c r="U87" s="1"/>
      <c r="V87" s="1"/>
      <c r="W87" s="1"/>
      <c r="X87" s="1"/>
      <c r="Y87" s="1"/>
      <c r="Z87" s="1"/>
    </row>
    <row r="88" spans="1:26" ht="15.75" customHeight="1">
      <c r="A88" s="1"/>
      <c r="B88" s="210"/>
      <c r="C88" s="510" t="s">
        <v>387</v>
      </c>
      <c r="D88" s="510" t="s">
        <v>373</v>
      </c>
      <c r="E88" s="510" t="s">
        <v>636</v>
      </c>
      <c r="F88" s="511">
        <v>43</v>
      </c>
      <c r="G88" s="510" t="s">
        <v>734</v>
      </c>
      <c r="H88" s="219">
        <v>1027</v>
      </c>
      <c r="I88" s="510" t="s">
        <v>639</v>
      </c>
      <c r="J88" s="341">
        <f t="shared" ref="J88:J89" si="37">(F88*H88)</f>
        <v>44161</v>
      </c>
      <c r="K88" s="517">
        <f t="shared" ref="K88:K89" si="38">(J88/(J$88+J$89))*K$90</f>
        <v>4841.7340263570513</v>
      </c>
      <c r="L88" s="886">
        <f t="shared" ref="L88:L89" si="39">(J88/(J$88+J$89))*L$90</f>
        <v>3.6544284840361319E-2</v>
      </c>
      <c r="M88" s="887">
        <f t="shared" ref="M88:M89" si="40">(J88/(J$88+J$89))*M$90</f>
        <v>2.7773656478674601E-2</v>
      </c>
      <c r="N88" s="1"/>
      <c r="O88" s="1"/>
      <c r="P88" s="1"/>
      <c r="Q88" s="1"/>
      <c r="R88" s="1"/>
      <c r="S88" s="1"/>
      <c r="T88" s="1"/>
      <c r="U88" s="1"/>
      <c r="V88" s="1"/>
      <c r="W88" s="1"/>
      <c r="X88" s="1"/>
      <c r="Y88" s="1"/>
      <c r="Z88" s="1"/>
    </row>
    <row r="89" spans="1:26" ht="15.75" customHeight="1">
      <c r="A89" s="1"/>
      <c r="B89" s="210"/>
      <c r="C89" s="510"/>
      <c r="D89" s="510" t="s">
        <v>373</v>
      </c>
      <c r="E89" s="510" t="s">
        <v>370</v>
      </c>
      <c r="F89" s="511">
        <v>199564</v>
      </c>
      <c r="G89" s="510" t="s">
        <v>364</v>
      </c>
      <c r="H89" s="219">
        <v>24</v>
      </c>
      <c r="I89" s="510" t="s">
        <v>388</v>
      </c>
      <c r="J89" s="341">
        <f t="shared" si="37"/>
        <v>4789536</v>
      </c>
      <c r="K89" s="517">
        <f t="shared" si="38"/>
        <v>525116.26597364293</v>
      </c>
      <c r="L89" s="886">
        <f t="shared" si="39"/>
        <v>3.9634557151596388</v>
      </c>
      <c r="M89" s="887">
        <f t="shared" si="40"/>
        <v>3.0122263435213257</v>
      </c>
      <c r="N89" s="1"/>
      <c r="O89" s="1"/>
      <c r="P89" s="1"/>
      <c r="Q89" s="1"/>
      <c r="R89" s="1"/>
      <c r="S89" s="1"/>
      <c r="T89" s="1"/>
      <c r="U89" s="1"/>
      <c r="V89" s="1"/>
      <c r="W89" s="1"/>
      <c r="X89" s="1"/>
      <c r="Y89" s="1"/>
      <c r="Z89" s="1"/>
    </row>
    <row r="90" spans="1:26" ht="15.75" customHeight="1">
      <c r="A90" s="1"/>
      <c r="B90" s="210"/>
      <c r="C90" s="210"/>
      <c r="D90" s="210"/>
      <c r="E90" s="210"/>
      <c r="F90" s="209"/>
      <c r="G90" s="210"/>
      <c r="H90" s="209"/>
      <c r="I90" s="210"/>
      <c r="J90" s="864">
        <v>5165299</v>
      </c>
      <c r="K90" s="865">
        <v>529958</v>
      </c>
      <c r="L90" s="872">
        <v>4</v>
      </c>
      <c r="M90" s="872">
        <v>3.04</v>
      </c>
      <c r="N90" s="1"/>
      <c r="O90" s="1"/>
      <c r="P90" s="1"/>
      <c r="Q90" s="1"/>
      <c r="R90" s="1"/>
      <c r="S90" s="1"/>
      <c r="T90" s="1"/>
      <c r="U90" s="1"/>
      <c r="V90" s="1"/>
      <c r="W90" s="1"/>
      <c r="X90" s="1"/>
      <c r="Y90" s="1"/>
      <c r="Z90" s="1"/>
    </row>
    <row r="91" spans="1:26" ht="15.75" customHeight="1">
      <c r="A91" s="1"/>
      <c r="B91" s="210"/>
      <c r="C91" s="510" t="s">
        <v>389</v>
      </c>
      <c r="D91" s="510" t="s">
        <v>390</v>
      </c>
      <c r="E91" s="510" t="s">
        <v>636</v>
      </c>
      <c r="F91" s="511">
        <v>72</v>
      </c>
      <c r="G91" s="510" t="s">
        <v>734</v>
      </c>
      <c r="H91" s="219">
        <v>1027</v>
      </c>
      <c r="I91" s="510" t="s">
        <v>639</v>
      </c>
      <c r="J91" s="341">
        <f t="shared" ref="J91:J92" si="41">(F91*H91)</f>
        <v>73944</v>
      </c>
      <c r="K91" s="517">
        <f t="shared" ref="K91:K92" si="42">J91/(J$91+J$92)*K$93</f>
        <v>7697.276586086301</v>
      </c>
      <c r="L91" s="888">
        <f t="shared" ref="L91:L92" si="43">J91/(J$91+J$92)*L$93</f>
        <v>6.172230143152161E-2</v>
      </c>
      <c r="M91" s="888">
        <f t="shared" ref="M91:M92" si="44">J91/(J$91+J$92)*M$93</f>
        <v>4.6423050119240195E-2</v>
      </c>
      <c r="N91" s="1"/>
      <c r="O91" s="1"/>
      <c r="P91" s="1"/>
      <c r="Q91" s="1"/>
      <c r="R91" s="1"/>
      <c r="S91" s="1"/>
      <c r="T91" s="1"/>
      <c r="U91" s="1"/>
      <c r="V91" s="1"/>
      <c r="W91" s="1"/>
      <c r="X91" s="1"/>
      <c r="Y91" s="1"/>
      <c r="Z91" s="1"/>
    </row>
    <row r="92" spans="1:26" ht="15.75" customHeight="1">
      <c r="A92" s="1"/>
      <c r="B92" s="210"/>
      <c r="C92" s="510"/>
      <c r="D92" s="510" t="s">
        <v>390</v>
      </c>
      <c r="E92" s="510" t="s">
        <v>370</v>
      </c>
      <c r="F92" s="511">
        <v>466140</v>
      </c>
      <c r="G92" s="510" t="s">
        <v>364</v>
      </c>
      <c r="H92" s="219">
        <v>24</v>
      </c>
      <c r="I92" s="510" t="s">
        <v>388</v>
      </c>
      <c r="J92" s="341">
        <f t="shared" si="41"/>
        <v>11187360</v>
      </c>
      <c r="K92" s="517">
        <f t="shared" si="42"/>
        <v>1164559.7234139137</v>
      </c>
      <c r="L92" s="888">
        <f t="shared" si="43"/>
        <v>9.3382776985684792</v>
      </c>
      <c r="M92" s="888">
        <f t="shared" si="44"/>
        <v>7.0235769498807601</v>
      </c>
      <c r="N92" s="1"/>
      <c r="O92" s="1"/>
      <c r="P92" s="1"/>
      <c r="Q92" s="1"/>
      <c r="R92" s="1"/>
      <c r="S92" s="1"/>
      <c r="T92" s="1"/>
      <c r="U92" s="1"/>
      <c r="V92" s="1"/>
      <c r="W92" s="1"/>
      <c r="X92" s="1"/>
      <c r="Y92" s="1"/>
      <c r="Z92" s="1"/>
    </row>
    <row r="93" spans="1:26" ht="15.75" customHeight="1">
      <c r="A93" s="1"/>
      <c r="B93" s="210"/>
      <c r="C93" s="210"/>
      <c r="D93" s="210"/>
      <c r="E93" s="210"/>
      <c r="F93" s="209"/>
      <c r="G93" s="210"/>
      <c r="H93" s="209"/>
      <c r="I93" s="210"/>
      <c r="J93" s="864">
        <v>11425504</v>
      </c>
      <c r="K93" s="865">
        <v>1172257</v>
      </c>
      <c r="L93" s="872">
        <v>9.4</v>
      </c>
      <c r="M93" s="872">
        <v>7.07</v>
      </c>
      <c r="N93" s="1"/>
      <c r="O93" s="1"/>
      <c r="P93" s="1"/>
      <c r="Q93" s="1"/>
      <c r="R93" s="1"/>
      <c r="S93" s="1"/>
      <c r="T93" s="1"/>
      <c r="U93" s="1"/>
      <c r="V93" s="1"/>
      <c r="W93" s="1"/>
      <c r="X93" s="1"/>
      <c r="Y93" s="1"/>
      <c r="Z93" s="1"/>
    </row>
    <row r="94" spans="1:26" ht="15.75" customHeight="1">
      <c r="A94" s="1"/>
      <c r="B94" s="210"/>
      <c r="C94" s="510" t="s">
        <v>596</v>
      </c>
      <c r="D94" s="510" t="s">
        <v>616</v>
      </c>
      <c r="E94" s="510" t="s">
        <v>636</v>
      </c>
      <c r="F94" s="511">
        <v>9</v>
      </c>
      <c r="G94" s="510" t="s">
        <v>734</v>
      </c>
      <c r="H94" s="219">
        <v>1027</v>
      </c>
      <c r="I94" s="510" t="s">
        <v>639</v>
      </c>
      <c r="J94" s="341">
        <f t="shared" ref="J94:J95" si="45">(F94*H94)</f>
        <v>9243</v>
      </c>
      <c r="K94" s="889">
        <f>(J94/(J94+J95))*K96</f>
        <v>737.03880652743953</v>
      </c>
      <c r="L94" s="889">
        <f>(J94/(J94+J95))*L96</f>
        <v>7.8436197927716153E-3</v>
      </c>
      <c r="M94" s="889">
        <f>(J94/(J94+J95))*M96</f>
        <v>1.5948693578635618E-2</v>
      </c>
      <c r="N94" s="1"/>
      <c r="O94" s="1"/>
      <c r="P94" s="1"/>
      <c r="Q94" s="1"/>
      <c r="R94" s="1"/>
      <c r="S94" s="1"/>
      <c r="T94" s="1"/>
      <c r="U94" s="1"/>
      <c r="V94" s="1"/>
      <c r="W94" s="1"/>
      <c r="X94" s="1"/>
      <c r="Y94" s="1"/>
      <c r="Z94" s="1"/>
    </row>
    <row r="95" spans="1:26" ht="15.75" customHeight="1">
      <c r="A95" s="1"/>
      <c r="B95" s="210"/>
      <c r="C95" s="510"/>
      <c r="D95" s="510" t="s">
        <v>616</v>
      </c>
      <c r="E95" s="510" t="s">
        <v>617</v>
      </c>
      <c r="F95" s="511">
        <v>2280</v>
      </c>
      <c r="G95" s="510" t="s">
        <v>735</v>
      </c>
      <c r="H95" s="219">
        <v>151</v>
      </c>
      <c r="I95" s="510" t="s">
        <v>464</v>
      </c>
      <c r="J95" s="341">
        <f t="shared" si="45"/>
        <v>344280</v>
      </c>
      <c r="K95" s="511">
        <f>(J95/(J94+J95))*K96</f>
        <v>27452.961193472558</v>
      </c>
      <c r="L95" s="521">
        <f>(J95/(J94+J95))*L96</f>
        <v>0.29215638020722834</v>
      </c>
      <c r="M95" s="521">
        <f>(J95/(J95+J94))*M96</f>
        <v>0.59405130642136439</v>
      </c>
      <c r="N95" s="1"/>
      <c r="O95" s="1"/>
      <c r="P95" s="1"/>
      <c r="Q95" s="1"/>
      <c r="R95" s="1"/>
      <c r="S95" s="1"/>
      <c r="T95" s="1"/>
      <c r="U95" s="1"/>
      <c r="V95" s="1"/>
      <c r="W95" s="1"/>
      <c r="X95" s="1"/>
      <c r="Y95" s="1"/>
      <c r="Z95" s="1"/>
    </row>
    <row r="96" spans="1:26" ht="15.75" customHeight="1">
      <c r="A96" s="1"/>
      <c r="B96" s="210"/>
      <c r="C96" s="210"/>
      <c r="D96" s="210"/>
      <c r="E96" s="210"/>
      <c r="F96" s="209"/>
      <c r="G96" s="210"/>
      <c r="H96" s="209"/>
      <c r="I96" s="210"/>
      <c r="J96" s="864">
        <v>348684</v>
      </c>
      <c r="K96" s="865">
        <v>28190</v>
      </c>
      <c r="L96" s="872">
        <v>0.3</v>
      </c>
      <c r="M96" s="872">
        <v>0.61</v>
      </c>
      <c r="N96" s="1"/>
      <c r="O96" s="1"/>
      <c r="P96" s="1"/>
      <c r="Q96" s="1"/>
      <c r="R96" s="1"/>
      <c r="S96" s="1"/>
      <c r="T96" s="1"/>
      <c r="U96" s="1"/>
      <c r="V96" s="1"/>
      <c r="W96" s="1"/>
      <c r="X96" s="1"/>
      <c r="Y96" s="1"/>
      <c r="Z96" s="1"/>
    </row>
    <row r="97" spans="1:26" ht="15.75" customHeight="1">
      <c r="A97" s="1"/>
      <c r="B97" s="210"/>
      <c r="C97" s="210"/>
      <c r="D97" s="210"/>
      <c r="E97" s="210"/>
      <c r="F97" s="209"/>
      <c r="G97" s="210"/>
      <c r="H97" s="209"/>
      <c r="I97" s="210"/>
      <c r="J97" s="873"/>
      <c r="K97" s="515"/>
      <c r="L97" s="535"/>
      <c r="M97" s="535"/>
      <c r="N97" s="1"/>
      <c r="O97" s="1"/>
      <c r="P97" s="1"/>
      <c r="Q97" s="1"/>
      <c r="R97" s="1"/>
      <c r="S97" s="1"/>
      <c r="T97" s="1"/>
      <c r="U97" s="1"/>
      <c r="V97" s="1"/>
      <c r="W97" s="1"/>
      <c r="X97" s="1"/>
      <c r="Y97" s="1"/>
      <c r="Z97" s="1"/>
    </row>
    <row r="98" spans="1:26" ht="15.75" customHeight="1">
      <c r="A98" s="1"/>
      <c r="B98" s="224"/>
      <c r="C98" s="224" t="s">
        <v>461</v>
      </c>
      <c r="D98" s="224" t="s">
        <v>462</v>
      </c>
      <c r="E98" s="224" t="s">
        <v>463</v>
      </c>
      <c r="F98" s="549">
        <v>44</v>
      </c>
      <c r="G98" s="224" t="s">
        <v>736</v>
      </c>
      <c r="H98" s="348">
        <v>139</v>
      </c>
      <c r="I98" s="224" t="s">
        <v>464</v>
      </c>
      <c r="J98" s="890">
        <f>(F98*H98)</f>
        <v>6116</v>
      </c>
      <c r="K98" s="875">
        <v>478.5</v>
      </c>
      <c r="L98" s="562">
        <v>0</v>
      </c>
      <c r="M98" s="876">
        <v>0.01</v>
      </c>
      <c r="N98" s="1"/>
      <c r="O98" s="1"/>
      <c r="P98" s="1"/>
      <c r="Q98" s="1"/>
      <c r="R98" s="1"/>
      <c r="S98" s="1"/>
      <c r="T98" s="1"/>
      <c r="U98" s="1"/>
      <c r="V98" s="1"/>
      <c r="W98" s="1"/>
      <c r="X98" s="1"/>
      <c r="Y98" s="1"/>
      <c r="Z98" s="1"/>
    </row>
    <row r="99" spans="1:26" ht="15.75" customHeight="1">
      <c r="A99" s="1"/>
      <c r="B99" s="239"/>
      <c r="C99" s="239"/>
      <c r="D99" s="239"/>
      <c r="E99" s="239"/>
      <c r="F99" s="859"/>
      <c r="G99" s="239"/>
      <c r="H99" s="859"/>
      <c r="I99" s="239"/>
      <c r="J99" s="239"/>
      <c r="K99" s="860"/>
      <c r="L99" s="861"/>
      <c r="M99" s="861"/>
      <c r="N99" s="1"/>
      <c r="O99" s="1"/>
      <c r="P99" s="1"/>
      <c r="Q99" s="1"/>
      <c r="R99" s="1"/>
      <c r="S99" s="1"/>
      <c r="T99" s="1"/>
      <c r="U99" s="1"/>
      <c r="V99" s="1"/>
      <c r="W99" s="1"/>
      <c r="X99" s="1"/>
      <c r="Y99" s="1"/>
      <c r="Z99" s="1"/>
    </row>
    <row r="100" spans="1:26" ht="15.75" customHeight="1">
      <c r="A100" s="1"/>
      <c r="B100" s="204" t="s">
        <v>465</v>
      </c>
      <c r="C100" s="205" t="s">
        <v>466</v>
      </c>
      <c r="D100" s="204"/>
      <c r="E100" s="204"/>
      <c r="F100" s="506"/>
      <c r="G100" s="204"/>
      <c r="H100" s="506"/>
      <c r="I100" s="204"/>
      <c r="J100" s="635"/>
      <c r="K100" s="581"/>
      <c r="L100" s="527"/>
      <c r="M100" s="527"/>
      <c r="N100" s="1"/>
      <c r="O100" s="1"/>
      <c r="P100" s="1"/>
      <c r="Q100" s="1"/>
      <c r="R100" s="1"/>
      <c r="S100" s="1"/>
      <c r="T100" s="1"/>
      <c r="U100" s="1"/>
      <c r="V100" s="1"/>
      <c r="W100" s="1"/>
      <c r="X100" s="1"/>
      <c r="Y100" s="1"/>
      <c r="Z100" s="1"/>
    </row>
    <row r="101" spans="1:26" ht="15.75" customHeight="1">
      <c r="A101" s="1"/>
      <c r="B101" s="210"/>
      <c r="C101" s="510" t="s">
        <v>467</v>
      </c>
      <c r="D101" s="510" t="s">
        <v>468</v>
      </c>
      <c r="E101" s="510" t="s">
        <v>310</v>
      </c>
      <c r="F101" s="511">
        <v>393000000</v>
      </c>
      <c r="G101" s="510" t="s">
        <v>634</v>
      </c>
      <c r="H101" s="219">
        <v>1027</v>
      </c>
      <c r="I101" s="510" t="s">
        <v>639</v>
      </c>
      <c r="J101" s="517">
        <f>(F101*H101)/1000000</f>
        <v>403611</v>
      </c>
      <c r="K101" s="517">
        <f t="shared" ref="K101:K102" si="46">(+J101/(J$101+J$102))*K$103</f>
        <v>26536.398017531566</v>
      </c>
      <c r="L101" s="537">
        <f t="shared" ref="L101:L102" si="47">(+J101/(J$101+J$102))*L$103</f>
        <v>1.2524942549573961</v>
      </c>
      <c r="M101" s="537">
        <f t="shared" ref="M101:M102" si="48">(+J101/(J$101+J$102))*M$103</f>
        <v>0.52736600208732465</v>
      </c>
      <c r="N101" s="1"/>
      <c r="O101" s="1"/>
      <c r="P101" s="1"/>
      <c r="Q101" s="1"/>
      <c r="R101" s="1"/>
      <c r="S101" s="1"/>
      <c r="T101" s="1"/>
      <c r="U101" s="1"/>
      <c r="V101" s="1"/>
      <c r="W101" s="1"/>
      <c r="X101" s="1"/>
      <c r="Y101" s="1"/>
      <c r="Z101" s="1"/>
    </row>
    <row r="102" spans="1:26" ht="15.75" customHeight="1">
      <c r="A102" s="1"/>
      <c r="B102" s="210"/>
      <c r="C102" s="510"/>
      <c r="D102" s="510" t="s">
        <v>468</v>
      </c>
      <c r="E102" s="510" t="s">
        <v>463</v>
      </c>
      <c r="F102" s="511">
        <v>1512000</v>
      </c>
      <c r="G102" s="510" t="s">
        <v>425</v>
      </c>
      <c r="H102" s="219">
        <v>138</v>
      </c>
      <c r="I102" s="510" t="s">
        <v>464</v>
      </c>
      <c r="J102" s="517">
        <f>(F102*H102)/1000</f>
        <v>208656</v>
      </c>
      <c r="K102" s="517">
        <f t="shared" si="46"/>
        <v>13718.601982468434</v>
      </c>
      <c r="L102" s="537">
        <f t="shared" si="47"/>
        <v>0.64750574504260394</v>
      </c>
      <c r="M102" s="537">
        <f t="shared" si="48"/>
        <v>0.2726339979126754</v>
      </c>
      <c r="N102" s="1"/>
      <c r="O102" s="1"/>
      <c r="P102" s="1"/>
      <c r="Q102" s="1"/>
      <c r="R102" s="1"/>
      <c r="S102" s="1"/>
      <c r="T102" s="1"/>
      <c r="U102" s="1"/>
      <c r="V102" s="1"/>
      <c r="W102" s="1"/>
      <c r="X102" s="1"/>
      <c r="Y102" s="1"/>
      <c r="Z102" s="1"/>
    </row>
    <row r="103" spans="1:26" ht="15.75" customHeight="1">
      <c r="A103" s="1"/>
      <c r="B103" s="210"/>
      <c r="C103" s="210"/>
      <c r="D103" s="210"/>
      <c r="E103" s="210"/>
      <c r="F103" s="515"/>
      <c r="G103" s="210"/>
      <c r="H103" s="209"/>
      <c r="I103" s="210"/>
      <c r="J103" s="864">
        <f>J101+J102</f>
        <v>612267</v>
      </c>
      <c r="K103" s="865">
        <v>40255</v>
      </c>
      <c r="L103" s="872">
        <v>1.9</v>
      </c>
      <c r="M103" s="872">
        <v>0.8</v>
      </c>
      <c r="N103" s="1"/>
      <c r="O103" s="1"/>
      <c r="P103" s="1"/>
      <c r="Q103" s="1"/>
      <c r="R103" s="1"/>
      <c r="S103" s="1"/>
      <c r="T103" s="1"/>
      <c r="U103" s="1"/>
      <c r="V103" s="1"/>
      <c r="W103" s="1"/>
      <c r="X103" s="1"/>
      <c r="Y103" s="1"/>
      <c r="Z103" s="1"/>
    </row>
    <row r="104" spans="1:26" ht="15.75" customHeight="1">
      <c r="A104" s="1"/>
      <c r="B104" s="210"/>
      <c r="C104" s="210"/>
      <c r="D104" s="210"/>
      <c r="E104" s="210"/>
      <c r="F104" s="515"/>
      <c r="G104" s="210"/>
      <c r="H104" s="209"/>
      <c r="I104" s="210"/>
      <c r="J104" s="873"/>
      <c r="K104" s="515"/>
      <c r="L104" s="535"/>
      <c r="M104" s="535"/>
      <c r="N104" s="1"/>
      <c r="O104" s="1"/>
      <c r="P104" s="1"/>
      <c r="Q104" s="1"/>
      <c r="R104" s="1"/>
      <c r="S104" s="1"/>
      <c r="T104" s="1"/>
      <c r="U104" s="1"/>
      <c r="V104" s="1"/>
      <c r="W104" s="1"/>
      <c r="X104" s="1"/>
      <c r="Y104" s="1"/>
      <c r="Z104" s="1"/>
    </row>
    <row r="105" spans="1:26" ht="15.75" customHeight="1">
      <c r="A105" s="1"/>
      <c r="B105" s="210"/>
      <c r="C105" s="210" t="s">
        <v>469</v>
      </c>
      <c r="D105" s="564" t="s">
        <v>470</v>
      </c>
      <c r="E105" s="210" t="s">
        <v>463</v>
      </c>
      <c r="F105" s="515">
        <v>533000</v>
      </c>
      <c r="G105" s="210" t="s">
        <v>425</v>
      </c>
      <c r="H105" s="209">
        <v>138</v>
      </c>
      <c r="I105" s="210" t="s">
        <v>464</v>
      </c>
      <c r="J105" s="864">
        <f>(F105*H105)/1000</f>
        <v>73554</v>
      </c>
      <c r="K105" s="515">
        <v>5773</v>
      </c>
      <c r="L105" s="535">
        <v>0.06</v>
      </c>
      <c r="M105" s="535">
        <v>7.0000000000000007E-2</v>
      </c>
      <c r="N105" s="1"/>
      <c r="O105" s="1"/>
      <c r="P105" s="1"/>
      <c r="Q105" s="1"/>
      <c r="R105" s="1"/>
      <c r="S105" s="1"/>
      <c r="T105" s="1"/>
      <c r="U105" s="1"/>
      <c r="V105" s="1"/>
      <c r="W105" s="1"/>
      <c r="X105" s="1"/>
      <c r="Y105" s="1"/>
      <c r="Z105" s="1"/>
    </row>
    <row r="106" spans="1:26" ht="15.75" customHeight="1">
      <c r="A106" s="1"/>
      <c r="B106" s="210"/>
      <c r="C106" s="210"/>
      <c r="D106" s="210"/>
      <c r="E106" s="210"/>
      <c r="F106" s="515"/>
      <c r="G106" s="210"/>
      <c r="H106" s="209"/>
      <c r="I106" s="210"/>
      <c r="J106" s="873"/>
      <c r="K106" s="515"/>
      <c r="L106" s="535"/>
      <c r="M106" s="535"/>
      <c r="N106" s="1"/>
      <c r="O106" s="1"/>
      <c r="P106" s="1"/>
      <c r="Q106" s="1"/>
      <c r="R106" s="1"/>
      <c r="S106" s="1"/>
      <c r="T106" s="1"/>
      <c r="U106" s="1"/>
      <c r="V106" s="1"/>
      <c r="W106" s="1"/>
      <c r="X106" s="1"/>
      <c r="Y106" s="1"/>
      <c r="Z106" s="1"/>
    </row>
    <row r="107" spans="1:26" ht="15.75" customHeight="1">
      <c r="A107" s="1"/>
      <c r="B107" s="210"/>
      <c r="C107" s="210" t="s">
        <v>471</v>
      </c>
      <c r="D107" s="564" t="s">
        <v>472</v>
      </c>
      <c r="E107" s="210" t="s">
        <v>463</v>
      </c>
      <c r="F107" s="515">
        <v>517000</v>
      </c>
      <c r="G107" s="210" t="s">
        <v>425</v>
      </c>
      <c r="H107" s="209">
        <v>138</v>
      </c>
      <c r="I107" s="210" t="s">
        <v>464</v>
      </c>
      <c r="J107" s="864">
        <f>(F107*H107)/1000</f>
        <v>71346</v>
      </c>
      <c r="K107" s="515">
        <v>5603</v>
      </c>
      <c r="L107" s="535">
        <v>0.06</v>
      </c>
      <c r="M107" s="535">
        <v>7.0000000000000007E-2</v>
      </c>
      <c r="N107" s="1"/>
      <c r="O107" s="1"/>
      <c r="P107" s="1"/>
      <c r="Q107" s="1"/>
      <c r="R107" s="1"/>
      <c r="S107" s="1"/>
      <c r="T107" s="1"/>
      <c r="U107" s="1"/>
      <c r="V107" s="1"/>
      <c r="W107" s="1"/>
      <c r="X107" s="1"/>
      <c r="Y107" s="1"/>
      <c r="Z107" s="1"/>
    </row>
    <row r="108" spans="1:26" ht="15.75" customHeight="1">
      <c r="A108" s="1"/>
      <c r="B108" s="210"/>
      <c r="C108" s="210"/>
      <c r="D108" s="210"/>
      <c r="E108" s="210"/>
      <c r="F108" s="515"/>
      <c r="G108" s="210"/>
      <c r="H108" s="209"/>
      <c r="I108" s="210"/>
      <c r="J108" s="873"/>
      <c r="K108" s="515"/>
      <c r="L108" s="535"/>
      <c r="M108" s="535"/>
      <c r="N108" s="1"/>
      <c r="O108" s="1"/>
      <c r="P108" s="1"/>
      <c r="Q108" s="1"/>
      <c r="R108" s="1"/>
      <c r="S108" s="1"/>
      <c r="T108" s="1"/>
      <c r="U108" s="1"/>
      <c r="V108" s="1"/>
      <c r="W108" s="1"/>
      <c r="X108" s="1"/>
      <c r="Y108" s="1"/>
      <c r="Z108" s="1"/>
    </row>
    <row r="109" spans="1:26" ht="15.75" customHeight="1">
      <c r="A109" s="1"/>
      <c r="B109" s="210"/>
      <c r="C109" s="210" t="s">
        <v>473</v>
      </c>
      <c r="D109" s="564" t="s">
        <v>474</v>
      </c>
      <c r="E109" s="210" t="s">
        <v>463</v>
      </c>
      <c r="F109" s="515">
        <v>611000</v>
      </c>
      <c r="G109" s="210" t="s">
        <v>425</v>
      </c>
      <c r="H109" s="209">
        <v>138</v>
      </c>
      <c r="I109" s="210" t="s">
        <v>464</v>
      </c>
      <c r="J109" s="864">
        <f>(F109*H109)/1000</f>
        <v>84318</v>
      </c>
      <c r="K109" s="515">
        <v>6619</v>
      </c>
      <c r="L109" s="535">
        <v>7.0000000000000007E-2</v>
      </c>
      <c r="M109" s="535">
        <v>0.08</v>
      </c>
      <c r="N109" s="1"/>
      <c r="O109" s="1"/>
      <c r="P109" s="1"/>
      <c r="Q109" s="1"/>
      <c r="R109" s="1"/>
      <c r="S109" s="1"/>
      <c r="T109" s="1"/>
      <c r="U109" s="1"/>
      <c r="V109" s="1"/>
      <c r="W109" s="1"/>
      <c r="X109" s="1"/>
      <c r="Y109" s="1"/>
      <c r="Z109" s="1"/>
    </row>
    <row r="110" spans="1:26" ht="15.75" customHeight="1">
      <c r="A110" s="1"/>
      <c r="B110" s="210"/>
      <c r="C110" s="210"/>
      <c r="D110" s="210"/>
      <c r="E110" s="210"/>
      <c r="F110" s="515"/>
      <c r="G110" s="210"/>
      <c r="H110" s="209"/>
      <c r="I110" s="210"/>
      <c r="J110" s="873"/>
      <c r="K110" s="515"/>
      <c r="L110" s="535"/>
      <c r="M110" s="535"/>
      <c r="N110" s="1"/>
      <c r="O110" s="1"/>
      <c r="P110" s="1"/>
      <c r="Q110" s="1"/>
      <c r="R110" s="1"/>
      <c r="S110" s="1"/>
      <c r="T110" s="1"/>
      <c r="U110" s="1"/>
      <c r="V110" s="1"/>
      <c r="W110" s="1"/>
      <c r="X110" s="1"/>
      <c r="Y110" s="1"/>
      <c r="Z110" s="1"/>
    </row>
    <row r="111" spans="1:26" ht="15.75" customHeight="1">
      <c r="A111" s="1"/>
      <c r="B111" s="224"/>
      <c r="C111" s="224" t="s">
        <v>475</v>
      </c>
      <c r="D111" s="253" t="s">
        <v>476</v>
      </c>
      <c r="E111" s="224" t="s">
        <v>463</v>
      </c>
      <c r="F111" s="549">
        <v>232000</v>
      </c>
      <c r="G111" s="224" t="s">
        <v>425</v>
      </c>
      <c r="H111" s="348">
        <v>138</v>
      </c>
      <c r="I111" s="224" t="s">
        <v>464</v>
      </c>
      <c r="J111" s="867">
        <f>(F111*H111)/1000</f>
        <v>32016</v>
      </c>
      <c r="K111" s="549">
        <v>2509</v>
      </c>
      <c r="L111" s="543">
        <v>0.03</v>
      </c>
      <c r="M111" s="543">
        <v>0.03</v>
      </c>
      <c r="N111" s="1"/>
      <c r="O111" s="1"/>
      <c r="P111" s="1"/>
      <c r="Q111" s="1"/>
      <c r="R111" s="1"/>
      <c r="S111" s="1"/>
      <c r="T111" s="1"/>
      <c r="U111" s="1"/>
      <c r="V111" s="1"/>
      <c r="W111" s="1"/>
      <c r="X111" s="1"/>
      <c r="Y111" s="1"/>
      <c r="Z111" s="1"/>
    </row>
    <row r="112" spans="1:26" ht="15.75" customHeight="1">
      <c r="A112" s="1"/>
      <c r="B112" s="239"/>
      <c r="C112" s="239"/>
      <c r="D112" s="239"/>
      <c r="E112" s="239"/>
      <c r="F112" s="859"/>
      <c r="G112" s="239"/>
      <c r="H112" s="859"/>
      <c r="I112" s="239"/>
      <c r="J112" s="859"/>
      <c r="K112" s="860"/>
      <c r="L112" s="861"/>
      <c r="M112" s="861"/>
      <c r="N112" s="1"/>
      <c r="O112" s="1"/>
      <c r="P112" s="1"/>
      <c r="Q112" s="1"/>
      <c r="R112" s="1"/>
      <c r="S112" s="1"/>
      <c r="T112" s="1"/>
      <c r="U112" s="1"/>
      <c r="V112" s="1"/>
      <c r="W112" s="1"/>
      <c r="X112" s="1"/>
      <c r="Y112" s="1"/>
      <c r="Z112" s="1"/>
    </row>
    <row r="113" spans="1:26" ht="15.75" customHeight="1">
      <c r="A113" s="1"/>
      <c r="B113" s="204" t="s">
        <v>391</v>
      </c>
      <c r="C113" s="205" t="s">
        <v>392</v>
      </c>
      <c r="D113" s="204"/>
      <c r="E113" s="204"/>
      <c r="F113" s="506"/>
      <c r="G113" s="204"/>
      <c r="H113" s="506"/>
      <c r="I113" s="204"/>
      <c r="J113" s="852"/>
      <c r="K113" s="581"/>
      <c r="L113" s="527"/>
      <c r="M113" s="527"/>
      <c r="N113" s="1"/>
      <c r="O113" s="1"/>
      <c r="P113" s="1"/>
      <c r="Q113" s="1"/>
      <c r="R113" s="1"/>
      <c r="S113" s="1"/>
      <c r="T113" s="1"/>
      <c r="U113" s="1"/>
      <c r="V113" s="1"/>
      <c r="W113" s="1"/>
      <c r="X113" s="1"/>
      <c r="Y113" s="1"/>
      <c r="Z113" s="1"/>
    </row>
    <row r="114" spans="1:26" ht="15.75" customHeight="1">
      <c r="A114" s="1"/>
      <c r="B114" s="210"/>
      <c r="C114" s="510" t="s">
        <v>393</v>
      </c>
      <c r="D114" s="510" t="s">
        <v>394</v>
      </c>
      <c r="E114" s="510" t="s">
        <v>293</v>
      </c>
      <c r="F114" s="511">
        <v>6836</v>
      </c>
      <c r="G114" s="510" t="s">
        <v>364</v>
      </c>
      <c r="H114" s="219">
        <v>11260</v>
      </c>
      <c r="I114" s="510" t="s">
        <v>365</v>
      </c>
      <c r="J114" s="511">
        <f>(F114*H114*2000)/1000000</f>
        <v>153946.72</v>
      </c>
      <c r="K114" s="517">
        <f t="shared" ref="K114:K115" si="49">(+J114/(J$114+J$115))*K$116</f>
        <v>18404.817463953248</v>
      </c>
      <c r="L114" s="537">
        <f t="shared" ref="L114:L115" si="50">(+J114/(J$114+J$115))*L$116</f>
        <v>9.6204157984178806E-2</v>
      </c>
      <c r="M114" s="537">
        <f t="shared" ref="M114:M115" si="51">(+J114/(J$114+J$115))*M$116</f>
        <v>9.6204157984178806E-2</v>
      </c>
      <c r="N114" s="1"/>
      <c r="O114" s="1"/>
      <c r="P114" s="1"/>
      <c r="Q114" s="1"/>
      <c r="R114" s="1"/>
      <c r="S114" s="1"/>
      <c r="T114" s="1"/>
      <c r="U114" s="1"/>
      <c r="V114" s="1"/>
      <c r="W114" s="1"/>
      <c r="X114" s="1"/>
      <c r="Y114" s="1"/>
      <c r="Z114" s="1"/>
    </row>
    <row r="115" spans="1:26" ht="15.75" customHeight="1">
      <c r="A115" s="1"/>
      <c r="B115" s="210"/>
      <c r="C115" s="510"/>
      <c r="D115" s="510"/>
      <c r="E115" s="510" t="s">
        <v>477</v>
      </c>
      <c r="F115" s="511">
        <v>43079</v>
      </c>
      <c r="G115" s="510" t="s">
        <v>425</v>
      </c>
      <c r="H115" s="219">
        <v>141000</v>
      </c>
      <c r="I115" s="510" t="s">
        <v>478</v>
      </c>
      <c r="J115" s="511">
        <f>(F115*H115)/1000000</f>
        <v>6074.1390000000001</v>
      </c>
      <c r="K115" s="517">
        <f t="shared" si="49"/>
        <v>726.18253604675374</v>
      </c>
      <c r="L115" s="537">
        <f t="shared" si="50"/>
        <v>3.7958420158212E-3</v>
      </c>
      <c r="M115" s="537">
        <f t="shared" si="51"/>
        <v>3.7958420158212E-3</v>
      </c>
      <c r="N115" s="1"/>
      <c r="O115" s="1"/>
      <c r="P115" s="1"/>
      <c r="Q115" s="1"/>
      <c r="R115" s="1"/>
      <c r="S115" s="1"/>
      <c r="T115" s="1"/>
      <c r="U115" s="1"/>
      <c r="V115" s="1"/>
      <c r="W115" s="1"/>
      <c r="X115" s="1"/>
      <c r="Y115" s="1"/>
      <c r="Z115" s="1"/>
    </row>
    <row r="116" spans="1:26" ht="15.75" customHeight="1">
      <c r="A116" s="1"/>
      <c r="B116" s="210"/>
      <c r="C116" s="210"/>
      <c r="D116" s="210"/>
      <c r="E116" s="566"/>
      <c r="F116" s="515"/>
      <c r="G116" s="566"/>
      <c r="H116" s="209"/>
      <c r="I116" s="566"/>
      <c r="J116" s="864">
        <v>186474</v>
      </c>
      <c r="K116" s="865">
        <v>19131</v>
      </c>
      <c r="L116" s="872">
        <v>0.1</v>
      </c>
      <c r="M116" s="872">
        <v>0.1</v>
      </c>
      <c r="N116" s="1"/>
      <c r="O116" s="1"/>
      <c r="P116" s="1"/>
      <c r="Q116" s="1"/>
      <c r="R116" s="1"/>
      <c r="S116" s="1"/>
      <c r="T116" s="1"/>
      <c r="U116" s="1"/>
      <c r="V116" s="1"/>
      <c r="W116" s="1"/>
      <c r="X116" s="1"/>
      <c r="Y116" s="1"/>
      <c r="Z116" s="1"/>
    </row>
    <row r="117" spans="1:26" ht="15.75" customHeight="1">
      <c r="A117" s="1"/>
      <c r="B117" s="210"/>
      <c r="C117" s="510" t="s">
        <v>395</v>
      </c>
      <c r="D117" s="510" t="s">
        <v>396</v>
      </c>
      <c r="E117" s="510" t="s">
        <v>293</v>
      </c>
      <c r="F117" s="511">
        <v>39204</v>
      </c>
      <c r="G117" s="510" t="s">
        <v>364</v>
      </c>
      <c r="H117" s="219">
        <v>11260</v>
      </c>
      <c r="I117" s="510" t="s">
        <v>365</v>
      </c>
      <c r="J117" s="341">
        <f>(F117*H117*2000)/1000000</f>
        <v>882874.08</v>
      </c>
      <c r="K117" s="517">
        <f>(+J117/(J117+J118))*K119</f>
        <v>87436.226031360682</v>
      </c>
      <c r="L117" s="537">
        <f>(+J117/(J117+J118))*L119</f>
        <v>0.78595243570251971</v>
      </c>
      <c r="M117" s="537">
        <f>(+J117/(J117+J118))*M119</f>
        <v>1.5719048714050394</v>
      </c>
      <c r="N117" s="1"/>
      <c r="O117" s="1"/>
      <c r="P117" s="1"/>
      <c r="Q117" s="1"/>
      <c r="R117" s="1"/>
      <c r="S117" s="1"/>
      <c r="T117" s="1"/>
      <c r="U117" s="1"/>
      <c r="V117" s="1"/>
      <c r="W117" s="1"/>
      <c r="X117" s="1"/>
      <c r="Y117" s="1"/>
      <c r="Z117" s="1"/>
    </row>
    <row r="118" spans="1:26" ht="15.75" customHeight="1">
      <c r="A118" s="1"/>
      <c r="B118" s="210"/>
      <c r="C118" s="510"/>
      <c r="D118" s="510"/>
      <c r="E118" s="510" t="s">
        <v>477</v>
      </c>
      <c r="F118" s="511">
        <v>111914</v>
      </c>
      <c r="G118" s="510" t="s">
        <v>425</v>
      </c>
      <c r="H118" s="219">
        <v>141000</v>
      </c>
      <c r="I118" s="510" t="s">
        <v>478</v>
      </c>
      <c r="J118" s="341">
        <f>(F118*H118)/1000000</f>
        <v>15779.874</v>
      </c>
      <c r="K118" s="517">
        <f>(+J118/(J117+J118))*K119</f>
        <v>1562.7739686393236</v>
      </c>
      <c r="L118" s="537">
        <f>(+J118/(J117+J118))*L119</f>
        <v>1.4047564297480409E-2</v>
      </c>
      <c r="M118" s="537">
        <f>(+J118/(J117+J118))*M119</f>
        <v>2.8095128594960817E-2</v>
      </c>
      <c r="N118" s="1"/>
      <c r="O118" s="1"/>
      <c r="P118" s="1"/>
      <c r="Q118" s="1"/>
      <c r="R118" s="1"/>
      <c r="S118" s="1"/>
      <c r="T118" s="1"/>
      <c r="U118" s="1"/>
      <c r="V118" s="1"/>
      <c r="W118" s="1"/>
      <c r="X118" s="1"/>
      <c r="Y118" s="1"/>
      <c r="Z118" s="1"/>
    </row>
    <row r="119" spans="1:26" ht="15.75" customHeight="1">
      <c r="A119" s="1"/>
      <c r="B119" s="224"/>
      <c r="C119" s="224"/>
      <c r="D119" s="224"/>
      <c r="E119" s="224"/>
      <c r="F119" s="549"/>
      <c r="G119" s="224"/>
      <c r="H119" s="348"/>
      <c r="I119" s="224"/>
      <c r="J119" s="867">
        <v>867431</v>
      </c>
      <c r="K119" s="868">
        <v>88999</v>
      </c>
      <c r="L119" s="869">
        <v>0.8</v>
      </c>
      <c r="M119" s="869">
        <v>1.6</v>
      </c>
      <c r="N119" s="1"/>
      <c r="O119" s="1"/>
      <c r="P119" s="1"/>
      <c r="Q119" s="1"/>
      <c r="R119" s="1"/>
      <c r="S119" s="1"/>
      <c r="T119" s="1"/>
      <c r="U119" s="1"/>
      <c r="V119" s="1"/>
      <c r="W119" s="1"/>
      <c r="X119" s="1"/>
      <c r="Y119" s="1"/>
      <c r="Z119" s="1"/>
    </row>
    <row r="120" spans="1:26" ht="15.75" customHeight="1">
      <c r="A120" s="1"/>
      <c r="B120" s="239"/>
      <c r="C120" s="239"/>
      <c r="D120" s="239"/>
      <c r="E120" s="239"/>
      <c r="F120" s="860"/>
      <c r="G120" s="239"/>
      <c r="H120" s="859"/>
      <c r="I120" s="239"/>
      <c r="J120" s="860"/>
      <c r="K120" s="891"/>
      <c r="L120" s="861"/>
      <c r="M120" s="861"/>
      <c r="N120" s="1"/>
      <c r="O120" s="1"/>
      <c r="P120" s="1"/>
      <c r="Q120" s="1"/>
      <c r="R120" s="1"/>
      <c r="S120" s="1"/>
      <c r="T120" s="1"/>
      <c r="U120" s="1"/>
      <c r="V120" s="1"/>
      <c r="W120" s="1"/>
      <c r="X120" s="1"/>
      <c r="Y120" s="1"/>
      <c r="Z120" s="1"/>
    </row>
    <row r="121" spans="1:26" ht="15.75" customHeight="1">
      <c r="A121" s="1"/>
      <c r="B121" s="204" t="s">
        <v>479</v>
      </c>
      <c r="C121" s="205" t="s">
        <v>480</v>
      </c>
      <c r="D121" s="204"/>
      <c r="E121" s="204"/>
      <c r="F121" s="506"/>
      <c r="G121" s="204"/>
      <c r="H121" s="506"/>
      <c r="I121" s="204"/>
      <c r="J121" s="852"/>
      <c r="K121" s="581"/>
      <c r="L121" s="527"/>
      <c r="M121" s="527"/>
      <c r="N121" s="1"/>
      <c r="O121" s="1"/>
      <c r="P121" s="1"/>
      <c r="Q121" s="1"/>
      <c r="R121" s="1"/>
      <c r="S121" s="1"/>
      <c r="T121" s="1"/>
      <c r="U121" s="1"/>
      <c r="V121" s="1"/>
      <c r="W121" s="1"/>
      <c r="X121" s="1"/>
      <c r="Y121" s="1"/>
      <c r="Z121" s="1"/>
    </row>
    <row r="122" spans="1:26" ht="15.75" customHeight="1">
      <c r="A122" s="1"/>
      <c r="B122" s="210"/>
      <c r="C122" s="210" t="s">
        <v>640</v>
      </c>
      <c r="D122" s="210" t="s">
        <v>641</v>
      </c>
      <c r="E122" s="210" t="s">
        <v>310</v>
      </c>
      <c r="F122" s="515">
        <v>20000000</v>
      </c>
      <c r="G122" s="210" t="s">
        <v>634</v>
      </c>
      <c r="H122" s="209">
        <v>1020</v>
      </c>
      <c r="I122" s="210" t="s">
        <v>642</v>
      </c>
      <c r="J122" s="855">
        <f>(F122*H122)/1000000</f>
        <v>20400</v>
      </c>
      <c r="K122" s="855">
        <v>751</v>
      </c>
      <c r="L122" s="546">
        <v>8.6999999999999994E-2</v>
      </c>
      <c r="M122" s="518">
        <v>0.03</v>
      </c>
      <c r="N122" s="1"/>
      <c r="O122" s="1"/>
      <c r="P122" s="1"/>
      <c r="Q122" s="1"/>
      <c r="R122" s="1"/>
      <c r="S122" s="1"/>
      <c r="T122" s="1"/>
      <c r="U122" s="1"/>
      <c r="V122" s="1"/>
      <c r="W122" s="1"/>
      <c r="X122" s="1"/>
      <c r="Y122" s="1"/>
      <c r="Z122" s="1"/>
    </row>
    <row r="123" spans="1:26" ht="15.75" customHeight="1">
      <c r="A123" s="1"/>
      <c r="B123" s="210"/>
      <c r="C123" s="210"/>
      <c r="D123" s="210"/>
      <c r="E123" s="566"/>
      <c r="F123" s="209"/>
      <c r="G123" s="566"/>
      <c r="H123" s="209"/>
      <c r="I123" s="566"/>
      <c r="J123" s="873"/>
      <c r="K123" s="515"/>
      <c r="L123" s="548"/>
      <c r="M123" s="535"/>
      <c r="N123" s="1"/>
      <c r="O123" s="1"/>
      <c r="P123" s="1"/>
      <c r="Q123" s="1"/>
      <c r="R123" s="1"/>
      <c r="S123" s="1"/>
      <c r="T123" s="1"/>
      <c r="U123" s="1"/>
      <c r="V123" s="1"/>
      <c r="W123" s="1"/>
      <c r="X123" s="1"/>
      <c r="Y123" s="1"/>
      <c r="Z123" s="1"/>
    </row>
    <row r="124" spans="1:26" ht="15.75" customHeight="1">
      <c r="A124" s="1"/>
      <c r="B124" s="210"/>
      <c r="C124" s="210" t="s">
        <v>643</v>
      </c>
      <c r="D124" s="564" t="s">
        <v>644</v>
      </c>
      <c r="E124" s="210" t="s">
        <v>310</v>
      </c>
      <c r="F124" s="515">
        <v>220000000</v>
      </c>
      <c r="G124" s="210" t="s">
        <v>634</v>
      </c>
      <c r="H124" s="209">
        <v>1020</v>
      </c>
      <c r="I124" s="210" t="s">
        <v>642</v>
      </c>
      <c r="J124" s="871">
        <f>(F124*H124)/1000000</f>
        <v>224400</v>
      </c>
      <c r="K124" s="855">
        <v>13289</v>
      </c>
      <c r="L124" s="546">
        <v>0.252</v>
      </c>
      <c r="M124" s="518">
        <v>0.24</v>
      </c>
      <c r="N124" s="1"/>
      <c r="O124" s="1"/>
      <c r="P124" s="1"/>
      <c r="Q124" s="1"/>
      <c r="R124" s="1"/>
      <c r="S124" s="1"/>
      <c r="T124" s="1"/>
      <c r="U124" s="1"/>
      <c r="V124" s="1"/>
      <c r="W124" s="1"/>
      <c r="X124" s="1"/>
      <c r="Y124" s="1"/>
      <c r="Z124" s="1"/>
    </row>
    <row r="125" spans="1:26" ht="15.75" customHeight="1">
      <c r="A125" s="1"/>
      <c r="B125" s="210"/>
      <c r="C125" s="210"/>
      <c r="D125" s="210"/>
      <c r="E125" s="566"/>
      <c r="F125" s="209"/>
      <c r="G125" s="566"/>
      <c r="H125" s="209"/>
      <c r="I125" s="566"/>
      <c r="J125" s="873"/>
      <c r="K125" s="515"/>
      <c r="L125" s="548"/>
      <c r="M125" s="535"/>
      <c r="N125" s="1"/>
      <c r="O125" s="1"/>
      <c r="P125" s="1"/>
      <c r="Q125" s="1"/>
      <c r="R125" s="1"/>
      <c r="S125" s="1"/>
      <c r="T125" s="1"/>
      <c r="U125" s="1"/>
      <c r="V125" s="1"/>
      <c r="W125" s="1"/>
      <c r="X125" s="1"/>
      <c r="Y125" s="1"/>
      <c r="Z125" s="1"/>
    </row>
    <row r="126" spans="1:26" ht="15.75" customHeight="1">
      <c r="A126" s="1"/>
      <c r="B126" s="210"/>
      <c r="C126" s="210" t="s">
        <v>481</v>
      </c>
      <c r="D126" s="210" t="s">
        <v>482</v>
      </c>
      <c r="E126" s="210" t="s">
        <v>477</v>
      </c>
      <c r="F126" s="515">
        <v>97000</v>
      </c>
      <c r="G126" s="210" t="s">
        <v>425</v>
      </c>
      <c r="H126" s="209">
        <v>139</v>
      </c>
      <c r="I126" s="566" t="s">
        <v>464</v>
      </c>
      <c r="J126" s="871">
        <f>(F126*H126)/1000</f>
        <v>13483</v>
      </c>
      <c r="K126" s="855">
        <v>1060</v>
      </c>
      <c r="L126" s="546">
        <v>0.01</v>
      </c>
      <c r="M126" s="518">
        <v>0.01</v>
      </c>
      <c r="N126" s="1"/>
      <c r="O126" s="1"/>
      <c r="P126" s="1"/>
      <c r="Q126" s="1"/>
      <c r="R126" s="1"/>
      <c r="S126" s="1"/>
      <c r="T126" s="1"/>
      <c r="U126" s="1"/>
      <c r="V126" s="1"/>
      <c r="W126" s="1"/>
      <c r="X126" s="1"/>
      <c r="Y126" s="1"/>
      <c r="Z126" s="1"/>
    </row>
    <row r="127" spans="1:26" ht="15.75" customHeight="1">
      <c r="A127" s="1"/>
      <c r="B127" s="210"/>
      <c r="C127" s="210"/>
      <c r="D127" s="210"/>
      <c r="E127" s="566"/>
      <c r="F127" s="209"/>
      <c r="G127" s="566"/>
      <c r="H127" s="209"/>
      <c r="I127" s="566"/>
      <c r="J127" s="873"/>
      <c r="K127" s="515"/>
      <c r="L127" s="548"/>
      <c r="M127" s="535"/>
      <c r="N127" s="1"/>
      <c r="O127" s="1"/>
      <c r="P127" s="1"/>
      <c r="Q127" s="1"/>
      <c r="R127" s="1"/>
      <c r="S127" s="1"/>
      <c r="T127" s="1"/>
      <c r="U127" s="1"/>
      <c r="V127" s="1"/>
      <c r="W127" s="1"/>
      <c r="X127" s="1"/>
      <c r="Y127" s="1"/>
      <c r="Z127" s="1"/>
    </row>
    <row r="128" spans="1:26" ht="15.75" customHeight="1">
      <c r="A128" s="1"/>
      <c r="B128" s="224"/>
      <c r="C128" s="224" t="s">
        <v>483</v>
      </c>
      <c r="D128" s="224" t="s">
        <v>484</v>
      </c>
      <c r="E128" s="224" t="s">
        <v>477</v>
      </c>
      <c r="F128" s="549">
        <v>105000</v>
      </c>
      <c r="G128" s="224" t="s">
        <v>425</v>
      </c>
      <c r="H128" s="348">
        <v>139</v>
      </c>
      <c r="I128" s="570" t="s">
        <v>464</v>
      </c>
      <c r="J128" s="874">
        <f>(F128*H128)/1000</f>
        <v>14595</v>
      </c>
      <c r="K128" s="875">
        <v>1150</v>
      </c>
      <c r="L128" s="551">
        <v>1.0999999999999999E-2</v>
      </c>
      <c r="M128" s="876">
        <v>0.01</v>
      </c>
      <c r="N128" s="1"/>
      <c r="O128" s="1"/>
      <c r="P128" s="1"/>
      <c r="Q128" s="1"/>
      <c r="R128" s="1"/>
      <c r="S128" s="1"/>
      <c r="T128" s="1"/>
      <c r="U128" s="1"/>
      <c r="V128" s="1"/>
      <c r="W128" s="1"/>
      <c r="X128" s="1"/>
      <c r="Y128" s="1"/>
      <c r="Z128" s="1"/>
    </row>
    <row r="129" spans="1:26" ht="15.75" customHeight="1">
      <c r="A129" s="1"/>
      <c r="B129" s="892"/>
      <c r="C129" s="893"/>
      <c r="D129" s="893"/>
      <c r="E129" s="894"/>
      <c r="F129" s="895"/>
      <c r="G129" s="894"/>
      <c r="H129" s="895"/>
      <c r="I129" s="893"/>
      <c r="J129" s="893"/>
      <c r="K129" s="893"/>
      <c r="L129" s="893"/>
      <c r="M129" s="893"/>
      <c r="N129" s="1"/>
      <c r="O129" s="1"/>
      <c r="P129" s="1"/>
      <c r="Q129" s="1"/>
      <c r="R129" s="1"/>
      <c r="S129" s="1"/>
      <c r="T129" s="1"/>
      <c r="U129" s="1"/>
      <c r="V129" s="1"/>
      <c r="W129" s="1"/>
      <c r="X129" s="1"/>
      <c r="Y129" s="1"/>
      <c r="Z129" s="1"/>
    </row>
    <row r="130" spans="1:26" ht="15.75" customHeight="1">
      <c r="A130" s="1"/>
      <c r="B130" s="896" t="s">
        <v>485</v>
      </c>
      <c r="C130" s="897" t="s">
        <v>486</v>
      </c>
      <c r="D130" s="896"/>
      <c r="E130" s="896"/>
      <c r="F130" s="896"/>
      <c r="G130" s="896"/>
      <c r="H130" s="896"/>
      <c r="I130" s="896"/>
      <c r="J130" s="896"/>
      <c r="K130" s="896"/>
      <c r="L130" s="896"/>
      <c r="M130" s="896"/>
      <c r="N130" s="1"/>
      <c r="O130" s="1"/>
      <c r="P130" s="1"/>
      <c r="Q130" s="1"/>
      <c r="R130" s="1"/>
      <c r="S130" s="1"/>
      <c r="T130" s="1"/>
      <c r="U130" s="1"/>
      <c r="V130" s="1"/>
      <c r="W130" s="1"/>
      <c r="X130" s="1"/>
      <c r="Y130" s="1"/>
      <c r="Z130" s="1"/>
    </row>
    <row r="131" spans="1:26" ht="15.75" customHeight="1">
      <c r="A131" s="1"/>
      <c r="B131" s="210"/>
      <c r="C131" s="210" t="s">
        <v>487</v>
      </c>
      <c r="D131" s="210" t="s">
        <v>488</v>
      </c>
      <c r="E131" s="210" t="s">
        <v>613</v>
      </c>
      <c r="F131" s="898">
        <v>1482332</v>
      </c>
      <c r="G131" s="210" t="s">
        <v>425</v>
      </c>
      <c r="H131" s="898">
        <v>152352</v>
      </c>
      <c r="I131" s="210" t="s">
        <v>489</v>
      </c>
      <c r="J131" s="898">
        <f t="shared" ref="J131:J132" si="52">F131*H131/1000000</f>
        <v>225836.24486400001</v>
      </c>
      <c r="K131" s="898">
        <f>J131/J133*K133</f>
        <v>17360.296613650775</v>
      </c>
      <c r="L131" s="899">
        <f>J131/J133*L133</f>
        <v>0.20095150969389605</v>
      </c>
      <c r="M131" s="899">
        <f>J131/J133*M133</f>
        <v>0.3731956608600927</v>
      </c>
      <c r="N131" s="1"/>
      <c r="O131" s="1"/>
      <c r="P131" s="1"/>
      <c r="Q131" s="1"/>
      <c r="R131" s="1"/>
      <c r="S131" s="1"/>
      <c r="T131" s="1"/>
      <c r="U131" s="1"/>
      <c r="V131" s="1"/>
      <c r="W131" s="1"/>
      <c r="X131" s="1"/>
      <c r="Y131" s="1"/>
      <c r="Z131" s="1"/>
    </row>
    <row r="132" spans="1:26" ht="15.75" customHeight="1">
      <c r="A132" s="1"/>
      <c r="B132" s="210"/>
      <c r="C132" s="210"/>
      <c r="D132" s="210"/>
      <c r="E132" s="210" t="s">
        <v>477</v>
      </c>
      <c r="F132" s="898">
        <v>72528</v>
      </c>
      <c r="G132" s="210" t="s">
        <v>425</v>
      </c>
      <c r="H132" s="898">
        <v>140208</v>
      </c>
      <c r="I132" s="210" t="s">
        <v>489</v>
      </c>
      <c r="J132" s="898">
        <f t="shared" si="52"/>
        <v>10169.005824</v>
      </c>
      <c r="K132" s="900">
        <f>J132/J133*K133</f>
        <v>781.70338634922769</v>
      </c>
      <c r="L132" s="899">
        <f>J132/J133*L133</f>
        <v>9.0484903061039471E-3</v>
      </c>
      <c r="M132" s="899">
        <f>J132/J133*M133</f>
        <v>1.6804339139907334E-2</v>
      </c>
      <c r="N132" s="1"/>
      <c r="O132" s="1"/>
      <c r="P132" s="1"/>
      <c r="Q132" s="1"/>
      <c r="R132" s="1"/>
      <c r="S132" s="1"/>
      <c r="T132" s="1"/>
      <c r="U132" s="1"/>
      <c r="V132" s="1"/>
      <c r="W132" s="1"/>
      <c r="X132" s="1"/>
      <c r="Y132" s="1"/>
      <c r="Z132" s="1"/>
    </row>
    <row r="133" spans="1:26" ht="15.75" customHeight="1">
      <c r="A133" s="1"/>
      <c r="B133" s="210"/>
      <c r="C133" s="210"/>
      <c r="D133" s="210"/>
      <c r="E133" s="210"/>
      <c r="F133" s="210"/>
      <c r="G133" s="30"/>
      <c r="H133" s="30"/>
      <c r="I133" s="30"/>
      <c r="J133" s="901">
        <f>SUM(J131:J132)</f>
        <v>236005.250688</v>
      </c>
      <c r="K133" s="902">
        <v>18142</v>
      </c>
      <c r="L133" s="903">
        <v>0.21</v>
      </c>
      <c r="M133" s="903">
        <v>0.39</v>
      </c>
      <c r="N133" s="1"/>
      <c r="O133" s="1"/>
      <c r="P133" s="1"/>
      <c r="Q133" s="1"/>
      <c r="R133" s="1"/>
      <c r="S133" s="1"/>
      <c r="T133" s="1"/>
      <c r="U133" s="1"/>
      <c r="V133" s="1"/>
      <c r="W133" s="1"/>
      <c r="X133" s="1"/>
      <c r="Y133" s="1"/>
      <c r="Z133" s="1"/>
    </row>
    <row r="134" spans="1:26" ht="15.75" customHeight="1">
      <c r="A134" s="1"/>
      <c r="B134" s="210"/>
      <c r="C134" s="210"/>
      <c r="D134" s="210"/>
      <c r="E134" s="210"/>
      <c r="F134" s="210"/>
      <c r="G134" s="210"/>
      <c r="H134" s="210"/>
      <c r="I134" s="210"/>
      <c r="J134" s="210"/>
      <c r="K134" s="210"/>
      <c r="L134" s="210"/>
      <c r="M134" s="210"/>
      <c r="N134" s="1"/>
      <c r="O134" s="1"/>
      <c r="P134" s="1"/>
      <c r="Q134" s="1"/>
      <c r="R134" s="1"/>
      <c r="S134" s="1"/>
      <c r="T134" s="1"/>
      <c r="U134" s="1"/>
      <c r="V134" s="1"/>
      <c r="W134" s="1"/>
      <c r="X134" s="1"/>
      <c r="Y134" s="1"/>
      <c r="Z134" s="1"/>
    </row>
    <row r="135" spans="1:26" ht="15.75" customHeight="1">
      <c r="A135" s="1"/>
      <c r="B135" s="210"/>
      <c r="C135" s="210" t="s">
        <v>490</v>
      </c>
      <c r="D135" s="210" t="s">
        <v>737</v>
      </c>
      <c r="E135" s="210" t="s">
        <v>477</v>
      </c>
      <c r="F135" s="898">
        <v>17927</v>
      </c>
      <c r="G135" s="210" t="s">
        <v>425</v>
      </c>
      <c r="H135" s="898">
        <v>140163</v>
      </c>
      <c r="I135" s="210" t="s">
        <v>489</v>
      </c>
      <c r="J135" s="209">
        <f>F135*H135/1000000</f>
        <v>2512.7021009999999</v>
      </c>
      <c r="K135" s="210">
        <v>199.89</v>
      </c>
      <c r="L135" s="210">
        <v>0</v>
      </c>
      <c r="M135" s="210">
        <v>0.01</v>
      </c>
      <c r="N135" s="1"/>
      <c r="O135" s="1"/>
      <c r="P135" s="1"/>
      <c r="Q135" s="1"/>
      <c r="R135" s="1"/>
      <c r="S135" s="1"/>
      <c r="T135" s="1"/>
      <c r="U135" s="1"/>
      <c r="V135" s="1"/>
      <c r="W135" s="1"/>
      <c r="X135" s="1"/>
      <c r="Y135" s="1"/>
      <c r="Z135" s="1"/>
    </row>
    <row r="136" spans="1:26" ht="15.75" customHeight="1">
      <c r="A136" s="1"/>
      <c r="B136" s="210"/>
      <c r="C136" s="210"/>
      <c r="D136" s="210"/>
      <c r="E136" s="210"/>
      <c r="F136" s="210"/>
      <c r="G136" s="210"/>
      <c r="H136" s="210"/>
      <c r="I136" s="210"/>
      <c r="J136" s="223"/>
      <c r="K136" s="210"/>
      <c r="L136" s="210"/>
      <c r="M136" s="210"/>
      <c r="N136" s="1"/>
      <c r="O136" s="1"/>
      <c r="P136" s="1"/>
      <c r="Q136" s="1"/>
      <c r="R136" s="1"/>
      <c r="S136" s="1"/>
      <c r="T136" s="1"/>
      <c r="U136" s="1"/>
      <c r="V136" s="1"/>
      <c r="W136" s="1"/>
      <c r="X136" s="1"/>
      <c r="Y136" s="1"/>
      <c r="Z136" s="1"/>
    </row>
    <row r="137" spans="1:26" ht="15.75" customHeight="1">
      <c r="A137" s="1"/>
      <c r="B137" s="210"/>
      <c r="C137" s="210" t="s">
        <v>492</v>
      </c>
      <c r="D137" s="210" t="s">
        <v>738</v>
      </c>
      <c r="E137" s="210" t="s">
        <v>477</v>
      </c>
      <c r="F137" s="898">
        <v>36090</v>
      </c>
      <c r="G137" s="210" t="s">
        <v>425</v>
      </c>
      <c r="H137" s="898">
        <v>140085</v>
      </c>
      <c r="I137" s="210" t="s">
        <v>489</v>
      </c>
      <c r="J137" s="209">
        <f>F137*H137/1000000</f>
        <v>5055.6676500000003</v>
      </c>
      <c r="K137" s="210">
        <v>396.87</v>
      </c>
      <c r="L137" s="210">
        <v>0</v>
      </c>
      <c r="M137" s="210">
        <v>0</v>
      </c>
      <c r="N137" s="1"/>
      <c r="O137" s="1"/>
      <c r="P137" s="1"/>
      <c r="Q137" s="1"/>
      <c r="R137" s="1"/>
      <c r="S137" s="1"/>
      <c r="T137" s="1"/>
      <c r="U137" s="1"/>
      <c r="V137" s="1"/>
      <c r="W137" s="1"/>
      <c r="X137" s="1"/>
      <c r="Y137" s="1"/>
      <c r="Z137" s="1"/>
    </row>
    <row r="138" spans="1:26" ht="15.75" customHeight="1">
      <c r="A138" s="1"/>
      <c r="B138" s="904"/>
      <c r="C138" s="904"/>
      <c r="D138" s="904"/>
      <c r="E138" s="904"/>
      <c r="F138" s="904"/>
      <c r="G138" s="904"/>
      <c r="H138" s="904"/>
      <c r="I138" s="904"/>
      <c r="J138" s="904"/>
      <c r="K138" s="904"/>
      <c r="L138" s="904"/>
      <c r="M138" s="904"/>
      <c r="N138" s="1"/>
      <c r="O138" s="1"/>
      <c r="P138" s="1"/>
      <c r="Q138" s="1"/>
      <c r="R138" s="1"/>
      <c r="S138" s="1"/>
      <c r="T138" s="1"/>
      <c r="U138" s="1"/>
      <c r="V138" s="1"/>
      <c r="W138" s="1"/>
      <c r="X138" s="1"/>
      <c r="Y138" s="1"/>
      <c r="Z138" s="1"/>
    </row>
    <row r="139" spans="1:26" ht="15.75" customHeight="1">
      <c r="A139" s="1"/>
      <c r="B139" s="210"/>
      <c r="C139" s="210"/>
      <c r="D139" s="210"/>
      <c r="E139" s="210"/>
      <c r="F139" s="210"/>
      <c r="G139" s="210"/>
      <c r="H139" s="210"/>
      <c r="I139" s="210"/>
      <c r="J139" s="210"/>
      <c r="K139" s="210"/>
      <c r="L139" s="210"/>
      <c r="M139" s="210"/>
      <c r="N139" s="1"/>
      <c r="O139" s="1"/>
      <c r="P139" s="1"/>
      <c r="Q139" s="1"/>
      <c r="R139" s="1"/>
      <c r="S139" s="1"/>
      <c r="T139" s="1"/>
      <c r="U139" s="1"/>
      <c r="V139" s="1"/>
      <c r="W139" s="1"/>
      <c r="X139" s="1"/>
      <c r="Y139" s="1"/>
      <c r="Z139" s="1"/>
    </row>
    <row r="140" spans="1:26" ht="15.75" customHeight="1">
      <c r="A140" s="1"/>
      <c r="B140" s="210" t="s">
        <v>645</v>
      </c>
      <c r="C140" s="30" t="s">
        <v>739</v>
      </c>
      <c r="D140" s="210"/>
      <c r="E140" s="210"/>
      <c r="F140" s="210"/>
      <c r="G140" s="210"/>
      <c r="H140" s="210"/>
      <c r="I140" s="210"/>
      <c r="J140" s="210"/>
      <c r="K140" s="210"/>
      <c r="L140" s="210"/>
      <c r="M140" s="210"/>
      <c r="N140" s="1"/>
      <c r="O140" s="1"/>
      <c r="P140" s="1"/>
      <c r="Q140" s="1"/>
      <c r="R140" s="1"/>
      <c r="S140" s="1"/>
      <c r="T140" s="1"/>
      <c r="U140" s="1"/>
      <c r="V140" s="1"/>
      <c r="W140" s="1"/>
      <c r="X140" s="1"/>
      <c r="Y140" s="1"/>
      <c r="Z140" s="1"/>
    </row>
    <row r="141" spans="1:26" ht="15.75" customHeight="1">
      <c r="A141" s="1"/>
      <c r="B141" s="210"/>
      <c r="C141" s="210" t="s">
        <v>647</v>
      </c>
      <c r="D141" s="210" t="s">
        <v>740</v>
      </c>
      <c r="E141" s="210" t="s">
        <v>310</v>
      </c>
      <c r="F141" s="905">
        <v>8000000</v>
      </c>
      <c r="G141" s="210" t="s">
        <v>634</v>
      </c>
      <c r="H141" s="898">
        <v>1027</v>
      </c>
      <c r="I141" s="210" t="s">
        <v>741</v>
      </c>
      <c r="J141" s="898">
        <f>F141*H141/1000000</f>
        <v>8216</v>
      </c>
      <c r="K141" s="210">
        <v>410</v>
      </c>
      <c r="L141" s="210">
        <v>0.03</v>
      </c>
      <c r="M141" s="210">
        <v>0.01</v>
      </c>
      <c r="N141" s="1"/>
      <c r="O141" s="1"/>
      <c r="P141" s="1"/>
      <c r="Q141" s="1"/>
      <c r="R141" s="1"/>
      <c r="S141" s="1"/>
      <c r="T141" s="1"/>
      <c r="U141" s="1"/>
      <c r="V141" s="1"/>
      <c r="W141" s="1"/>
      <c r="X141" s="1"/>
      <c r="Y141" s="1"/>
      <c r="Z141" s="1"/>
    </row>
    <row r="142" spans="1:26" ht="15.75" customHeight="1">
      <c r="A142" s="1"/>
      <c r="B142" s="904"/>
      <c r="C142" s="904"/>
      <c r="D142" s="904"/>
      <c r="E142" s="904"/>
      <c r="F142" s="904"/>
      <c r="G142" s="904"/>
      <c r="H142" s="904"/>
      <c r="I142" s="904"/>
      <c r="J142" s="904"/>
      <c r="K142" s="904"/>
      <c r="L142" s="904"/>
      <c r="M142" s="904"/>
      <c r="N142" s="1"/>
      <c r="O142" s="1"/>
      <c r="P142" s="1"/>
      <c r="Q142" s="1"/>
      <c r="R142" s="1"/>
      <c r="S142" s="1"/>
      <c r="T142" s="1"/>
      <c r="U142" s="1"/>
      <c r="V142" s="1"/>
      <c r="W142" s="1"/>
      <c r="X142" s="1"/>
      <c r="Y142" s="1"/>
      <c r="Z142" s="1"/>
    </row>
    <row r="143" spans="1:26" ht="15.75" customHeight="1">
      <c r="A143" s="1"/>
      <c r="B143" s="210"/>
      <c r="C143" s="210"/>
      <c r="D143" s="210"/>
      <c r="E143" s="210"/>
      <c r="F143" s="210"/>
      <c r="G143" s="210"/>
      <c r="H143" s="210"/>
      <c r="I143" s="210"/>
      <c r="J143" s="210"/>
      <c r="K143" s="210"/>
      <c r="L143" s="210"/>
      <c r="M143" s="210"/>
      <c r="N143" s="1"/>
      <c r="O143" s="1"/>
      <c r="P143" s="1"/>
      <c r="Q143" s="1"/>
      <c r="R143" s="1"/>
      <c r="S143" s="1"/>
      <c r="T143" s="1"/>
      <c r="U143" s="1"/>
      <c r="V143" s="1"/>
      <c r="W143" s="1"/>
      <c r="X143" s="1"/>
      <c r="Y143" s="1"/>
      <c r="Z143" s="1"/>
    </row>
    <row r="144" spans="1:26" ht="15.75" customHeight="1">
      <c r="A144" s="1"/>
      <c r="B144" s="210" t="s">
        <v>397</v>
      </c>
      <c r="C144" s="30" t="s">
        <v>398</v>
      </c>
      <c r="D144" s="210"/>
      <c r="E144" s="210"/>
      <c r="F144" s="210"/>
      <c r="G144" s="210"/>
      <c r="H144" s="210"/>
      <c r="I144" s="210"/>
      <c r="J144" s="210"/>
      <c r="K144" s="210"/>
      <c r="L144" s="210"/>
      <c r="M144" s="210"/>
      <c r="N144" s="1"/>
      <c r="O144" s="1"/>
      <c r="P144" s="1"/>
      <c r="Q144" s="1"/>
      <c r="R144" s="1"/>
      <c r="S144" s="1"/>
      <c r="T144" s="1"/>
      <c r="U144" s="1"/>
      <c r="V144" s="1"/>
      <c r="W144" s="1"/>
      <c r="X144" s="1"/>
      <c r="Y144" s="1"/>
      <c r="Z144" s="1"/>
    </row>
    <row r="145" spans="1:26" ht="15.75" customHeight="1">
      <c r="A145" s="1"/>
      <c r="B145" s="210"/>
      <c r="C145" s="210" t="s">
        <v>399</v>
      </c>
      <c r="D145" s="210" t="s">
        <v>400</v>
      </c>
      <c r="E145" s="210" t="s">
        <v>293</v>
      </c>
      <c r="F145" s="898">
        <v>161730</v>
      </c>
      <c r="G145" s="210" t="s">
        <v>364</v>
      </c>
      <c r="H145" s="898">
        <v>12900</v>
      </c>
      <c r="I145" s="210" t="s">
        <v>365</v>
      </c>
      <c r="J145" s="209">
        <f>F145*H145*2000/1000000</f>
        <v>4172634</v>
      </c>
      <c r="K145" s="209">
        <f>J145/J147*K147</f>
        <v>406756.89772644348</v>
      </c>
      <c r="L145" s="906">
        <f>J145/J147*L147</f>
        <v>2.9739850923786126</v>
      </c>
      <c r="M145" s="906">
        <f>J145/J147*M147</f>
        <v>6.3445015304077073</v>
      </c>
      <c r="N145" s="1"/>
      <c r="O145" s="1"/>
      <c r="P145" s="1"/>
      <c r="Q145" s="1"/>
      <c r="R145" s="1"/>
      <c r="S145" s="1"/>
      <c r="T145" s="1"/>
      <c r="U145" s="1"/>
      <c r="V145" s="1"/>
      <c r="W145" s="1"/>
      <c r="X145" s="1"/>
      <c r="Y145" s="1"/>
      <c r="Z145" s="1"/>
    </row>
    <row r="146" spans="1:26" ht="15.75" customHeight="1">
      <c r="A146" s="1"/>
      <c r="B146" s="210"/>
      <c r="C146" s="210"/>
      <c r="D146" s="210"/>
      <c r="E146" s="210" t="s">
        <v>477</v>
      </c>
      <c r="F146" s="898">
        <v>262249</v>
      </c>
      <c r="G146" s="210" t="s">
        <v>425</v>
      </c>
      <c r="H146" s="898">
        <v>139181</v>
      </c>
      <c r="I146" s="210" t="s">
        <v>489</v>
      </c>
      <c r="J146" s="209">
        <f>F146*H146/1000000</f>
        <v>36500.078069000003</v>
      </c>
      <c r="K146" s="209">
        <f>J146/J147*K147</f>
        <v>3558.102273556568</v>
      </c>
      <c r="L146" s="906">
        <f>J146/J147*L147</f>
        <v>2.6014907621387723E-2</v>
      </c>
      <c r="M146" s="906">
        <f>J146/J147*M147</f>
        <v>5.5498469592293813E-2</v>
      </c>
      <c r="N146" s="1"/>
      <c r="O146" s="1"/>
      <c r="P146" s="1"/>
      <c r="Q146" s="1"/>
      <c r="R146" s="1"/>
      <c r="S146" s="1"/>
      <c r="T146" s="1"/>
      <c r="U146" s="1"/>
      <c r="V146" s="1"/>
      <c r="W146" s="1"/>
      <c r="X146" s="1"/>
      <c r="Y146" s="1"/>
      <c r="Z146" s="1"/>
    </row>
    <row r="147" spans="1:26" ht="15.75" customHeight="1">
      <c r="A147" s="1"/>
      <c r="B147" s="210"/>
      <c r="C147" s="210"/>
      <c r="D147" s="210"/>
      <c r="E147" s="210"/>
      <c r="F147" s="210"/>
      <c r="G147" s="210"/>
      <c r="H147" s="210"/>
      <c r="I147" s="210"/>
      <c r="J147" s="209">
        <f>SUM(J145:J146)</f>
        <v>4209134.0780689996</v>
      </c>
      <c r="K147" s="902">
        <v>410315</v>
      </c>
      <c r="L147" s="907">
        <v>3</v>
      </c>
      <c r="M147" s="907">
        <v>6.4</v>
      </c>
      <c r="N147" s="1"/>
      <c r="O147" s="1"/>
      <c r="P147" s="1"/>
      <c r="Q147" s="1"/>
      <c r="R147" s="1"/>
      <c r="S147" s="1"/>
      <c r="T147" s="1"/>
      <c r="U147" s="1"/>
      <c r="V147" s="1"/>
      <c r="W147" s="1"/>
      <c r="X147" s="1"/>
      <c r="Y147" s="1"/>
      <c r="Z147" s="1"/>
    </row>
    <row r="148" spans="1:26" ht="15.75" customHeight="1">
      <c r="A148" s="1"/>
      <c r="B148" s="210"/>
      <c r="C148" s="210"/>
      <c r="D148" s="210"/>
      <c r="E148" s="210"/>
      <c r="F148" s="210"/>
      <c r="G148" s="210"/>
      <c r="H148" s="210"/>
      <c r="I148" s="210"/>
      <c r="J148" s="210"/>
      <c r="K148" s="210"/>
      <c r="L148" s="210"/>
      <c r="M148" s="210"/>
      <c r="N148" s="1"/>
      <c r="O148" s="1"/>
      <c r="P148" s="1"/>
      <c r="Q148" s="1"/>
      <c r="R148" s="1"/>
      <c r="S148" s="1"/>
      <c r="T148" s="1"/>
      <c r="U148" s="1"/>
      <c r="V148" s="1"/>
      <c r="W148" s="1"/>
      <c r="X148" s="1"/>
      <c r="Y148" s="1"/>
      <c r="Z148" s="1"/>
    </row>
    <row r="149" spans="1:26" ht="15.75" customHeight="1">
      <c r="A149" s="1"/>
      <c r="B149" s="210"/>
      <c r="C149" s="210" t="s">
        <v>401</v>
      </c>
      <c r="D149" s="210" t="s">
        <v>402</v>
      </c>
      <c r="E149" s="210" t="s">
        <v>293</v>
      </c>
      <c r="F149" s="898">
        <v>198171</v>
      </c>
      <c r="G149" s="210" t="s">
        <v>364</v>
      </c>
      <c r="H149" s="898">
        <v>12891</v>
      </c>
      <c r="I149" s="210" t="s">
        <v>365</v>
      </c>
      <c r="J149" s="209">
        <f>F149*H149*2000/1000000</f>
        <v>5109244.7220000001</v>
      </c>
      <c r="K149" s="209">
        <f>J149/J151*K151</f>
        <v>520348.90453150572</v>
      </c>
      <c r="L149" s="906">
        <f>J149/J151*L151</f>
        <v>3.8009415962856519</v>
      </c>
      <c r="M149" s="906">
        <f>J149/J151*M151</f>
        <v>8.1377861852590971</v>
      </c>
      <c r="N149" s="1"/>
      <c r="O149" s="1"/>
      <c r="P149" s="1"/>
      <c r="Q149" s="1"/>
      <c r="R149" s="1"/>
      <c r="S149" s="1"/>
      <c r="T149" s="1"/>
      <c r="U149" s="1"/>
      <c r="V149" s="1"/>
      <c r="W149" s="1"/>
      <c r="X149" s="1"/>
      <c r="Y149" s="1"/>
      <c r="Z149" s="1"/>
    </row>
    <row r="150" spans="1:26" ht="15.75" customHeight="1">
      <c r="A150" s="1"/>
      <c r="B150" s="210"/>
      <c r="C150" s="210"/>
      <c r="D150" s="210"/>
      <c r="E150" s="210" t="s">
        <v>477</v>
      </c>
      <c r="F150" s="898">
        <v>280645</v>
      </c>
      <c r="G150" s="210" t="s">
        <v>425</v>
      </c>
      <c r="H150" s="898">
        <v>139181</v>
      </c>
      <c r="I150" s="210" t="s">
        <v>489</v>
      </c>
      <c r="J150" s="209">
        <f>F150*H150/1000000</f>
        <v>39060.451744999998</v>
      </c>
      <c r="K150" s="209">
        <f>J150/J151*K151</f>
        <v>3978.0954684942749</v>
      </c>
      <c r="L150" s="906">
        <f>J150/J151*L151</f>
        <v>2.9058403714348247E-2</v>
      </c>
      <c r="M150" s="906">
        <f>J150/J151*M151</f>
        <v>6.2213814740902249E-2</v>
      </c>
      <c r="N150" s="1"/>
      <c r="O150" s="1"/>
      <c r="P150" s="1"/>
      <c r="Q150" s="1"/>
      <c r="R150" s="1"/>
      <c r="S150" s="1"/>
      <c r="T150" s="1"/>
      <c r="U150" s="1"/>
      <c r="V150" s="1"/>
      <c r="W150" s="1"/>
      <c r="X150" s="1"/>
      <c r="Y150" s="1"/>
      <c r="Z150" s="1"/>
    </row>
    <row r="151" spans="1:26" ht="15.75" customHeight="1">
      <c r="A151" s="1"/>
      <c r="B151" s="210"/>
      <c r="C151" s="210"/>
      <c r="D151" s="210"/>
      <c r="E151" s="210"/>
      <c r="F151" s="210"/>
      <c r="G151" s="210"/>
      <c r="H151" s="210"/>
      <c r="I151" s="210"/>
      <c r="J151" s="209">
        <f>SUM(J149:J150)</f>
        <v>5148305.1737449998</v>
      </c>
      <c r="K151" s="902">
        <v>524327</v>
      </c>
      <c r="L151" s="908">
        <v>3.83</v>
      </c>
      <c r="M151" s="908">
        <v>8.1999999999999993</v>
      </c>
      <c r="N151" s="1"/>
      <c r="O151" s="1"/>
      <c r="P151" s="1"/>
      <c r="Q151" s="1"/>
      <c r="R151" s="1"/>
      <c r="S151" s="1"/>
      <c r="T151" s="1"/>
      <c r="U151" s="1"/>
      <c r="V151" s="1"/>
      <c r="W151" s="1"/>
      <c r="X151" s="1"/>
      <c r="Y151" s="1"/>
      <c r="Z151" s="1"/>
    </row>
    <row r="152" spans="1:26" ht="15.75" customHeight="1">
      <c r="A152" s="1"/>
      <c r="B152" s="210"/>
      <c r="C152" s="210"/>
      <c r="D152" s="210"/>
      <c r="E152" s="210"/>
      <c r="F152" s="210"/>
      <c r="G152" s="210"/>
      <c r="H152" s="210"/>
      <c r="I152" s="210"/>
      <c r="J152" s="210"/>
      <c r="K152" s="210"/>
      <c r="L152" s="210"/>
      <c r="M152" s="210"/>
      <c r="N152" s="1"/>
      <c r="O152" s="1"/>
      <c r="P152" s="1"/>
      <c r="Q152" s="1"/>
      <c r="R152" s="1"/>
      <c r="S152" s="1"/>
      <c r="T152" s="1"/>
      <c r="U152" s="1"/>
      <c r="V152" s="1"/>
      <c r="W152" s="1"/>
      <c r="X152" s="1"/>
      <c r="Y152" s="1"/>
      <c r="Z152" s="1"/>
    </row>
    <row r="153" spans="1:26" ht="15.75" customHeight="1">
      <c r="A153" s="1"/>
      <c r="B153" s="210"/>
      <c r="C153" s="210" t="s">
        <v>403</v>
      </c>
      <c r="D153" s="210" t="s">
        <v>404</v>
      </c>
      <c r="E153" s="210" t="s">
        <v>293</v>
      </c>
      <c r="F153" s="898">
        <v>197128</v>
      </c>
      <c r="G153" s="210" t="s">
        <v>364</v>
      </c>
      <c r="H153" s="898">
        <v>12895</v>
      </c>
      <c r="I153" s="210" t="s">
        <v>365</v>
      </c>
      <c r="J153" s="209">
        <f>F153*H153*2000/1000000</f>
        <v>5083931.12</v>
      </c>
      <c r="K153" s="209">
        <f>J153/J155*K155</f>
        <v>512116.49878776021</v>
      </c>
      <c r="L153" s="899">
        <f>J153/J155*L155</f>
        <v>3.7435053649600403</v>
      </c>
      <c r="M153" s="899">
        <f>J153/J155*M155</f>
        <v>7.9437779627799259</v>
      </c>
      <c r="N153" s="1"/>
      <c r="O153" s="1"/>
      <c r="P153" s="1"/>
      <c r="Q153" s="1"/>
      <c r="R153" s="1"/>
      <c r="S153" s="1"/>
      <c r="T153" s="1"/>
      <c r="U153" s="1"/>
      <c r="V153" s="1"/>
      <c r="W153" s="1"/>
      <c r="X153" s="1"/>
      <c r="Y153" s="1"/>
      <c r="Z153" s="1"/>
    </row>
    <row r="154" spans="1:26" ht="15.75" customHeight="1">
      <c r="A154" s="1"/>
      <c r="B154" s="210"/>
      <c r="C154" s="210"/>
      <c r="D154" s="210"/>
      <c r="E154" s="210" t="s">
        <v>477</v>
      </c>
      <c r="F154" s="898">
        <v>258523</v>
      </c>
      <c r="G154" s="210" t="s">
        <v>425</v>
      </c>
      <c r="H154" s="898">
        <v>139181</v>
      </c>
      <c r="I154" s="210" t="s">
        <v>489</v>
      </c>
      <c r="J154" s="209">
        <f>F154*H154/1000000</f>
        <v>35981.489663</v>
      </c>
      <c r="K154" s="209">
        <f>J154/J155*K155</f>
        <v>3624.5012122397807</v>
      </c>
      <c r="L154" s="899">
        <f>J154/J155*L155</f>
        <v>2.6494635039959927E-2</v>
      </c>
      <c r="M154" s="899">
        <f>J154/J155*M155</f>
        <v>5.6222037220074114E-2</v>
      </c>
      <c r="N154" s="1"/>
      <c r="O154" s="1"/>
      <c r="P154" s="1"/>
      <c r="Q154" s="1"/>
      <c r="R154" s="1"/>
      <c r="S154" s="1"/>
      <c r="T154" s="1"/>
      <c r="U154" s="1"/>
      <c r="V154" s="1"/>
      <c r="W154" s="1"/>
      <c r="X154" s="1"/>
      <c r="Y154" s="1"/>
      <c r="Z154" s="1"/>
    </row>
    <row r="155" spans="1:26" ht="15.75" customHeight="1">
      <c r="A155" s="1"/>
      <c r="B155" s="210"/>
      <c r="C155" s="210"/>
      <c r="D155" s="210"/>
      <c r="E155" s="210"/>
      <c r="F155" s="210"/>
      <c r="G155" s="210"/>
      <c r="H155" s="210"/>
      <c r="I155" s="210"/>
      <c r="J155" s="209">
        <f>SUM(J153:J154)</f>
        <v>5119912.6096630003</v>
      </c>
      <c r="K155" s="902">
        <v>515741</v>
      </c>
      <c r="L155" s="908">
        <v>3.77</v>
      </c>
      <c r="M155" s="908">
        <v>8</v>
      </c>
      <c r="N155" s="1"/>
      <c r="O155" s="1"/>
      <c r="P155" s="1"/>
      <c r="Q155" s="1"/>
      <c r="R155" s="1"/>
      <c r="S155" s="1"/>
      <c r="T155" s="1"/>
      <c r="U155" s="1"/>
      <c r="V155" s="1"/>
      <c r="W155" s="1"/>
      <c r="X155" s="1"/>
      <c r="Y155" s="1"/>
      <c r="Z155" s="1"/>
    </row>
    <row r="156" spans="1:26" ht="15.75" customHeight="1">
      <c r="A156" s="1"/>
      <c r="B156" s="210"/>
      <c r="C156" s="210"/>
      <c r="D156" s="210"/>
      <c r="E156" s="210"/>
      <c r="F156" s="210"/>
      <c r="G156" s="210"/>
      <c r="H156" s="210"/>
      <c r="I156" s="210"/>
      <c r="J156" s="210"/>
      <c r="K156" s="210"/>
      <c r="L156" s="210"/>
      <c r="M156" s="210"/>
      <c r="N156" s="1"/>
      <c r="O156" s="1"/>
      <c r="P156" s="1"/>
      <c r="Q156" s="1"/>
      <c r="R156" s="1"/>
      <c r="S156" s="1"/>
      <c r="T156" s="1"/>
      <c r="U156" s="1"/>
      <c r="V156" s="1"/>
      <c r="W156" s="1"/>
      <c r="X156" s="1"/>
      <c r="Y156" s="1"/>
      <c r="Z156" s="1"/>
    </row>
    <row r="157" spans="1:26" ht="15.75" customHeight="1">
      <c r="A157" s="1"/>
      <c r="B157" s="210"/>
      <c r="C157" s="210" t="s">
        <v>493</v>
      </c>
      <c r="D157" s="210" t="s">
        <v>738</v>
      </c>
      <c r="E157" s="210" t="s">
        <v>477</v>
      </c>
      <c r="F157" s="898">
        <v>25757</v>
      </c>
      <c r="G157" s="210" t="s">
        <v>425</v>
      </c>
      <c r="H157" s="898">
        <v>139181</v>
      </c>
      <c r="I157" s="210"/>
      <c r="J157" s="223">
        <f>F157*H157/1000000</f>
        <v>3584.8850170000001</v>
      </c>
      <c r="K157" s="210">
        <v>293</v>
      </c>
      <c r="L157" s="210">
        <v>6.9999999999999999E-4</v>
      </c>
      <c r="M157" s="210">
        <v>0.01</v>
      </c>
      <c r="N157" s="1"/>
      <c r="O157" s="1"/>
      <c r="P157" s="1"/>
      <c r="Q157" s="1"/>
      <c r="R157" s="1"/>
      <c r="S157" s="1"/>
      <c r="T157" s="1"/>
      <c r="U157" s="1"/>
      <c r="V157" s="1"/>
      <c r="W157" s="1"/>
      <c r="X157" s="1"/>
      <c r="Y157" s="1"/>
      <c r="Z157" s="1"/>
    </row>
    <row r="158" spans="1:26" ht="15.75" customHeight="1">
      <c r="A158" s="1"/>
      <c r="B158" s="210"/>
      <c r="C158" s="210"/>
      <c r="D158" s="210"/>
      <c r="E158" s="210"/>
      <c r="F158" s="210"/>
      <c r="G158" s="210"/>
      <c r="H158" s="210"/>
      <c r="I158" s="210"/>
      <c r="J158" s="210"/>
      <c r="K158" s="210"/>
      <c r="L158" s="210"/>
      <c r="M158" s="210"/>
      <c r="N158" s="1"/>
      <c r="O158" s="1"/>
      <c r="P158" s="1"/>
      <c r="Q158" s="1"/>
      <c r="R158" s="1"/>
      <c r="S158" s="1"/>
      <c r="T158" s="1"/>
      <c r="U158" s="1"/>
      <c r="V158" s="1"/>
      <c r="W158" s="1"/>
      <c r="X158" s="1"/>
      <c r="Y158" s="1"/>
      <c r="Z158" s="1"/>
    </row>
    <row r="159" spans="1:26" ht="15.75" customHeight="1">
      <c r="A159" s="1"/>
      <c r="B159" s="904"/>
      <c r="C159" s="904"/>
      <c r="D159" s="904"/>
      <c r="E159" s="904"/>
      <c r="F159" s="904"/>
      <c r="G159" s="904"/>
      <c r="H159" s="904"/>
      <c r="I159" s="904"/>
      <c r="J159" s="904"/>
      <c r="K159" s="904"/>
      <c r="L159" s="904"/>
      <c r="M159" s="904"/>
      <c r="N159" s="1"/>
      <c r="O159" s="1"/>
      <c r="P159" s="1"/>
      <c r="Q159" s="1"/>
      <c r="R159" s="1"/>
      <c r="S159" s="1"/>
      <c r="T159" s="1"/>
      <c r="U159" s="1"/>
      <c r="V159" s="1"/>
      <c r="W159" s="1"/>
      <c r="X159" s="1"/>
      <c r="Y159" s="1"/>
      <c r="Z159" s="1"/>
    </row>
    <row r="160" spans="1:26" ht="15.75" customHeight="1">
      <c r="A160" s="1"/>
      <c r="B160" s="210"/>
      <c r="C160" s="210"/>
      <c r="D160" s="210"/>
      <c r="E160" s="210"/>
      <c r="F160" s="210"/>
      <c r="G160" s="210"/>
      <c r="H160" s="210"/>
      <c r="I160" s="210"/>
      <c r="J160" s="210"/>
      <c r="K160" s="210"/>
      <c r="L160" s="210"/>
      <c r="M160" s="210"/>
      <c r="N160" s="1"/>
      <c r="O160" s="1"/>
      <c r="P160" s="1"/>
      <c r="Q160" s="1"/>
      <c r="R160" s="1"/>
      <c r="S160" s="1"/>
      <c r="T160" s="1"/>
      <c r="U160" s="1"/>
      <c r="V160" s="1"/>
      <c r="W160" s="1"/>
      <c r="X160" s="1"/>
      <c r="Y160" s="1"/>
      <c r="Z160" s="1"/>
    </row>
    <row r="161" spans="1:26" ht="15.75" customHeight="1">
      <c r="A161" s="1"/>
      <c r="B161" s="210" t="s">
        <v>496</v>
      </c>
      <c r="C161" s="30" t="s">
        <v>497</v>
      </c>
      <c r="D161" s="210"/>
      <c r="E161" s="210"/>
      <c r="F161" s="210"/>
      <c r="G161" s="210"/>
      <c r="H161" s="210"/>
      <c r="I161" s="210"/>
      <c r="J161" s="210"/>
      <c r="K161" s="210"/>
      <c r="L161" s="210"/>
      <c r="M161" s="210"/>
      <c r="N161" s="1"/>
      <c r="O161" s="1"/>
      <c r="P161" s="1"/>
      <c r="Q161" s="1"/>
      <c r="R161" s="1"/>
      <c r="S161" s="1"/>
      <c r="T161" s="1"/>
      <c r="U161" s="1"/>
      <c r="V161" s="1"/>
      <c r="W161" s="1"/>
      <c r="X161" s="1"/>
      <c r="Y161" s="1"/>
      <c r="Z161" s="1"/>
    </row>
    <row r="162" spans="1:26" ht="15.75" customHeight="1">
      <c r="A162" s="1"/>
      <c r="B162" s="210"/>
      <c r="C162" s="210" t="s">
        <v>498</v>
      </c>
      <c r="D162" s="210" t="s">
        <v>742</v>
      </c>
      <c r="E162" s="210" t="s">
        <v>310</v>
      </c>
      <c r="F162" s="898">
        <v>150625000</v>
      </c>
      <c r="G162" s="210" t="s">
        <v>634</v>
      </c>
      <c r="H162" s="898">
        <v>1032</v>
      </c>
      <c r="I162" s="210" t="s">
        <v>743</v>
      </c>
      <c r="J162" s="209">
        <f t="shared" ref="J162:J163" si="53">F162*H162/1000000</f>
        <v>155445</v>
      </c>
      <c r="K162" s="209">
        <f>J162/J164*K164</f>
        <v>7682.9804922914709</v>
      </c>
      <c r="L162" s="899">
        <f>J162/J164*L164</f>
        <v>0.62769448466433575</v>
      </c>
      <c r="M162" s="899">
        <f>J162/J164*M164</f>
        <v>0.26901192199900104</v>
      </c>
      <c r="N162" s="1"/>
      <c r="O162" s="1"/>
      <c r="P162" s="1"/>
      <c r="Q162" s="1"/>
      <c r="R162" s="1"/>
      <c r="S162" s="1"/>
      <c r="T162" s="1"/>
      <c r="U162" s="1"/>
      <c r="V162" s="1"/>
      <c r="W162" s="1"/>
      <c r="X162" s="1"/>
      <c r="Y162" s="1"/>
      <c r="Z162" s="1"/>
    </row>
    <row r="163" spans="1:26" ht="15.75" customHeight="1">
      <c r="A163" s="1"/>
      <c r="B163" s="210"/>
      <c r="C163" s="210"/>
      <c r="D163" s="210"/>
      <c r="E163" s="210" t="s">
        <v>477</v>
      </c>
      <c r="F163" s="898">
        <v>128653</v>
      </c>
      <c r="G163" s="210" t="s">
        <v>425</v>
      </c>
      <c r="H163" s="898">
        <v>139181</v>
      </c>
      <c r="I163" s="210" t="s">
        <v>489</v>
      </c>
      <c r="J163" s="209">
        <f t="shared" si="53"/>
        <v>17906.053193</v>
      </c>
      <c r="K163" s="209">
        <f>J163/J164*K164</f>
        <v>885.01950770852966</v>
      </c>
      <c r="L163" s="899">
        <f>J163/J164*L164</f>
        <v>7.2305515335664192E-2</v>
      </c>
      <c r="M163" s="899">
        <f>J163/J164*M164</f>
        <v>3.0988078000998939E-2</v>
      </c>
      <c r="N163" s="1"/>
      <c r="O163" s="1"/>
      <c r="P163" s="1"/>
      <c r="Q163" s="1"/>
      <c r="R163" s="1"/>
      <c r="S163" s="1"/>
      <c r="T163" s="1"/>
      <c r="U163" s="1"/>
      <c r="V163" s="1"/>
      <c r="W163" s="1"/>
      <c r="X163" s="1"/>
      <c r="Y163" s="1"/>
      <c r="Z163" s="1"/>
    </row>
    <row r="164" spans="1:26" ht="15.75" customHeight="1">
      <c r="A164" s="1"/>
      <c r="B164" s="210"/>
      <c r="C164" s="210"/>
      <c r="D164" s="210"/>
      <c r="E164" s="210"/>
      <c r="F164" s="210"/>
      <c r="G164" s="210"/>
      <c r="H164" s="210"/>
      <c r="I164" s="210"/>
      <c r="J164" s="209">
        <f>SUM(J162:J163)</f>
        <v>173351.053193</v>
      </c>
      <c r="K164" s="902">
        <v>8568</v>
      </c>
      <c r="L164" s="908">
        <v>0.7</v>
      </c>
      <c r="M164" s="908">
        <v>0.3</v>
      </c>
      <c r="N164" s="1"/>
      <c r="O164" s="1"/>
      <c r="P164" s="1"/>
      <c r="Q164" s="1"/>
      <c r="R164" s="1"/>
      <c r="S164" s="1"/>
      <c r="T164" s="1"/>
      <c r="U164" s="1"/>
      <c r="V164" s="1"/>
      <c r="W164" s="1"/>
      <c r="X164" s="1"/>
      <c r="Y164" s="1"/>
      <c r="Z164" s="1"/>
    </row>
    <row r="165" spans="1:26" ht="15.75" customHeight="1">
      <c r="A165" s="1"/>
      <c r="B165" s="210"/>
      <c r="C165" s="210"/>
      <c r="D165" s="210"/>
      <c r="E165" s="210"/>
      <c r="F165" s="210"/>
      <c r="G165" s="210"/>
      <c r="H165" s="210"/>
      <c r="I165" s="210"/>
      <c r="J165" s="210"/>
      <c r="K165" s="210"/>
      <c r="L165" s="210"/>
      <c r="M165" s="210"/>
      <c r="N165" s="1"/>
      <c r="O165" s="1"/>
      <c r="P165" s="1"/>
      <c r="Q165" s="1"/>
      <c r="R165" s="1"/>
      <c r="S165" s="1"/>
      <c r="T165" s="1"/>
      <c r="U165" s="1"/>
      <c r="V165" s="1"/>
      <c r="W165" s="1"/>
      <c r="X165" s="1"/>
      <c r="Y165" s="1"/>
      <c r="Z165" s="1"/>
    </row>
    <row r="166" spans="1:26" ht="15.75" customHeight="1">
      <c r="A166" s="1"/>
      <c r="B166" s="210"/>
      <c r="C166" s="210"/>
      <c r="D166" s="210" t="s">
        <v>442</v>
      </c>
      <c r="E166" s="210" t="s">
        <v>310</v>
      </c>
      <c r="F166" s="898">
        <v>206653000</v>
      </c>
      <c r="G166" s="210" t="s">
        <v>634</v>
      </c>
      <c r="H166" s="898">
        <v>1032</v>
      </c>
      <c r="I166" s="210" t="s">
        <v>743</v>
      </c>
      <c r="J166" s="209">
        <f t="shared" ref="J166:J167" si="54">F166*H166/1000000</f>
        <v>213265.89600000001</v>
      </c>
      <c r="K166" s="209">
        <f>J166/J168*K168</f>
        <v>10136.750086008988</v>
      </c>
      <c r="L166" s="909">
        <f>J166/J168*L168</f>
        <v>0.83575257213339038</v>
      </c>
      <c r="M166" s="909">
        <f>J166/J168*M168</f>
        <v>0.37144558761484014</v>
      </c>
      <c r="N166" s="1"/>
      <c r="O166" s="1"/>
      <c r="P166" s="1"/>
      <c r="Q166" s="1"/>
      <c r="R166" s="1"/>
      <c r="S166" s="1"/>
      <c r="T166" s="1"/>
      <c r="U166" s="1"/>
      <c r="V166" s="1"/>
      <c r="W166" s="1"/>
      <c r="X166" s="1"/>
      <c r="Y166" s="1"/>
      <c r="Z166" s="1"/>
    </row>
    <row r="167" spans="1:26" ht="15.75" customHeight="1">
      <c r="A167" s="1"/>
      <c r="B167" s="210"/>
      <c r="C167" s="210"/>
      <c r="D167" s="210"/>
      <c r="E167" s="210" t="s">
        <v>744</v>
      </c>
      <c r="F167" s="898">
        <v>117793</v>
      </c>
      <c r="G167" s="210" t="s">
        <v>425</v>
      </c>
      <c r="H167" s="898">
        <v>139181</v>
      </c>
      <c r="I167" s="210" t="s">
        <v>489</v>
      </c>
      <c r="J167" s="209">
        <f t="shared" si="54"/>
        <v>16394.547533000001</v>
      </c>
      <c r="K167" s="209">
        <f>J167/J168*K168</f>
        <v>779.24991399101225</v>
      </c>
      <c r="L167" s="909">
        <f>J167/J168*L168</f>
        <v>6.4247427866609669E-2</v>
      </c>
      <c r="M167" s="909">
        <f>J167/J168*M168</f>
        <v>2.855441238515985E-2</v>
      </c>
      <c r="N167" s="1"/>
      <c r="O167" s="1"/>
      <c r="P167" s="1"/>
      <c r="Q167" s="1"/>
      <c r="R167" s="1"/>
      <c r="S167" s="1"/>
      <c r="T167" s="1"/>
      <c r="U167" s="1"/>
      <c r="V167" s="1"/>
      <c r="W167" s="1"/>
      <c r="X167" s="1"/>
      <c r="Y167" s="1"/>
      <c r="Z167" s="1"/>
    </row>
    <row r="168" spans="1:26" ht="15.75" customHeight="1">
      <c r="A168" s="1"/>
      <c r="B168" s="210"/>
      <c r="C168" s="210"/>
      <c r="D168" s="210"/>
      <c r="E168" s="210"/>
      <c r="F168" s="210"/>
      <c r="G168" s="210"/>
      <c r="H168" s="210"/>
      <c r="I168" s="210"/>
      <c r="J168" s="209">
        <f>SUM(J166:J167)</f>
        <v>229660.44353300001</v>
      </c>
      <c r="K168" s="902">
        <v>10916</v>
      </c>
      <c r="L168" s="903">
        <v>0.9</v>
      </c>
      <c r="M168" s="903">
        <v>0.4</v>
      </c>
      <c r="N168" s="1"/>
      <c r="O168" s="1"/>
      <c r="P168" s="1"/>
      <c r="Q168" s="1"/>
      <c r="R168" s="1"/>
      <c r="S168" s="1"/>
      <c r="T168" s="1"/>
      <c r="U168" s="1"/>
      <c r="V168" s="1"/>
      <c r="W168" s="1"/>
      <c r="X168" s="1"/>
      <c r="Y168" s="1"/>
      <c r="Z168" s="1"/>
    </row>
    <row r="169" spans="1:26" ht="15.75" customHeight="1">
      <c r="A169" s="1"/>
      <c r="B169" s="904"/>
      <c r="C169" s="904"/>
      <c r="D169" s="904"/>
      <c r="E169" s="904"/>
      <c r="F169" s="904"/>
      <c r="G169" s="904"/>
      <c r="H169" s="904"/>
      <c r="I169" s="904"/>
      <c r="J169" s="904"/>
      <c r="K169" s="904"/>
      <c r="L169" s="904"/>
      <c r="M169" s="904"/>
      <c r="N169" s="1"/>
      <c r="O169" s="1"/>
      <c r="P169" s="1"/>
      <c r="Q169" s="1"/>
      <c r="R169" s="1"/>
      <c r="S169" s="1"/>
      <c r="T169" s="1"/>
      <c r="U169" s="1"/>
      <c r="V169" s="1"/>
      <c r="W169" s="1"/>
      <c r="X169" s="1"/>
      <c r="Y169" s="1"/>
      <c r="Z169" s="1"/>
    </row>
    <row r="170" spans="1:26" ht="15.75" customHeight="1">
      <c r="A170" s="1"/>
      <c r="B170" s="210"/>
      <c r="C170" s="210"/>
      <c r="D170" s="210"/>
      <c r="E170" s="210"/>
      <c r="F170" s="210"/>
      <c r="G170" s="210"/>
      <c r="H170" s="210"/>
      <c r="I170" s="210"/>
      <c r="J170" s="210"/>
      <c r="K170" s="210"/>
      <c r="L170" s="210"/>
      <c r="M170" s="210"/>
      <c r="N170" s="1"/>
      <c r="O170" s="1"/>
      <c r="P170" s="1"/>
      <c r="Q170" s="1"/>
      <c r="R170" s="1"/>
      <c r="S170" s="1"/>
      <c r="T170" s="1"/>
      <c r="U170" s="1"/>
      <c r="V170" s="1"/>
      <c r="W170" s="1"/>
      <c r="X170" s="1"/>
      <c r="Y170" s="1"/>
      <c r="Z170" s="1"/>
    </row>
    <row r="171" spans="1:26" ht="15.75" customHeight="1">
      <c r="A171" s="1"/>
      <c r="B171" s="210" t="s">
        <v>405</v>
      </c>
      <c r="C171" s="30" t="s">
        <v>406</v>
      </c>
      <c r="D171" s="210"/>
      <c r="E171" s="210"/>
      <c r="F171" s="210"/>
      <c r="G171" s="210"/>
      <c r="H171" s="210"/>
      <c r="I171" s="210"/>
      <c r="J171" s="210"/>
      <c r="K171" s="210"/>
      <c r="L171" s="210"/>
      <c r="M171" s="210"/>
      <c r="N171" s="1"/>
      <c r="O171" s="1"/>
      <c r="P171" s="1"/>
      <c r="Q171" s="1"/>
      <c r="R171" s="1"/>
      <c r="S171" s="1"/>
      <c r="T171" s="1"/>
      <c r="U171" s="1"/>
      <c r="V171" s="1"/>
      <c r="W171" s="1"/>
      <c r="X171" s="1"/>
      <c r="Y171" s="1"/>
      <c r="Z171" s="1"/>
    </row>
    <row r="172" spans="1:26" ht="15.75" customHeight="1">
      <c r="A172" s="1"/>
      <c r="B172" s="210"/>
      <c r="C172" s="210" t="s">
        <v>407</v>
      </c>
      <c r="D172" s="210" t="s">
        <v>369</v>
      </c>
      <c r="E172" s="210" t="s">
        <v>293</v>
      </c>
      <c r="F172" s="898">
        <v>1141923</v>
      </c>
      <c r="G172" s="210" t="s">
        <v>364</v>
      </c>
      <c r="H172" s="898">
        <v>13025</v>
      </c>
      <c r="I172" s="210" t="s">
        <v>365</v>
      </c>
      <c r="J172" s="209">
        <f>F172*H172*2000/1000000</f>
        <v>29747094.149999999</v>
      </c>
      <c r="K172" s="209">
        <f>J172/J174*K174</f>
        <v>3377171.0602952191</v>
      </c>
      <c r="L172" s="899">
        <f>J172/J174*L174</f>
        <v>24.684830526299731</v>
      </c>
      <c r="M172" s="899">
        <f>J172/J174*M174</f>
        <v>52.660971789439422</v>
      </c>
      <c r="N172" s="1"/>
      <c r="O172" s="1"/>
      <c r="P172" s="1"/>
      <c r="Q172" s="1"/>
      <c r="R172" s="1"/>
      <c r="S172" s="1"/>
      <c r="T172" s="1"/>
      <c r="U172" s="1"/>
      <c r="V172" s="1"/>
      <c r="W172" s="1"/>
      <c r="X172" s="1"/>
      <c r="Y172" s="1"/>
      <c r="Z172" s="1"/>
    </row>
    <row r="173" spans="1:26" ht="15.75" customHeight="1">
      <c r="A173" s="1"/>
      <c r="B173" s="210"/>
      <c r="C173" s="210"/>
      <c r="D173" s="210"/>
      <c r="E173" s="210" t="s">
        <v>477</v>
      </c>
      <c r="F173" s="898">
        <v>560730</v>
      </c>
      <c r="G173" s="210" t="s">
        <v>425</v>
      </c>
      <c r="H173" s="898">
        <v>140057</v>
      </c>
      <c r="I173" s="210" t="s">
        <v>489</v>
      </c>
      <c r="J173" s="209">
        <f>F173*H173/1000000</f>
        <v>78534.161609999996</v>
      </c>
      <c r="K173" s="209">
        <f>J173/J174*K174</f>
        <v>8915.9397047808707</v>
      </c>
      <c r="L173" s="899">
        <f>J173/J174*L174</f>
        <v>6.5169473700270125E-2</v>
      </c>
      <c r="M173" s="899">
        <f>J173/J174*M174</f>
        <v>0.13902821056057627</v>
      </c>
      <c r="N173" s="1"/>
      <c r="O173" s="1"/>
      <c r="P173" s="1"/>
      <c r="Q173" s="1"/>
      <c r="R173" s="1"/>
      <c r="S173" s="1"/>
      <c r="T173" s="1"/>
      <c r="U173" s="1"/>
      <c r="V173" s="1"/>
      <c r="W173" s="1"/>
      <c r="X173" s="1"/>
      <c r="Y173" s="1"/>
      <c r="Z173" s="1"/>
    </row>
    <row r="174" spans="1:26" ht="15.75" customHeight="1">
      <c r="A174" s="1"/>
      <c r="B174" s="210"/>
      <c r="C174" s="210"/>
      <c r="D174" s="210"/>
      <c r="E174" s="210"/>
      <c r="F174" s="210"/>
      <c r="G174" s="210"/>
      <c r="H174" s="210"/>
      <c r="I174" s="210"/>
      <c r="J174" s="209">
        <f>SUM(J172:J173)</f>
        <v>29825628.311609998</v>
      </c>
      <c r="K174" s="902">
        <v>3386087</v>
      </c>
      <c r="L174" s="908">
        <v>24.75</v>
      </c>
      <c r="M174" s="908">
        <v>52.8</v>
      </c>
      <c r="N174" s="1"/>
      <c r="O174" s="1"/>
      <c r="P174" s="1"/>
      <c r="Q174" s="1"/>
      <c r="R174" s="1"/>
      <c r="S174" s="1"/>
      <c r="T174" s="1"/>
      <c r="U174" s="1"/>
      <c r="V174" s="1"/>
      <c r="W174" s="1"/>
      <c r="X174" s="1"/>
      <c r="Y174" s="1"/>
      <c r="Z174" s="1"/>
    </row>
    <row r="175" spans="1:26" ht="15.75" customHeight="1">
      <c r="A175" s="1"/>
      <c r="B175" s="210"/>
      <c r="C175" s="210"/>
      <c r="D175" s="210"/>
      <c r="E175" s="210"/>
      <c r="F175" s="210"/>
      <c r="G175" s="210"/>
      <c r="H175" s="210"/>
      <c r="I175" s="210"/>
      <c r="J175" s="209"/>
      <c r="K175" s="898"/>
      <c r="L175" s="899"/>
      <c r="M175" s="899"/>
      <c r="N175" s="1"/>
      <c r="O175" s="1"/>
      <c r="P175" s="1"/>
      <c r="Q175" s="1"/>
      <c r="R175" s="1"/>
      <c r="S175" s="1"/>
      <c r="T175" s="1"/>
      <c r="U175" s="1"/>
      <c r="V175" s="1"/>
      <c r="W175" s="1"/>
      <c r="X175" s="1"/>
      <c r="Y175" s="1"/>
      <c r="Z175" s="1"/>
    </row>
    <row r="176" spans="1:26" ht="15.75" customHeight="1">
      <c r="A176" s="1"/>
      <c r="B176" s="210"/>
      <c r="C176" s="210" t="s">
        <v>408</v>
      </c>
      <c r="D176" s="210" t="s">
        <v>373</v>
      </c>
      <c r="E176" s="210" t="s">
        <v>293</v>
      </c>
      <c r="F176" s="898">
        <v>1248983</v>
      </c>
      <c r="G176" s="210" t="s">
        <v>364</v>
      </c>
      <c r="H176" s="898">
        <v>13025</v>
      </c>
      <c r="I176" s="210" t="s">
        <v>365</v>
      </c>
      <c r="J176" s="209">
        <f>F176*H176*2000/1000000</f>
        <v>32536007.149999999</v>
      </c>
      <c r="K176" s="209">
        <f>J176/J178*K178</f>
        <v>3292474.5069769244</v>
      </c>
      <c r="L176" s="899">
        <f>J176/J178*L178</f>
        <v>25.513668463846166</v>
      </c>
      <c r="M176" s="899">
        <f>J176/J178*M178</f>
        <v>54.422502202724701</v>
      </c>
      <c r="N176" s="1"/>
      <c r="O176" s="1"/>
      <c r="P176" s="1"/>
      <c r="Q176" s="1"/>
      <c r="R176" s="1"/>
      <c r="S176" s="1"/>
      <c r="T176" s="1"/>
      <c r="U176" s="1"/>
      <c r="V176" s="1"/>
      <c r="W176" s="1"/>
      <c r="X176" s="1"/>
      <c r="Y176" s="1"/>
      <c r="Z176" s="1"/>
    </row>
    <row r="177" spans="1:26" ht="15.75" customHeight="1">
      <c r="A177" s="1"/>
      <c r="B177" s="210"/>
      <c r="C177" s="210"/>
      <c r="D177" s="210"/>
      <c r="E177" s="210" t="s">
        <v>477</v>
      </c>
      <c r="F177" s="898">
        <v>330721</v>
      </c>
      <c r="G177" s="210" t="s">
        <v>425</v>
      </c>
      <c r="H177" s="898">
        <v>140092</v>
      </c>
      <c r="I177" s="210" t="s">
        <v>489</v>
      </c>
      <c r="J177" s="209">
        <f>F177*H177/1000000</f>
        <v>46331.366331999998</v>
      </c>
      <c r="K177" s="209">
        <f>J177/J178*K178</f>
        <v>4688.4930230757882</v>
      </c>
      <c r="L177" s="899">
        <f>J177/J178*L178</f>
        <v>3.6331536153834797E-2</v>
      </c>
      <c r="M177" s="899">
        <f>J177/J178*M178</f>
        <v>7.749779727530319E-2</v>
      </c>
      <c r="N177" s="1"/>
      <c r="O177" s="1"/>
      <c r="P177" s="1"/>
      <c r="Q177" s="1"/>
      <c r="R177" s="1"/>
      <c r="S177" s="1"/>
      <c r="T177" s="1"/>
      <c r="U177" s="1"/>
      <c r="V177" s="1"/>
      <c r="W177" s="1"/>
      <c r="X177" s="1"/>
      <c r="Y177" s="1"/>
      <c r="Z177" s="1"/>
    </row>
    <row r="178" spans="1:26" ht="15.75" customHeight="1">
      <c r="A178" s="1"/>
      <c r="B178" s="210"/>
      <c r="C178" s="210"/>
      <c r="D178" s="210"/>
      <c r="E178" s="210"/>
      <c r="F178" s="210"/>
      <c r="G178" s="210"/>
      <c r="H178" s="210"/>
      <c r="I178" s="210"/>
      <c r="J178" s="209">
        <f>SUM(J176:J177)</f>
        <v>32582338.516331997</v>
      </c>
      <c r="K178" s="902">
        <v>3297163</v>
      </c>
      <c r="L178" s="908">
        <v>25.55</v>
      </c>
      <c r="M178" s="908">
        <v>54.5</v>
      </c>
      <c r="N178" s="1"/>
      <c r="O178" s="1"/>
      <c r="P178" s="1"/>
      <c r="Q178" s="1"/>
      <c r="R178" s="1"/>
      <c r="S178" s="1"/>
      <c r="T178" s="1"/>
      <c r="U178" s="1"/>
      <c r="V178" s="1"/>
      <c r="W178" s="1"/>
      <c r="X178" s="1"/>
      <c r="Y178" s="1"/>
      <c r="Z178" s="1"/>
    </row>
    <row r="179" spans="1:26" ht="15.75" customHeight="1">
      <c r="A179" s="1"/>
      <c r="B179" s="210"/>
      <c r="C179" s="210"/>
      <c r="D179" s="210"/>
      <c r="E179" s="210"/>
      <c r="F179" s="210"/>
      <c r="G179" s="210"/>
      <c r="H179" s="210"/>
      <c r="I179" s="210"/>
      <c r="J179" s="210"/>
      <c r="K179" s="210"/>
      <c r="L179" s="210"/>
      <c r="M179" s="210"/>
      <c r="N179" s="1"/>
      <c r="O179" s="1"/>
      <c r="P179" s="1"/>
      <c r="Q179" s="1"/>
      <c r="R179" s="1"/>
      <c r="S179" s="1"/>
      <c r="T179" s="1"/>
      <c r="U179" s="1"/>
      <c r="V179" s="1"/>
      <c r="W179" s="1"/>
      <c r="X179" s="1"/>
      <c r="Y179" s="1"/>
      <c r="Z179" s="1"/>
    </row>
    <row r="180" spans="1:26" ht="15.75" customHeight="1">
      <c r="A180" s="1"/>
      <c r="B180" s="210"/>
      <c r="C180" s="210" t="s">
        <v>503</v>
      </c>
      <c r="D180" s="210" t="s">
        <v>504</v>
      </c>
      <c r="E180" s="210" t="s">
        <v>477</v>
      </c>
      <c r="F180" s="898">
        <v>469111</v>
      </c>
      <c r="G180" s="210" t="s">
        <v>425</v>
      </c>
      <c r="H180" s="898">
        <v>140162</v>
      </c>
      <c r="I180" s="210" t="s">
        <v>489</v>
      </c>
      <c r="J180" s="209">
        <f t="shared" ref="J180:J187" si="55">F180*H180/1000000</f>
        <v>65751.535982000001</v>
      </c>
      <c r="K180" s="209">
        <v>5372</v>
      </c>
      <c r="L180" s="899">
        <v>1.2999999999999999E-2</v>
      </c>
      <c r="M180" s="210">
        <v>0.3</v>
      </c>
      <c r="N180" s="1"/>
      <c r="O180" s="1"/>
      <c r="P180" s="1"/>
      <c r="Q180" s="1"/>
      <c r="R180" s="1"/>
      <c r="S180" s="1"/>
      <c r="T180" s="1"/>
      <c r="U180" s="1"/>
      <c r="V180" s="1"/>
      <c r="W180" s="1"/>
      <c r="X180" s="1"/>
      <c r="Y180" s="1"/>
      <c r="Z180" s="1"/>
    </row>
    <row r="181" spans="1:26" ht="15.75" customHeight="1">
      <c r="A181" s="1"/>
      <c r="B181" s="210"/>
      <c r="C181" s="210" t="s">
        <v>505</v>
      </c>
      <c r="D181" s="210" t="s">
        <v>506</v>
      </c>
      <c r="E181" s="210" t="s">
        <v>477</v>
      </c>
      <c r="F181" s="898">
        <v>6581</v>
      </c>
      <c r="G181" s="210" t="s">
        <v>425</v>
      </c>
      <c r="H181" s="898">
        <v>140162</v>
      </c>
      <c r="I181" s="210" t="s">
        <v>489</v>
      </c>
      <c r="J181" s="209">
        <f t="shared" si="55"/>
        <v>922.40612199999998</v>
      </c>
      <c r="K181" s="209">
        <v>75</v>
      </c>
      <c r="L181" s="899">
        <v>2.0000000000000001E-4</v>
      </c>
      <c r="M181" s="210">
        <v>4.0000000000000001E-3</v>
      </c>
      <c r="N181" s="1"/>
      <c r="O181" s="1"/>
      <c r="P181" s="1"/>
      <c r="Q181" s="1"/>
      <c r="R181" s="1"/>
      <c r="S181" s="1"/>
      <c r="T181" s="1"/>
      <c r="U181" s="1"/>
      <c r="V181" s="1"/>
      <c r="W181" s="1"/>
      <c r="X181" s="1"/>
      <c r="Y181" s="1"/>
      <c r="Z181" s="1"/>
    </row>
    <row r="182" spans="1:26" ht="15.75" customHeight="1">
      <c r="A182" s="1"/>
      <c r="B182" s="210"/>
      <c r="C182" s="210" t="s">
        <v>507</v>
      </c>
      <c r="D182" s="210" t="s">
        <v>742</v>
      </c>
      <c r="E182" s="210" t="s">
        <v>477</v>
      </c>
      <c r="F182" s="898">
        <v>119770</v>
      </c>
      <c r="G182" s="210" t="s">
        <v>425</v>
      </c>
      <c r="H182" s="898">
        <v>140156</v>
      </c>
      <c r="I182" s="210" t="s">
        <v>489</v>
      </c>
      <c r="J182" s="209">
        <f t="shared" si="55"/>
        <v>16786.484120000001</v>
      </c>
      <c r="K182" s="209">
        <v>1371</v>
      </c>
      <c r="L182" s="899">
        <v>7.0000000000000007E-2</v>
      </c>
      <c r="M182" s="210">
        <v>7.0000000000000007E-2</v>
      </c>
      <c r="N182" s="1"/>
      <c r="O182" s="1"/>
      <c r="P182" s="1"/>
      <c r="Q182" s="1"/>
      <c r="R182" s="1"/>
      <c r="S182" s="1"/>
      <c r="T182" s="1"/>
      <c r="U182" s="1"/>
      <c r="V182" s="1"/>
      <c r="W182" s="1"/>
      <c r="X182" s="1"/>
      <c r="Y182" s="1"/>
      <c r="Z182" s="1"/>
    </row>
    <row r="183" spans="1:26" ht="15.75" customHeight="1">
      <c r="A183" s="1"/>
      <c r="B183" s="210"/>
      <c r="C183" s="210" t="s">
        <v>508</v>
      </c>
      <c r="D183" s="210" t="s">
        <v>442</v>
      </c>
      <c r="E183" s="210" t="s">
        <v>477</v>
      </c>
      <c r="F183" s="898">
        <v>115848</v>
      </c>
      <c r="G183" s="210" t="s">
        <v>425</v>
      </c>
      <c r="H183" s="898">
        <v>140162</v>
      </c>
      <c r="I183" s="210" t="s">
        <v>489</v>
      </c>
      <c r="J183" s="209">
        <f t="shared" si="55"/>
        <v>16237.487375999999</v>
      </c>
      <c r="K183" s="209">
        <v>1327</v>
      </c>
      <c r="L183" s="899">
        <v>7.0000000000000007E-2</v>
      </c>
      <c r="M183" s="210">
        <v>7.0000000000000007E-2</v>
      </c>
      <c r="N183" s="1"/>
      <c r="O183" s="1"/>
      <c r="P183" s="1"/>
      <c r="Q183" s="1"/>
      <c r="R183" s="1"/>
      <c r="S183" s="1"/>
      <c r="T183" s="1"/>
      <c r="U183" s="1"/>
      <c r="V183" s="1"/>
      <c r="W183" s="1"/>
      <c r="X183" s="1"/>
      <c r="Y183" s="1"/>
      <c r="Z183" s="1"/>
    </row>
    <row r="184" spans="1:26" ht="15.75" customHeight="1">
      <c r="A184" s="1"/>
      <c r="B184" s="210"/>
      <c r="C184" s="210" t="s">
        <v>509</v>
      </c>
      <c r="D184" s="210" t="s">
        <v>745</v>
      </c>
      <c r="E184" s="210" t="s">
        <v>477</v>
      </c>
      <c r="F184" s="898">
        <v>294735</v>
      </c>
      <c r="G184" s="210" t="s">
        <v>425</v>
      </c>
      <c r="H184" s="898">
        <v>140152</v>
      </c>
      <c r="I184" s="210" t="s">
        <v>489</v>
      </c>
      <c r="J184" s="209">
        <f t="shared" si="55"/>
        <v>41307.699719999997</v>
      </c>
      <c r="K184" s="209">
        <v>3750</v>
      </c>
      <c r="L184" s="899">
        <v>0.2</v>
      </c>
      <c r="M184" s="210">
        <v>0.2</v>
      </c>
      <c r="N184" s="1"/>
      <c r="O184" s="1"/>
      <c r="P184" s="1"/>
      <c r="Q184" s="1"/>
      <c r="R184" s="1"/>
      <c r="S184" s="1"/>
      <c r="T184" s="1"/>
      <c r="U184" s="1"/>
      <c r="V184" s="1"/>
      <c r="W184" s="1"/>
      <c r="X184" s="1"/>
      <c r="Y184" s="1"/>
      <c r="Z184" s="1"/>
    </row>
    <row r="185" spans="1:26" ht="15.75" customHeight="1">
      <c r="A185" s="1"/>
      <c r="B185" s="210"/>
      <c r="C185" s="210" t="s">
        <v>512</v>
      </c>
      <c r="D185" s="210" t="s">
        <v>746</v>
      </c>
      <c r="E185" s="210" t="s">
        <v>477</v>
      </c>
      <c r="F185" s="898">
        <v>391937</v>
      </c>
      <c r="G185" s="210" t="s">
        <v>425</v>
      </c>
      <c r="H185" s="898">
        <v>140164</v>
      </c>
      <c r="I185" s="210" t="s">
        <v>489</v>
      </c>
      <c r="J185" s="209">
        <f t="shared" si="55"/>
        <v>54935.457668000003</v>
      </c>
      <c r="K185" s="209">
        <v>4565</v>
      </c>
      <c r="L185" s="899">
        <v>0.2</v>
      </c>
      <c r="M185" s="210">
        <v>0.2</v>
      </c>
      <c r="N185" s="1"/>
      <c r="O185" s="1"/>
      <c r="P185" s="1"/>
      <c r="Q185" s="1"/>
      <c r="R185" s="1"/>
      <c r="S185" s="1"/>
      <c r="T185" s="1"/>
      <c r="U185" s="1"/>
      <c r="V185" s="1"/>
      <c r="W185" s="1"/>
      <c r="X185" s="1"/>
      <c r="Y185" s="1"/>
      <c r="Z185" s="1"/>
    </row>
    <row r="186" spans="1:26" ht="15.75" customHeight="1">
      <c r="A186" s="1"/>
      <c r="B186" s="210"/>
      <c r="C186" s="210" t="s">
        <v>514</v>
      </c>
      <c r="D186" s="210" t="s">
        <v>747</v>
      </c>
      <c r="E186" s="210" t="s">
        <v>477</v>
      </c>
      <c r="F186" s="898">
        <v>259626</v>
      </c>
      <c r="G186" s="210" t="s">
        <v>425</v>
      </c>
      <c r="H186" s="898">
        <v>140154</v>
      </c>
      <c r="I186" s="210" t="s">
        <v>489</v>
      </c>
      <c r="J186" s="209">
        <f t="shared" si="55"/>
        <v>36387.622404000002</v>
      </c>
      <c r="K186" s="209">
        <v>2926</v>
      </c>
      <c r="L186" s="899">
        <v>0.2</v>
      </c>
      <c r="M186" s="210">
        <v>0.1</v>
      </c>
      <c r="N186" s="1"/>
      <c r="O186" s="1"/>
      <c r="P186" s="1"/>
      <c r="Q186" s="1"/>
      <c r="R186" s="1"/>
      <c r="S186" s="1"/>
      <c r="T186" s="1"/>
      <c r="U186" s="1"/>
      <c r="V186" s="1"/>
      <c r="W186" s="1"/>
      <c r="X186" s="1"/>
      <c r="Y186" s="1"/>
      <c r="Z186" s="1"/>
    </row>
    <row r="187" spans="1:26" ht="15.75" customHeight="1">
      <c r="A187" s="1"/>
      <c r="B187" s="210"/>
      <c r="C187" s="210" t="s">
        <v>516</v>
      </c>
      <c r="D187" s="210" t="s">
        <v>748</v>
      </c>
      <c r="E187" s="210" t="s">
        <v>477</v>
      </c>
      <c r="F187" s="898">
        <v>286912</v>
      </c>
      <c r="G187" s="210" t="s">
        <v>425</v>
      </c>
      <c r="H187" s="898">
        <v>140145</v>
      </c>
      <c r="I187" s="210" t="s">
        <v>489</v>
      </c>
      <c r="J187" s="209">
        <f t="shared" si="55"/>
        <v>40209.28224</v>
      </c>
      <c r="K187" s="209">
        <v>3170</v>
      </c>
      <c r="L187" s="899">
        <v>0.2</v>
      </c>
      <c r="M187" s="210">
        <v>0.2</v>
      </c>
      <c r="N187" s="1"/>
      <c r="O187" s="1"/>
      <c r="P187" s="1"/>
      <c r="Q187" s="1"/>
      <c r="R187" s="1"/>
      <c r="S187" s="1"/>
      <c r="T187" s="1"/>
      <c r="U187" s="1"/>
      <c r="V187" s="1"/>
      <c r="W187" s="1"/>
      <c r="X187" s="1"/>
      <c r="Y187" s="1"/>
      <c r="Z187" s="1"/>
    </row>
    <row r="188" spans="1:26" ht="15.75" customHeight="1">
      <c r="A188" s="1"/>
      <c r="B188" s="904"/>
      <c r="C188" s="904"/>
      <c r="D188" s="904"/>
      <c r="E188" s="904"/>
      <c r="F188" s="904"/>
      <c r="G188" s="904"/>
      <c r="H188" s="904"/>
      <c r="I188" s="904"/>
      <c r="J188" s="904"/>
      <c r="K188" s="904"/>
      <c r="L188" s="904"/>
      <c r="M188" s="904"/>
      <c r="N188" s="1"/>
      <c r="O188" s="1"/>
      <c r="P188" s="1"/>
      <c r="Q188" s="1"/>
      <c r="R188" s="1"/>
      <c r="S188" s="1"/>
      <c r="T188" s="1"/>
      <c r="U188" s="1"/>
      <c r="V188" s="1"/>
      <c r="W188" s="1"/>
      <c r="X188" s="1"/>
      <c r="Y188" s="1"/>
      <c r="Z188" s="1"/>
    </row>
    <row r="189" spans="1:26" ht="15.75" customHeight="1">
      <c r="A189" s="1"/>
      <c r="B189" s="210"/>
      <c r="C189" s="210"/>
      <c r="D189" s="210"/>
      <c r="E189" s="210"/>
      <c r="F189" s="210"/>
      <c r="G189" s="210"/>
      <c r="H189" s="210"/>
      <c r="I189" s="210"/>
      <c r="J189" s="210"/>
      <c r="K189" s="210"/>
      <c r="L189" s="210"/>
      <c r="M189" s="210"/>
      <c r="N189" s="1"/>
      <c r="O189" s="1"/>
      <c r="P189" s="1"/>
      <c r="Q189" s="1"/>
      <c r="R189" s="1"/>
      <c r="S189" s="1"/>
      <c r="T189" s="1"/>
      <c r="U189" s="1"/>
      <c r="V189" s="1"/>
      <c r="W189" s="1"/>
      <c r="X189" s="1"/>
      <c r="Y189" s="1"/>
      <c r="Z189" s="1"/>
    </row>
    <row r="190" spans="1:26" ht="15.75" customHeight="1">
      <c r="A190" s="1"/>
      <c r="B190" s="210" t="s">
        <v>518</v>
      </c>
      <c r="C190" s="30" t="s">
        <v>519</v>
      </c>
      <c r="D190" s="210"/>
      <c r="E190" s="210"/>
      <c r="F190" s="210"/>
      <c r="G190" s="210"/>
      <c r="H190" s="210"/>
      <c r="I190" s="210"/>
      <c r="J190" s="210"/>
      <c r="K190" s="210"/>
      <c r="L190" s="210"/>
      <c r="M190" s="210"/>
      <c r="N190" s="1"/>
      <c r="O190" s="1"/>
      <c r="P190" s="1"/>
      <c r="Q190" s="1"/>
      <c r="R190" s="1"/>
      <c r="S190" s="1"/>
      <c r="T190" s="1"/>
      <c r="U190" s="1"/>
      <c r="V190" s="1"/>
      <c r="W190" s="1"/>
      <c r="X190" s="1"/>
      <c r="Y190" s="1"/>
      <c r="Z190" s="1"/>
    </row>
    <row r="191" spans="1:26" ht="15.75" customHeight="1">
      <c r="A191" s="1"/>
      <c r="B191" s="210"/>
      <c r="C191" s="210" t="s">
        <v>520</v>
      </c>
      <c r="D191" s="210" t="s">
        <v>369</v>
      </c>
      <c r="E191" s="210" t="s">
        <v>295</v>
      </c>
      <c r="F191" s="898">
        <v>2250113</v>
      </c>
      <c r="G191" s="210" t="s">
        <v>634</v>
      </c>
      <c r="H191" s="210">
        <v>1.044</v>
      </c>
      <c r="I191" s="210" t="s">
        <v>749</v>
      </c>
      <c r="J191" s="209">
        <f>F191*H191</f>
        <v>2349117.9720000001</v>
      </c>
      <c r="K191" s="209">
        <f>J191/J193*K193</f>
        <v>139938.30381344471</v>
      </c>
      <c r="L191" s="899">
        <f>J191/J193*L193</f>
        <v>10.034125876000424</v>
      </c>
      <c r="M191" s="899">
        <f>J191/J193*M193</f>
        <v>3.4771723332674735</v>
      </c>
      <c r="N191" s="1"/>
      <c r="O191" s="1"/>
      <c r="P191" s="1"/>
      <c r="Q191" s="1"/>
      <c r="R191" s="1"/>
      <c r="S191" s="1"/>
      <c r="T191" s="1"/>
      <c r="U191" s="1"/>
      <c r="V191" s="1"/>
      <c r="W191" s="1"/>
      <c r="X191" s="1"/>
      <c r="Y191" s="1"/>
      <c r="Z191" s="1"/>
    </row>
    <row r="192" spans="1:26" ht="15.75" customHeight="1">
      <c r="A192" s="1"/>
      <c r="B192" s="210"/>
      <c r="C192" s="210"/>
      <c r="D192" s="210"/>
      <c r="E192" s="210" t="s">
        <v>521</v>
      </c>
      <c r="F192" s="898">
        <v>110157</v>
      </c>
      <c r="G192" s="210" t="s">
        <v>425</v>
      </c>
      <c r="H192" s="898">
        <v>140000</v>
      </c>
      <c r="I192" s="210" t="s">
        <v>558</v>
      </c>
      <c r="J192" s="209">
        <f>F192*H192/1000000</f>
        <v>15421.98</v>
      </c>
      <c r="K192" s="209">
        <f>J192/J193*K193</f>
        <v>918.6961865552779</v>
      </c>
      <c r="L192" s="899">
        <f>J192/J193*L193</f>
        <v>6.5874123999576206E-2</v>
      </c>
      <c r="M192" s="899">
        <f>J192/J193*M193</f>
        <v>2.2827666732526411E-2</v>
      </c>
      <c r="N192" s="1"/>
      <c r="O192" s="1"/>
      <c r="P192" s="1"/>
      <c r="Q192" s="1"/>
      <c r="R192" s="1"/>
      <c r="S192" s="1"/>
      <c r="T192" s="1"/>
      <c r="U192" s="1"/>
      <c r="V192" s="1"/>
      <c r="W192" s="1"/>
      <c r="X192" s="1"/>
      <c r="Y192" s="1"/>
      <c r="Z192" s="1"/>
    </row>
    <row r="193" spans="1:26" ht="15.75" customHeight="1">
      <c r="A193" s="1"/>
      <c r="B193" s="210"/>
      <c r="C193" s="210"/>
      <c r="D193" s="210"/>
      <c r="E193" s="210"/>
      <c r="F193" s="210"/>
      <c r="G193" s="210"/>
      <c r="H193" s="210"/>
      <c r="I193" s="210"/>
      <c r="J193" s="209">
        <f>SUM(J191:J192)</f>
        <v>2364539.952</v>
      </c>
      <c r="K193" s="902">
        <v>140857</v>
      </c>
      <c r="L193" s="908">
        <v>10.1</v>
      </c>
      <c r="M193" s="908">
        <v>3.5</v>
      </c>
      <c r="N193" s="1"/>
      <c r="O193" s="1"/>
      <c r="P193" s="1"/>
      <c r="Q193" s="1"/>
      <c r="R193" s="1"/>
      <c r="S193" s="1"/>
      <c r="T193" s="1"/>
      <c r="U193" s="1"/>
      <c r="V193" s="1"/>
      <c r="W193" s="1"/>
      <c r="X193" s="1"/>
      <c r="Y193" s="1"/>
      <c r="Z193" s="1"/>
    </row>
    <row r="194" spans="1:26" ht="15.75" customHeight="1">
      <c r="A194" s="1"/>
      <c r="B194" s="210"/>
      <c r="C194" s="210"/>
      <c r="D194" s="210"/>
      <c r="E194" s="210"/>
      <c r="F194" s="210"/>
      <c r="G194" s="210"/>
      <c r="H194" s="210"/>
      <c r="I194" s="210"/>
      <c r="J194" s="209"/>
      <c r="K194" s="210"/>
      <c r="L194" s="210"/>
      <c r="M194" s="210"/>
      <c r="N194" s="1"/>
      <c r="O194" s="1"/>
      <c r="P194" s="1"/>
      <c r="Q194" s="1"/>
      <c r="R194" s="1"/>
      <c r="S194" s="1"/>
      <c r="T194" s="1"/>
      <c r="U194" s="1"/>
      <c r="V194" s="1"/>
      <c r="W194" s="1"/>
      <c r="X194" s="1"/>
      <c r="Y194" s="1"/>
      <c r="Z194" s="1"/>
    </row>
    <row r="195" spans="1:26" ht="15.75" customHeight="1">
      <c r="A195" s="1"/>
      <c r="B195" s="210"/>
      <c r="C195" s="210" t="s">
        <v>522</v>
      </c>
      <c r="D195" s="210" t="s">
        <v>373</v>
      </c>
      <c r="E195" s="210" t="s">
        <v>295</v>
      </c>
      <c r="F195" s="898">
        <v>2074000</v>
      </c>
      <c r="G195" s="210" t="s">
        <v>634</v>
      </c>
      <c r="H195" s="210">
        <v>1.044</v>
      </c>
      <c r="I195" s="210" t="s">
        <v>749</v>
      </c>
      <c r="J195" s="209">
        <f>F195*H195</f>
        <v>2165256</v>
      </c>
      <c r="K195" s="209">
        <f>J195/J197*K197</f>
        <v>129014.23319592261</v>
      </c>
      <c r="L195" s="899">
        <f>J195/J197*L197</f>
        <v>9.2336704252089827</v>
      </c>
      <c r="M195" s="899">
        <f>J195/J197*M197</f>
        <v>3.1771769205020153</v>
      </c>
      <c r="N195" s="1"/>
      <c r="O195" s="1"/>
      <c r="P195" s="1"/>
      <c r="Q195" s="1"/>
      <c r="R195" s="1"/>
      <c r="S195" s="1"/>
      <c r="T195" s="1"/>
      <c r="U195" s="1"/>
      <c r="V195" s="1"/>
      <c r="W195" s="1"/>
      <c r="X195" s="1"/>
      <c r="Y195" s="1"/>
      <c r="Z195" s="1"/>
    </row>
    <row r="196" spans="1:26" ht="15.75" customHeight="1">
      <c r="A196" s="1"/>
      <c r="B196" s="210"/>
      <c r="C196" s="210"/>
      <c r="D196" s="210"/>
      <c r="E196" s="210" t="s">
        <v>521</v>
      </c>
      <c r="F196" s="898">
        <v>111100</v>
      </c>
      <c r="G196" s="210" t="s">
        <v>425</v>
      </c>
      <c r="H196" s="898">
        <v>140000</v>
      </c>
      <c r="I196" s="210" t="s">
        <v>558</v>
      </c>
      <c r="J196" s="209">
        <f>F196*H196/1000000</f>
        <v>15554</v>
      </c>
      <c r="K196" s="209">
        <f>J196/J197*K197</f>
        <v>926.76680407738411</v>
      </c>
      <c r="L196" s="899">
        <f>J196/J197*L197</f>
        <v>6.6329574791018017E-2</v>
      </c>
      <c r="M196" s="899">
        <f>J196/J197*M197</f>
        <v>2.2823079497984695E-2</v>
      </c>
      <c r="N196" s="1"/>
      <c r="O196" s="1"/>
      <c r="P196" s="1"/>
      <c r="Q196" s="1"/>
      <c r="R196" s="1"/>
      <c r="S196" s="1"/>
      <c r="T196" s="1"/>
      <c r="U196" s="1"/>
      <c r="V196" s="1"/>
      <c r="W196" s="1"/>
      <c r="X196" s="1"/>
      <c r="Y196" s="1"/>
      <c r="Z196" s="1"/>
    </row>
    <row r="197" spans="1:26" ht="15.75" customHeight="1">
      <c r="A197" s="1"/>
      <c r="B197" s="210"/>
      <c r="C197" s="210"/>
      <c r="D197" s="210"/>
      <c r="E197" s="210"/>
      <c r="F197" s="210"/>
      <c r="G197" s="210"/>
      <c r="H197" s="210"/>
      <c r="I197" s="210"/>
      <c r="J197" s="209">
        <f>SUM(J195:J196)</f>
        <v>2180810</v>
      </c>
      <c r="K197" s="902">
        <v>129941</v>
      </c>
      <c r="L197" s="908">
        <v>9.3000000000000007</v>
      </c>
      <c r="M197" s="908">
        <v>3.2</v>
      </c>
      <c r="N197" s="1"/>
      <c r="O197" s="1"/>
      <c r="P197" s="1"/>
      <c r="Q197" s="1"/>
      <c r="R197" s="1"/>
      <c r="S197" s="1"/>
      <c r="T197" s="1"/>
      <c r="U197" s="1"/>
      <c r="V197" s="1"/>
      <c r="W197" s="1"/>
      <c r="X197" s="1"/>
      <c r="Y197" s="1"/>
      <c r="Z197" s="1"/>
    </row>
    <row r="198" spans="1:26" ht="15.75" customHeight="1">
      <c r="A198" s="1"/>
      <c r="B198" s="904"/>
      <c r="C198" s="904"/>
      <c r="D198" s="904"/>
      <c r="E198" s="904"/>
      <c r="F198" s="904"/>
      <c r="G198" s="904"/>
      <c r="H198" s="904"/>
      <c r="I198" s="904"/>
      <c r="J198" s="904"/>
      <c r="K198" s="904"/>
      <c r="L198" s="904"/>
      <c r="M198" s="904"/>
      <c r="N198" s="1"/>
      <c r="O198" s="1"/>
      <c r="P198" s="1"/>
      <c r="Q198" s="1"/>
      <c r="R198" s="1"/>
      <c r="S198" s="1"/>
      <c r="T198" s="1"/>
      <c r="U198" s="1"/>
      <c r="V198" s="1"/>
      <c r="W198" s="1"/>
      <c r="X198" s="1"/>
      <c r="Y198" s="1"/>
      <c r="Z198" s="1"/>
    </row>
    <row r="199" spans="1:26" ht="15.75" customHeight="1">
      <c r="A199" s="1"/>
      <c r="B199" s="210"/>
      <c r="C199" s="210"/>
      <c r="D199" s="210"/>
      <c r="E199" s="210"/>
      <c r="F199" s="210"/>
      <c r="G199" s="210"/>
      <c r="H199" s="210"/>
      <c r="I199" s="210"/>
      <c r="J199" s="210"/>
      <c r="K199" s="210"/>
      <c r="L199" s="210"/>
      <c r="M199" s="210"/>
      <c r="N199" s="1"/>
      <c r="O199" s="1"/>
      <c r="P199" s="1"/>
      <c r="Q199" s="1"/>
      <c r="R199" s="1"/>
      <c r="S199" s="1"/>
      <c r="T199" s="1"/>
      <c r="U199" s="1"/>
      <c r="V199" s="1"/>
      <c r="W199" s="1"/>
      <c r="X199" s="1"/>
      <c r="Y199" s="1"/>
      <c r="Z199" s="1"/>
    </row>
    <row r="200" spans="1:26" ht="15.75" customHeight="1">
      <c r="A200" s="1"/>
      <c r="B200" s="210" t="s">
        <v>750</v>
      </c>
      <c r="C200" s="30" t="s">
        <v>751</v>
      </c>
      <c r="D200" s="210"/>
      <c r="E200" s="210"/>
      <c r="F200" s="210"/>
      <c r="G200" s="210"/>
      <c r="H200" s="210"/>
      <c r="I200" s="210"/>
      <c r="J200" s="210"/>
      <c r="K200" s="210"/>
      <c r="L200" s="210"/>
      <c r="M200" s="210"/>
      <c r="N200" s="1"/>
      <c r="O200" s="1"/>
      <c r="P200" s="1"/>
      <c r="Q200" s="1"/>
      <c r="R200" s="1"/>
      <c r="S200" s="1"/>
      <c r="T200" s="1"/>
      <c r="U200" s="1"/>
      <c r="V200" s="1"/>
      <c r="W200" s="1"/>
      <c r="X200" s="1"/>
      <c r="Y200" s="1"/>
      <c r="Z200" s="1"/>
    </row>
    <row r="201" spans="1:26" ht="15.75" customHeight="1">
      <c r="A201" s="1"/>
      <c r="B201" s="210"/>
      <c r="C201" s="210" t="s">
        <v>647</v>
      </c>
      <c r="D201" s="210" t="s">
        <v>470</v>
      </c>
      <c r="E201" s="210" t="s">
        <v>310</v>
      </c>
      <c r="F201" s="905">
        <v>36000000</v>
      </c>
      <c r="G201" s="210" t="s">
        <v>634</v>
      </c>
      <c r="H201" s="898">
        <v>1027</v>
      </c>
      <c r="I201" s="210" t="s">
        <v>743</v>
      </c>
      <c r="J201" s="898">
        <f t="shared" ref="J201:J208" si="56">F201*H201/1000000</f>
        <v>36972</v>
      </c>
      <c r="K201" s="209">
        <v>2018</v>
      </c>
      <c r="L201" s="210">
        <v>0.16</v>
      </c>
      <c r="M201" s="210">
        <v>0.06</v>
      </c>
      <c r="N201" s="1"/>
      <c r="O201" s="1"/>
      <c r="P201" s="1"/>
      <c r="Q201" s="1"/>
      <c r="R201" s="1"/>
      <c r="S201" s="1"/>
      <c r="T201" s="1"/>
      <c r="U201" s="1"/>
      <c r="V201" s="1"/>
      <c r="W201" s="1"/>
      <c r="X201" s="1"/>
      <c r="Y201" s="1"/>
      <c r="Z201" s="1"/>
    </row>
    <row r="202" spans="1:26" ht="15.75" customHeight="1">
      <c r="A202" s="1"/>
      <c r="B202" s="210"/>
      <c r="C202" s="210" t="s">
        <v>654</v>
      </c>
      <c r="D202" s="210" t="s">
        <v>472</v>
      </c>
      <c r="E202" s="210" t="s">
        <v>310</v>
      </c>
      <c r="F202" s="905">
        <v>45000000</v>
      </c>
      <c r="G202" s="210" t="s">
        <v>634</v>
      </c>
      <c r="H202" s="898">
        <v>1027</v>
      </c>
      <c r="I202" s="210" t="s">
        <v>743</v>
      </c>
      <c r="J202" s="898">
        <f t="shared" si="56"/>
        <v>46215</v>
      </c>
      <c r="K202" s="209">
        <v>2565</v>
      </c>
      <c r="L202" s="210">
        <v>0.2</v>
      </c>
      <c r="M202" s="210">
        <v>7.0000000000000007E-2</v>
      </c>
      <c r="N202" s="1"/>
      <c r="O202" s="1"/>
      <c r="P202" s="1"/>
      <c r="Q202" s="1"/>
      <c r="R202" s="1"/>
      <c r="S202" s="1"/>
      <c r="T202" s="1"/>
      <c r="U202" s="1"/>
      <c r="V202" s="1"/>
      <c r="W202" s="1"/>
      <c r="X202" s="1"/>
      <c r="Y202" s="1"/>
      <c r="Z202" s="1"/>
    </row>
    <row r="203" spans="1:26" ht="15.75" customHeight="1">
      <c r="A203" s="1"/>
      <c r="B203" s="210"/>
      <c r="C203" s="210" t="s">
        <v>655</v>
      </c>
      <c r="D203" s="210" t="s">
        <v>474</v>
      </c>
      <c r="E203" s="210" t="s">
        <v>310</v>
      </c>
      <c r="F203" s="905">
        <v>42000000</v>
      </c>
      <c r="G203" s="210" t="s">
        <v>634</v>
      </c>
      <c r="H203" s="898">
        <v>1027</v>
      </c>
      <c r="I203" s="210" t="s">
        <v>743</v>
      </c>
      <c r="J203" s="898">
        <f t="shared" si="56"/>
        <v>43134</v>
      </c>
      <c r="K203" s="209">
        <v>2382</v>
      </c>
      <c r="L203" s="210">
        <v>0.19</v>
      </c>
      <c r="M203" s="210">
        <v>0.06</v>
      </c>
      <c r="N203" s="1"/>
      <c r="O203" s="1"/>
      <c r="P203" s="1"/>
      <c r="Q203" s="1"/>
      <c r="R203" s="1"/>
      <c r="S203" s="1"/>
      <c r="T203" s="1"/>
      <c r="U203" s="1"/>
      <c r="V203" s="1"/>
      <c r="W203" s="1"/>
      <c r="X203" s="1"/>
      <c r="Y203" s="1"/>
      <c r="Z203" s="1"/>
    </row>
    <row r="204" spans="1:26" ht="15.75" customHeight="1">
      <c r="A204" s="1"/>
      <c r="B204" s="210"/>
      <c r="C204" s="210" t="s">
        <v>657</v>
      </c>
      <c r="D204" s="210" t="s">
        <v>476</v>
      </c>
      <c r="E204" s="210" t="s">
        <v>310</v>
      </c>
      <c r="F204" s="905">
        <v>50000000</v>
      </c>
      <c r="G204" s="210" t="s">
        <v>634</v>
      </c>
      <c r="H204" s="898">
        <v>1027</v>
      </c>
      <c r="I204" s="210" t="s">
        <v>743</v>
      </c>
      <c r="J204" s="898">
        <f t="shared" si="56"/>
        <v>51350</v>
      </c>
      <c r="K204" s="209">
        <v>2811</v>
      </c>
      <c r="L204" s="210">
        <v>0.22</v>
      </c>
      <c r="M204" s="210">
        <v>0.08</v>
      </c>
      <c r="N204" s="1"/>
      <c r="O204" s="1"/>
      <c r="P204" s="1"/>
      <c r="Q204" s="1"/>
      <c r="R204" s="1"/>
      <c r="S204" s="1"/>
      <c r="T204" s="1"/>
      <c r="U204" s="1"/>
      <c r="V204" s="1"/>
      <c r="W204" s="1"/>
      <c r="X204" s="1"/>
      <c r="Y204" s="1"/>
      <c r="Z204" s="1"/>
    </row>
    <row r="205" spans="1:26" ht="15.75" customHeight="1">
      <c r="A205" s="1"/>
      <c r="B205" s="210"/>
      <c r="C205" s="210" t="s">
        <v>659</v>
      </c>
      <c r="D205" s="210" t="s">
        <v>660</v>
      </c>
      <c r="E205" s="210" t="s">
        <v>310</v>
      </c>
      <c r="F205" s="905">
        <v>41000000</v>
      </c>
      <c r="G205" s="210" t="s">
        <v>634</v>
      </c>
      <c r="H205" s="898">
        <v>1027</v>
      </c>
      <c r="I205" s="210" t="s">
        <v>743</v>
      </c>
      <c r="J205" s="898">
        <f t="shared" si="56"/>
        <v>42107</v>
      </c>
      <c r="K205" s="209">
        <v>2300</v>
      </c>
      <c r="L205" s="210">
        <v>0.18</v>
      </c>
      <c r="M205" s="210">
        <v>0.06</v>
      </c>
      <c r="N205" s="1"/>
      <c r="O205" s="1"/>
      <c r="P205" s="1"/>
      <c r="Q205" s="1"/>
      <c r="R205" s="1"/>
      <c r="S205" s="1"/>
      <c r="T205" s="1"/>
      <c r="U205" s="1"/>
      <c r="V205" s="1"/>
      <c r="W205" s="1"/>
      <c r="X205" s="1"/>
      <c r="Y205" s="1"/>
      <c r="Z205" s="1"/>
    </row>
    <row r="206" spans="1:26" ht="15.75" customHeight="1">
      <c r="A206" s="1"/>
      <c r="B206" s="210"/>
      <c r="C206" s="210" t="s">
        <v>661</v>
      </c>
      <c r="D206" s="210" t="s">
        <v>662</v>
      </c>
      <c r="E206" s="210" t="s">
        <v>310</v>
      </c>
      <c r="F206" s="905">
        <v>55000000</v>
      </c>
      <c r="G206" s="210" t="s">
        <v>634</v>
      </c>
      <c r="H206" s="898">
        <v>1027</v>
      </c>
      <c r="I206" s="210" t="s">
        <v>743</v>
      </c>
      <c r="J206" s="898">
        <f t="shared" si="56"/>
        <v>56485</v>
      </c>
      <c r="K206" s="209">
        <v>3087</v>
      </c>
      <c r="L206" s="210">
        <v>0.24</v>
      </c>
      <c r="M206" s="210">
        <v>0.08</v>
      </c>
      <c r="N206" s="1"/>
      <c r="O206" s="1"/>
      <c r="P206" s="1"/>
      <c r="Q206" s="1"/>
      <c r="R206" s="1"/>
      <c r="S206" s="1"/>
      <c r="T206" s="1"/>
      <c r="U206" s="1"/>
      <c r="V206" s="1"/>
      <c r="W206" s="1"/>
      <c r="X206" s="1"/>
      <c r="Y206" s="1"/>
      <c r="Z206" s="1"/>
    </row>
    <row r="207" spans="1:26" ht="15.75" customHeight="1">
      <c r="A207" s="1"/>
      <c r="B207" s="210"/>
      <c r="C207" s="210" t="s">
        <v>663</v>
      </c>
      <c r="D207" s="210" t="s">
        <v>664</v>
      </c>
      <c r="E207" s="210" t="s">
        <v>310</v>
      </c>
      <c r="F207" s="905">
        <v>46000000</v>
      </c>
      <c r="G207" s="210" t="s">
        <v>634</v>
      </c>
      <c r="H207" s="898">
        <v>1027</v>
      </c>
      <c r="I207" s="210" t="s">
        <v>743</v>
      </c>
      <c r="J207" s="898">
        <f t="shared" si="56"/>
        <v>47242</v>
      </c>
      <c r="K207" s="209">
        <v>2584</v>
      </c>
      <c r="L207" s="210">
        <v>0.2</v>
      </c>
      <c r="M207" s="210">
        <v>7.0000000000000007E-2</v>
      </c>
      <c r="N207" s="1"/>
      <c r="O207" s="1"/>
      <c r="P207" s="1"/>
      <c r="Q207" s="1"/>
      <c r="R207" s="1"/>
      <c r="S207" s="1"/>
      <c r="T207" s="1"/>
      <c r="U207" s="1"/>
      <c r="V207" s="1"/>
      <c r="W207" s="1"/>
      <c r="X207" s="1"/>
      <c r="Y207" s="1"/>
      <c r="Z207" s="1"/>
    </row>
    <row r="208" spans="1:26" ht="15.75" customHeight="1">
      <c r="A208" s="1"/>
      <c r="B208" s="210"/>
      <c r="C208" s="210" t="s">
        <v>665</v>
      </c>
      <c r="D208" s="210" t="s">
        <v>666</v>
      </c>
      <c r="E208" s="210" t="s">
        <v>310</v>
      </c>
      <c r="F208" s="905">
        <v>29349561.829999998</v>
      </c>
      <c r="G208" s="210" t="s">
        <v>634</v>
      </c>
      <c r="H208" s="898">
        <v>1027</v>
      </c>
      <c r="I208" s="210" t="s">
        <v>743</v>
      </c>
      <c r="J208" s="898">
        <f t="shared" si="56"/>
        <v>30141.99999941</v>
      </c>
      <c r="K208" s="209">
        <v>2229</v>
      </c>
      <c r="L208" s="210">
        <v>0.17</v>
      </c>
      <c r="M208" s="210">
        <v>0.06</v>
      </c>
      <c r="N208" s="1"/>
      <c r="O208" s="1"/>
      <c r="P208" s="1"/>
      <c r="Q208" s="1"/>
      <c r="R208" s="1"/>
      <c r="S208" s="1"/>
      <c r="T208" s="1"/>
      <c r="U208" s="1"/>
      <c r="V208" s="1"/>
      <c r="W208" s="1"/>
      <c r="X208" s="1"/>
      <c r="Y208" s="1"/>
      <c r="Z208" s="1"/>
    </row>
    <row r="209" spans="1:26" ht="15.75" customHeight="1">
      <c r="A209" s="1"/>
      <c r="B209" s="904"/>
      <c r="C209" s="904"/>
      <c r="D209" s="904"/>
      <c r="E209" s="904"/>
      <c r="F209" s="904"/>
      <c r="G209" s="904"/>
      <c r="H209" s="904"/>
      <c r="I209" s="904"/>
      <c r="J209" s="904"/>
      <c r="K209" s="904"/>
      <c r="L209" s="904"/>
      <c r="M209" s="904"/>
      <c r="N209" s="1"/>
      <c r="O209" s="1"/>
      <c r="P209" s="1"/>
      <c r="Q209" s="1"/>
      <c r="R209" s="1"/>
      <c r="S209" s="1"/>
      <c r="T209" s="1"/>
      <c r="U209" s="1"/>
      <c r="V209" s="1"/>
      <c r="W209" s="1"/>
      <c r="X209" s="1"/>
      <c r="Y209" s="1"/>
      <c r="Z209" s="1"/>
    </row>
    <row r="210" spans="1:26" ht="15.75" customHeight="1">
      <c r="A210" s="1"/>
      <c r="B210" s="210"/>
      <c r="C210" s="210"/>
      <c r="D210" s="210"/>
      <c r="E210" s="210"/>
      <c r="F210" s="210"/>
      <c r="G210" s="210"/>
      <c r="H210" s="210"/>
      <c r="I210" s="210"/>
      <c r="J210" s="210"/>
      <c r="K210" s="210"/>
      <c r="L210" s="210"/>
      <c r="M210" s="210"/>
      <c r="N210" s="1"/>
      <c r="O210" s="1"/>
      <c r="P210" s="1"/>
      <c r="Q210" s="1"/>
      <c r="R210" s="1"/>
      <c r="S210" s="1"/>
      <c r="T210" s="1"/>
      <c r="U210" s="1"/>
      <c r="V210" s="1"/>
      <c r="W210" s="1"/>
      <c r="X210" s="1"/>
      <c r="Y210" s="1"/>
      <c r="Z210" s="1"/>
    </row>
    <row r="211" spans="1:26" ht="15.75" customHeight="1">
      <c r="A211" s="1"/>
      <c r="B211" s="210" t="s">
        <v>523</v>
      </c>
      <c r="C211" s="30" t="s">
        <v>524</v>
      </c>
      <c r="D211" s="210"/>
      <c r="E211" s="210"/>
      <c r="F211" s="210"/>
      <c r="G211" s="210"/>
      <c r="H211" s="210"/>
      <c r="I211" s="210"/>
      <c r="J211" s="210"/>
      <c r="K211" s="210"/>
      <c r="L211" s="210"/>
      <c r="M211" s="210"/>
      <c r="N211" s="1"/>
      <c r="O211" s="1"/>
      <c r="P211" s="1"/>
      <c r="Q211" s="1"/>
      <c r="R211" s="1"/>
      <c r="S211" s="1"/>
      <c r="T211" s="1"/>
      <c r="U211" s="1"/>
      <c r="V211" s="1"/>
      <c r="W211" s="1"/>
      <c r="X211" s="1"/>
      <c r="Y211" s="1"/>
      <c r="Z211" s="1"/>
    </row>
    <row r="212" spans="1:26" ht="15.75" customHeight="1">
      <c r="A212" s="1"/>
      <c r="B212" s="210"/>
      <c r="C212" s="210" t="s">
        <v>525</v>
      </c>
      <c r="D212" s="210" t="s">
        <v>470</v>
      </c>
      <c r="E212" s="210" t="s">
        <v>477</v>
      </c>
      <c r="F212" s="209">
        <v>132000</v>
      </c>
      <c r="G212" s="210" t="s">
        <v>425</v>
      </c>
      <c r="H212" s="210">
        <v>139</v>
      </c>
      <c r="I212" s="210" t="s">
        <v>752</v>
      </c>
      <c r="J212" s="898">
        <f t="shared" ref="J212:J215" si="57">F212*H212/1000</f>
        <v>18348</v>
      </c>
      <c r="K212" s="209">
        <v>1441</v>
      </c>
      <c r="L212" s="210">
        <v>0.01</v>
      </c>
      <c r="M212" s="210">
        <v>0.02</v>
      </c>
      <c r="N212" s="1"/>
      <c r="O212" s="1"/>
      <c r="P212" s="1"/>
      <c r="Q212" s="1"/>
      <c r="R212" s="1"/>
      <c r="S212" s="1"/>
      <c r="T212" s="1"/>
      <c r="U212" s="1"/>
      <c r="V212" s="1"/>
      <c r="W212" s="1"/>
      <c r="X212" s="1"/>
      <c r="Y212" s="1"/>
      <c r="Z212" s="1"/>
    </row>
    <row r="213" spans="1:26" ht="15.75" customHeight="1">
      <c r="A213" s="1"/>
      <c r="B213" s="210"/>
      <c r="C213" s="210" t="s">
        <v>528</v>
      </c>
      <c r="D213" s="210" t="s">
        <v>472</v>
      </c>
      <c r="E213" s="210" t="s">
        <v>477</v>
      </c>
      <c r="F213" s="209">
        <v>167000</v>
      </c>
      <c r="G213" s="210" t="s">
        <v>425</v>
      </c>
      <c r="H213" s="210">
        <v>139</v>
      </c>
      <c r="I213" s="210" t="s">
        <v>752</v>
      </c>
      <c r="J213" s="898">
        <f t="shared" si="57"/>
        <v>23213</v>
      </c>
      <c r="K213" s="209">
        <v>1827</v>
      </c>
      <c r="L213" s="210">
        <v>0.02</v>
      </c>
      <c r="M213" s="210">
        <v>0.02</v>
      </c>
      <c r="N213" s="1"/>
      <c r="O213" s="1"/>
      <c r="P213" s="1"/>
      <c r="Q213" s="1"/>
      <c r="R213" s="1"/>
      <c r="S213" s="1"/>
      <c r="T213" s="1"/>
      <c r="U213" s="1"/>
      <c r="V213" s="1"/>
      <c r="W213" s="1"/>
      <c r="X213" s="1"/>
      <c r="Y213" s="1"/>
      <c r="Z213" s="1"/>
    </row>
    <row r="214" spans="1:26" ht="15.75" customHeight="1">
      <c r="A214" s="1"/>
      <c r="B214" s="210"/>
      <c r="C214" s="210" t="s">
        <v>529</v>
      </c>
      <c r="D214" s="210" t="s">
        <v>474</v>
      </c>
      <c r="E214" s="210" t="s">
        <v>477</v>
      </c>
      <c r="F214" s="209">
        <v>161000</v>
      </c>
      <c r="G214" s="210" t="s">
        <v>425</v>
      </c>
      <c r="H214" s="210">
        <v>139</v>
      </c>
      <c r="I214" s="210" t="s">
        <v>752</v>
      </c>
      <c r="J214" s="898">
        <f t="shared" si="57"/>
        <v>22379</v>
      </c>
      <c r="K214" s="209">
        <v>1757</v>
      </c>
      <c r="L214" s="210">
        <v>0.02</v>
      </c>
      <c r="M214" s="210">
        <v>0.02</v>
      </c>
      <c r="N214" s="1"/>
      <c r="O214" s="1"/>
      <c r="P214" s="1"/>
      <c r="Q214" s="1"/>
      <c r="R214" s="1"/>
      <c r="S214" s="1"/>
      <c r="T214" s="1"/>
      <c r="U214" s="1"/>
      <c r="V214" s="1"/>
      <c r="W214" s="1"/>
      <c r="X214" s="1"/>
      <c r="Y214" s="1"/>
      <c r="Z214" s="1"/>
    </row>
    <row r="215" spans="1:26" ht="15.75" customHeight="1">
      <c r="A215" s="1"/>
      <c r="B215" s="210"/>
      <c r="C215" s="210" t="s">
        <v>530</v>
      </c>
      <c r="D215" s="210" t="s">
        <v>476</v>
      </c>
      <c r="E215" s="210" t="s">
        <v>477</v>
      </c>
      <c r="F215" s="209">
        <v>187000</v>
      </c>
      <c r="G215" s="210" t="s">
        <v>425</v>
      </c>
      <c r="H215" s="210">
        <v>139</v>
      </c>
      <c r="I215" s="210" t="s">
        <v>752</v>
      </c>
      <c r="J215" s="898">
        <f t="shared" si="57"/>
        <v>25993</v>
      </c>
      <c r="K215" s="209">
        <v>2042</v>
      </c>
      <c r="L215" s="210">
        <v>0.02</v>
      </c>
      <c r="M215" s="210">
        <v>0.02</v>
      </c>
      <c r="N215" s="1"/>
      <c r="O215" s="1"/>
      <c r="P215" s="1"/>
      <c r="Q215" s="1"/>
      <c r="R215" s="1"/>
      <c r="S215" s="1"/>
      <c r="T215" s="1"/>
      <c r="U215" s="1"/>
      <c r="V215" s="1"/>
      <c r="W215" s="1"/>
      <c r="X215" s="1"/>
      <c r="Y215" s="1"/>
      <c r="Z215" s="1"/>
    </row>
    <row r="216" spans="1:26" ht="15.75" customHeight="1">
      <c r="A216" s="1"/>
      <c r="B216" s="904"/>
      <c r="C216" s="904"/>
      <c r="D216" s="904"/>
      <c r="E216" s="904"/>
      <c r="F216" s="904"/>
      <c r="G216" s="904"/>
      <c r="H216" s="904"/>
      <c r="I216" s="904"/>
      <c r="J216" s="904"/>
      <c r="K216" s="904"/>
      <c r="L216" s="904"/>
      <c r="M216" s="904"/>
      <c r="N216" s="1"/>
      <c r="O216" s="1"/>
      <c r="P216" s="1"/>
      <c r="Q216" s="1"/>
      <c r="R216" s="1"/>
      <c r="S216" s="1"/>
      <c r="T216" s="1"/>
      <c r="U216" s="1"/>
      <c r="V216" s="1"/>
      <c r="W216" s="1"/>
      <c r="X216" s="1"/>
      <c r="Y216" s="1"/>
      <c r="Z216" s="1"/>
    </row>
    <row r="217" spans="1:26" ht="15.75" customHeight="1">
      <c r="A217" s="1"/>
      <c r="B217" s="210"/>
      <c r="C217" s="210"/>
      <c r="D217" s="210"/>
      <c r="E217" s="210"/>
      <c r="F217" s="210"/>
      <c r="G217" s="210"/>
      <c r="H217" s="210"/>
      <c r="I217" s="210"/>
      <c r="J217" s="210"/>
      <c r="K217" s="210"/>
      <c r="L217" s="210"/>
      <c r="M217" s="210"/>
      <c r="N217" s="1"/>
      <c r="O217" s="1"/>
      <c r="P217" s="1"/>
      <c r="Q217" s="1"/>
      <c r="R217" s="1"/>
      <c r="S217" s="1"/>
      <c r="T217" s="1"/>
      <c r="U217" s="1"/>
      <c r="V217" s="1"/>
      <c r="W217" s="1"/>
      <c r="X217" s="1"/>
      <c r="Y217" s="1"/>
      <c r="Z217" s="1"/>
    </row>
    <row r="218" spans="1:26" ht="15.75" customHeight="1">
      <c r="A218" s="1"/>
      <c r="B218" s="210" t="s">
        <v>667</v>
      </c>
      <c r="C218" s="30" t="s">
        <v>753</v>
      </c>
      <c r="D218" s="210"/>
      <c r="E218" s="210"/>
      <c r="F218" s="210"/>
      <c r="G218" s="210"/>
      <c r="H218" s="210"/>
      <c r="I218" s="210"/>
      <c r="J218" s="210"/>
      <c r="K218" s="210"/>
      <c r="L218" s="210"/>
      <c r="M218" s="210"/>
      <c r="N218" s="1"/>
      <c r="O218" s="1"/>
      <c r="P218" s="1"/>
      <c r="Q218" s="1"/>
      <c r="R218" s="1"/>
      <c r="S218" s="1"/>
      <c r="T218" s="1"/>
      <c r="U218" s="1"/>
      <c r="V218" s="1"/>
      <c r="W218" s="1"/>
      <c r="X218" s="1"/>
      <c r="Y218" s="1"/>
      <c r="Z218" s="1"/>
    </row>
    <row r="219" spans="1:26" ht="15.75" customHeight="1">
      <c r="A219" s="1"/>
      <c r="B219" s="210"/>
      <c r="C219" s="210" t="s">
        <v>669</v>
      </c>
      <c r="D219" s="210" t="s">
        <v>670</v>
      </c>
      <c r="E219" s="210" t="s">
        <v>295</v>
      </c>
      <c r="F219" s="209">
        <f t="shared" ref="F219:F223" si="58">J219/H219</f>
        <v>596421.81467181467</v>
      </c>
      <c r="G219" s="210" t="s">
        <v>634</v>
      </c>
      <c r="H219" s="210">
        <v>1.036</v>
      </c>
      <c r="I219" s="210" t="s">
        <v>749</v>
      </c>
      <c r="J219" s="898">
        <v>617893</v>
      </c>
      <c r="K219" s="209">
        <v>36721.1</v>
      </c>
      <c r="L219" s="210">
        <v>1.08</v>
      </c>
      <c r="M219" s="210">
        <v>0.11</v>
      </c>
      <c r="N219" s="1"/>
      <c r="O219" s="1"/>
      <c r="P219" s="1"/>
      <c r="Q219" s="1"/>
      <c r="R219" s="1"/>
      <c r="S219" s="1"/>
      <c r="T219" s="1"/>
      <c r="U219" s="1"/>
      <c r="V219" s="1"/>
      <c r="W219" s="1"/>
      <c r="X219" s="1"/>
      <c r="Y219" s="1"/>
      <c r="Z219" s="1"/>
    </row>
    <row r="220" spans="1:26" ht="15.75" customHeight="1">
      <c r="A220" s="1"/>
      <c r="B220" s="210"/>
      <c r="C220" s="210" t="s">
        <v>671</v>
      </c>
      <c r="D220" s="210" t="s">
        <v>672</v>
      </c>
      <c r="E220" s="210" t="s">
        <v>295</v>
      </c>
      <c r="F220" s="209">
        <f t="shared" si="58"/>
        <v>617412.16216216213</v>
      </c>
      <c r="G220" s="210" t="s">
        <v>634</v>
      </c>
      <c r="H220" s="210">
        <v>1.036</v>
      </c>
      <c r="I220" s="210" t="s">
        <v>749</v>
      </c>
      <c r="J220" s="898">
        <v>639639</v>
      </c>
      <c r="K220" s="209">
        <v>38013.599999999999</v>
      </c>
      <c r="L220" s="210">
        <v>1.0900000000000001</v>
      </c>
      <c r="M220" s="210">
        <v>0.11</v>
      </c>
      <c r="N220" s="1"/>
      <c r="O220" s="1"/>
      <c r="P220" s="1"/>
      <c r="Q220" s="1"/>
      <c r="R220" s="1"/>
      <c r="S220" s="1"/>
      <c r="T220" s="1"/>
      <c r="U220" s="1"/>
      <c r="V220" s="1"/>
      <c r="W220" s="1"/>
      <c r="X220" s="1"/>
      <c r="Y220" s="1"/>
      <c r="Z220" s="1"/>
    </row>
    <row r="221" spans="1:26" ht="15.75" customHeight="1">
      <c r="A221" s="1"/>
      <c r="B221" s="210"/>
      <c r="C221" s="210" t="s">
        <v>673</v>
      </c>
      <c r="D221" s="210" t="s">
        <v>674</v>
      </c>
      <c r="E221" s="210" t="s">
        <v>295</v>
      </c>
      <c r="F221" s="209">
        <f t="shared" si="58"/>
        <v>909604.2471042471</v>
      </c>
      <c r="G221" s="210" t="s">
        <v>634</v>
      </c>
      <c r="H221" s="210">
        <v>1.036</v>
      </c>
      <c r="I221" s="210" t="s">
        <v>749</v>
      </c>
      <c r="J221" s="898">
        <v>942350</v>
      </c>
      <c r="K221" s="209">
        <v>56002.3</v>
      </c>
      <c r="L221" s="210">
        <v>1.54</v>
      </c>
      <c r="M221" s="210">
        <v>0.154</v>
      </c>
      <c r="N221" s="1"/>
      <c r="O221" s="1"/>
      <c r="P221" s="1"/>
      <c r="Q221" s="1"/>
      <c r="R221" s="1"/>
      <c r="S221" s="1"/>
      <c r="T221" s="1"/>
      <c r="U221" s="1"/>
      <c r="V221" s="1"/>
      <c r="W221" s="1"/>
      <c r="X221" s="1"/>
      <c r="Y221" s="1"/>
      <c r="Z221" s="1"/>
    </row>
    <row r="222" spans="1:26" ht="15.75" customHeight="1">
      <c r="A222" s="1"/>
      <c r="B222" s="210"/>
      <c r="C222" s="210" t="s">
        <v>675</v>
      </c>
      <c r="D222" s="210" t="s">
        <v>676</v>
      </c>
      <c r="E222" s="210" t="s">
        <v>295</v>
      </c>
      <c r="F222" s="209">
        <f t="shared" si="58"/>
        <v>863730.69498069491</v>
      </c>
      <c r="G222" s="210" t="s">
        <v>634</v>
      </c>
      <c r="H222" s="210">
        <v>1.036</v>
      </c>
      <c r="I222" s="210" t="s">
        <v>749</v>
      </c>
      <c r="J222" s="898">
        <v>894825</v>
      </c>
      <c r="K222" s="209">
        <v>53178.7</v>
      </c>
      <c r="L222" s="210">
        <v>1.73</v>
      </c>
      <c r="M222" s="210">
        <v>0.20899999999999999</v>
      </c>
      <c r="N222" s="1"/>
      <c r="O222" s="1"/>
      <c r="P222" s="1"/>
      <c r="Q222" s="1"/>
      <c r="R222" s="1"/>
      <c r="S222" s="1"/>
      <c r="T222" s="1"/>
      <c r="U222" s="1"/>
      <c r="V222" s="1"/>
      <c r="W222" s="1"/>
      <c r="X222" s="1"/>
      <c r="Y222" s="1"/>
      <c r="Z222" s="1"/>
    </row>
    <row r="223" spans="1:26" ht="15.75" customHeight="1">
      <c r="A223" s="1"/>
      <c r="B223" s="210"/>
      <c r="C223" s="210" t="s">
        <v>677</v>
      </c>
      <c r="D223" s="210" t="s">
        <v>678</v>
      </c>
      <c r="E223" s="210" t="s">
        <v>295</v>
      </c>
      <c r="F223" s="209">
        <f t="shared" si="58"/>
        <v>5468.7837837837833</v>
      </c>
      <c r="G223" s="210" t="s">
        <v>634</v>
      </c>
      <c r="H223" s="210">
        <v>1.036</v>
      </c>
      <c r="I223" s="210" t="s">
        <v>749</v>
      </c>
      <c r="J223" s="898">
        <v>5665.66</v>
      </c>
      <c r="K223" s="210">
        <v>331</v>
      </c>
      <c r="L223" s="210">
        <v>0</v>
      </c>
      <c r="M223" s="210">
        <v>1.9E-2</v>
      </c>
      <c r="N223" s="1"/>
      <c r="O223" s="1"/>
      <c r="P223" s="1"/>
      <c r="Q223" s="1"/>
      <c r="R223" s="1"/>
      <c r="S223" s="1"/>
      <c r="T223" s="1"/>
      <c r="U223" s="1"/>
      <c r="V223" s="1"/>
      <c r="W223" s="1"/>
      <c r="X223" s="1"/>
      <c r="Y223" s="1"/>
      <c r="Z223" s="1"/>
    </row>
    <row r="224" spans="1:26" ht="15.75" customHeight="1">
      <c r="A224" s="1"/>
      <c r="B224" s="904"/>
      <c r="C224" s="904"/>
      <c r="D224" s="904"/>
      <c r="E224" s="904"/>
      <c r="F224" s="904"/>
      <c r="G224" s="904"/>
      <c r="H224" s="904"/>
      <c r="I224" s="904"/>
      <c r="J224" s="904"/>
      <c r="K224" s="904"/>
      <c r="L224" s="904"/>
      <c r="M224" s="904"/>
      <c r="N224" s="1"/>
      <c r="O224" s="1"/>
      <c r="P224" s="1"/>
      <c r="Q224" s="1"/>
      <c r="R224" s="1"/>
      <c r="S224" s="1"/>
      <c r="T224" s="1"/>
      <c r="U224" s="1"/>
      <c r="V224" s="1"/>
      <c r="W224" s="1"/>
      <c r="X224" s="1"/>
      <c r="Y224" s="1"/>
      <c r="Z224" s="1"/>
    </row>
    <row r="225" spans="1:26" ht="15.75" customHeight="1">
      <c r="A225" s="1"/>
      <c r="B225" s="210"/>
      <c r="C225" s="210"/>
      <c r="D225" s="210"/>
      <c r="E225" s="210"/>
      <c r="F225" s="210"/>
      <c r="G225" s="210"/>
      <c r="H225" s="210"/>
      <c r="I225" s="210"/>
      <c r="J225" s="210"/>
      <c r="K225" s="210"/>
      <c r="L225" s="210"/>
      <c r="M225" s="210"/>
      <c r="N225" s="1"/>
      <c r="O225" s="1"/>
      <c r="P225" s="1"/>
      <c r="Q225" s="1"/>
      <c r="R225" s="1"/>
      <c r="S225" s="1"/>
      <c r="T225" s="1"/>
      <c r="U225" s="1"/>
      <c r="V225" s="1"/>
      <c r="W225" s="1"/>
      <c r="X225" s="1"/>
      <c r="Y225" s="1"/>
      <c r="Z225" s="1"/>
    </row>
    <row r="226" spans="1:26" ht="15.75" customHeight="1">
      <c r="A226" s="1"/>
      <c r="B226" s="210" t="s">
        <v>531</v>
      </c>
      <c r="C226" s="30" t="s">
        <v>532</v>
      </c>
      <c r="D226" s="210"/>
      <c r="E226" s="210"/>
      <c r="F226" s="210"/>
      <c r="G226" s="210"/>
      <c r="H226" s="210"/>
      <c r="I226" s="210"/>
      <c r="J226" s="210"/>
      <c r="K226" s="210"/>
      <c r="L226" s="210"/>
      <c r="M226" s="210"/>
      <c r="N226" s="1"/>
      <c r="O226" s="1"/>
      <c r="P226" s="1"/>
      <c r="Q226" s="1"/>
      <c r="R226" s="1"/>
      <c r="S226" s="1"/>
      <c r="T226" s="1"/>
      <c r="U226" s="1"/>
      <c r="V226" s="1"/>
      <c r="W226" s="1"/>
      <c r="X226" s="1"/>
      <c r="Y226" s="1"/>
      <c r="Z226" s="1"/>
    </row>
    <row r="227" spans="1:26" ht="15.75" customHeight="1">
      <c r="A227" s="1"/>
      <c r="B227" s="210"/>
      <c r="C227" s="210" t="s">
        <v>533</v>
      </c>
      <c r="D227" s="210" t="s">
        <v>534</v>
      </c>
      <c r="E227" s="210" t="s">
        <v>477</v>
      </c>
      <c r="F227" s="209">
        <v>5471</v>
      </c>
      <c r="G227" s="210" t="s">
        <v>425</v>
      </c>
      <c r="H227" s="210">
        <v>137</v>
      </c>
      <c r="I227" s="210" t="s">
        <v>752</v>
      </c>
      <c r="J227" s="898">
        <f t="shared" ref="J227:J236" si="59">F227*H227/1000</f>
        <v>749.52700000000004</v>
      </c>
      <c r="K227" s="210">
        <v>61.8</v>
      </c>
      <c r="L227" s="210">
        <v>3.0000000000000001E-3</v>
      </c>
      <c r="M227" s="910">
        <v>0</v>
      </c>
      <c r="N227" s="1"/>
      <c r="O227" s="1"/>
      <c r="P227" s="1"/>
      <c r="Q227" s="1"/>
      <c r="R227" s="1"/>
      <c r="S227" s="1"/>
      <c r="T227" s="1"/>
      <c r="U227" s="1"/>
      <c r="V227" s="1"/>
      <c r="W227" s="1"/>
      <c r="X227" s="1"/>
      <c r="Y227" s="1"/>
      <c r="Z227" s="1"/>
    </row>
    <row r="228" spans="1:26" ht="15.75" customHeight="1">
      <c r="A228" s="1"/>
      <c r="B228" s="210"/>
      <c r="C228" s="210" t="s">
        <v>537</v>
      </c>
      <c r="D228" s="210" t="s">
        <v>538</v>
      </c>
      <c r="E228" s="210" t="s">
        <v>477</v>
      </c>
      <c r="F228" s="209">
        <v>5811</v>
      </c>
      <c r="G228" s="210" t="s">
        <v>425</v>
      </c>
      <c r="H228" s="210">
        <v>137</v>
      </c>
      <c r="I228" s="210" t="s">
        <v>752</v>
      </c>
      <c r="J228" s="898">
        <f t="shared" si="59"/>
        <v>796.10699999999997</v>
      </c>
      <c r="K228" s="210">
        <v>65.7</v>
      </c>
      <c r="L228" s="210">
        <v>3.0000000000000001E-3</v>
      </c>
      <c r="M228" s="910">
        <v>0</v>
      </c>
      <c r="N228" s="1"/>
      <c r="O228" s="1"/>
      <c r="P228" s="1"/>
      <c r="Q228" s="1"/>
      <c r="R228" s="1"/>
      <c r="S228" s="1"/>
      <c r="T228" s="1"/>
      <c r="U228" s="1"/>
      <c r="V228" s="1"/>
      <c r="W228" s="1"/>
      <c r="X228" s="1"/>
      <c r="Y228" s="1"/>
      <c r="Z228" s="1"/>
    </row>
    <row r="229" spans="1:26" ht="15.75" customHeight="1">
      <c r="A229" s="1"/>
      <c r="B229" s="210"/>
      <c r="C229" s="210" t="s">
        <v>539</v>
      </c>
      <c r="D229" s="210" t="s">
        <v>540</v>
      </c>
      <c r="E229" s="210" t="s">
        <v>477</v>
      </c>
      <c r="F229" s="209">
        <v>20420</v>
      </c>
      <c r="G229" s="210" t="s">
        <v>425</v>
      </c>
      <c r="H229" s="210">
        <v>137</v>
      </c>
      <c r="I229" s="210" t="s">
        <v>752</v>
      </c>
      <c r="J229" s="898">
        <f t="shared" si="59"/>
        <v>2797.54</v>
      </c>
      <c r="K229" s="210">
        <v>230.7</v>
      </c>
      <c r="L229" s="210">
        <v>1.0999999999999999E-2</v>
      </c>
      <c r="M229" s="210">
        <v>1E-3</v>
      </c>
      <c r="N229" s="1"/>
      <c r="O229" s="1"/>
      <c r="P229" s="1"/>
      <c r="Q229" s="1"/>
      <c r="R229" s="1"/>
      <c r="S229" s="1"/>
      <c r="T229" s="1"/>
      <c r="U229" s="1"/>
      <c r="V229" s="1"/>
      <c r="W229" s="1"/>
      <c r="X229" s="1"/>
      <c r="Y229" s="1"/>
      <c r="Z229" s="1"/>
    </row>
    <row r="230" spans="1:26" ht="15.75" customHeight="1">
      <c r="A230" s="1"/>
      <c r="B230" s="210"/>
      <c r="C230" s="210" t="s">
        <v>541</v>
      </c>
      <c r="D230" s="210" t="s">
        <v>488</v>
      </c>
      <c r="E230" s="210" t="s">
        <v>477</v>
      </c>
      <c r="F230" s="209">
        <v>20146</v>
      </c>
      <c r="G230" s="210" t="s">
        <v>425</v>
      </c>
      <c r="H230" s="210">
        <v>137</v>
      </c>
      <c r="I230" s="210" t="s">
        <v>752</v>
      </c>
      <c r="J230" s="898">
        <f t="shared" si="59"/>
        <v>2760.002</v>
      </c>
      <c r="K230" s="210">
        <v>227.6</v>
      </c>
      <c r="L230" s="210">
        <v>1.0999999999999999E-2</v>
      </c>
      <c r="M230" s="210">
        <v>1E-3</v>
      </c>
      <c r="N230" s="1"/>
      <c r="O230" s="1"/>
      <c r="P230" s="1"/>
      <c r="Q230" s="1"/>
      <c r="R230" s="1"/>
      <c r="S230" s="1"/>
      <c r="T230" s="1"/>
      <c r="U230" s="1"/>
      <c r="V230" s="1"/>
      <c r="W230" s="1"/>
      <c r="X230" s="1"/>
      <c r="Y230" s="1"/>
      <c r="Z230" s="1"/>
    </row>
    <row r="231" spans="1:26" ht="15.75" customHeight="1">
      <c r="A231" s="1"/>
      <c r="B231" s="210"/>
      <c r="C231" s="210" t="s">
        <v>542</v>
      </c>
      <c r="D231" s="210" t="s">
        <v>543</v>
      </c>
      <c r="E231" s="210" t="s">
        <v>477</v>
      </c>
      <c r="F231" s="209">
        <v>26491</v>
      </c>
      <c r="G231" s="210" t="s">
        <v>425</v>
      </c>
      <c r="H231" s="210">
        <v>137</v>
      </c>
      <c r="I231" s="210" t="s">
        <v>752</v>
      </c>
      <c r="J231" s="898">
        <f t="shared" si="59"/>
        <v>3629.2669999999998</v>
      </c>
      <c r="K231" s="210">
        <v>299.3</v>
      </c>
      <c r="L231" s="210">
        <v>1.4999999999999999E-2</v>
      </c>
      <c r="M231" s="210">
        <v>1E-3</v>
      </c>
      <c r="N231" s="1"/>
      <c r="O231" s="1"/>
      <c r="P231" s="1"/>
      <c r="Q231" s="1"/>
      <c r="R231" s="1"/>
      <c r="S231" s="1"/>
      <c r="T231" s="1"/>
      <c r="U231" s="1"/>
      <c r="V231" s="1"/>
      <c r="W231" s="1"/>
      <c r="X231" s="1"/>
      <c r="Y231" s="1"/>
      <c r="Z231" s="1"/>
    </row>
    <row r="232" spans="1:26" ht="15.75" customHeight="1">
      <c r="A232" s="1"/>
      <c r="B232" s="210"/>
      <c r="C232" s="210" t="s">
        <v>544</v>
      </c>
      <c r="D232" s="210" t="s">
        <v>545</v>
      </c>
      <c r="E232" s="210" t="s">
        <v>477</v>
      </c>
      <c r="F232" s="209">
        <v>30331</v>
      </c>
      <c r="G232" s="210" t="s">
        <v>425</v>
      </c>
      <c r="H232" s="210">
        <v>137</v>
      </c>
      <c r="I232" s="210" t="s">
        <v>752</v>
      </c>
      <c r="J232" s="898">
        <f t="shared" si="59"/>
        <v>4155.3469999999998</v>
      </c>
      <c r="K232" s="210">
        <v>342.7</v>
      </c>
      <c r="L232" s="210">
        <v>1.7000000000000001E-2</v>
      </c>
      <c r="M232" s="210">
        <v>2E-3</v>
      </c>
      <c r="N232" s="1"/>
      <c r="O232" s="1"/>
      <c r="P232" s="1"/>
      <c r="Q232" s="1"/>
      <c r="R232" s="1"/>
      <c r="S232" s="1"/>
      <c r="T232" s="1"/>
      <c r="U232" s="1"/>
      <c r="V232" s="1"/>
      <c r="W232" s="1"/>
      <c r="X232" s="1"/>
      <c r="Y232" s="1"/>
      <c r="Z232" s="1"/>
    </row>
    <row r="233" spans="1:26" ht="15.75" customHeight="1">
      <c r="A233" s="1"/>
      <c r="B233" s="210"/>
      <c r="C233" s="210" t="s">
        <v>546</v>
      </c>
      <c r="D233" s="210" t="s">
        <v>547</v>
      </c>
      <c r="E233" s="210" t="s">
        <v>477</v>
      </c>
      <c r="F233" s="209">
        <v>26760</v>
      </c>
      <c r="G233" s="210" t="s">
        <v>425</v>
      </c>
      <c r="H233" s="210">
        <v>137</v>
      </c>
      <c r="I233" s="210" t="s">
        <v>752</v>
      </c>
      <c r="J233" s="898">
        <f t="shared" si="59"/>
        <v>3666.12</v>
      </c>
      <c r="K233" s="210">
        <v>302.39999999999998</v>
      </c>
      <c r="L233" s="210">
        <v>1.4999999999999999E-2</v>
      </c>
      <c r="M233" s="210">
        <v>1E-3</v>
      </c>
      <c r="N233" s="1"/>
      <c r="O233" s="1"/>
      <c r="P233" s="1"/>
      <c r="Q233" s="1"/>
      <c r="R233" s="1"/>
      <c r="S233" s="1"/>
      <c r="T233" s="1"/>
      <c r="U233" s="1"/>
      <c r="V233" s="1"/>
      <c r="W233" s="1"/>
      <c r="X233" s="1"/>
      <c r="Y233" s="1"/>
      <c r="Z233" s="1"/>
    </row>
    <row r="234" spans="1:26" ht="15.75" customHeight="1">
      <c r="A234" s="1"/>
      <c r="B234" s="210"/>
      <c r="C234" s="210" t="s">
        <v>548</v>
      </c>
      <c r="D234" s="210" t="s">
        <v>549</v>
      </c>
      <c r="E234" s="210" t="s">
        <v>477</v>
      </c>
      <c r="F234" s="209">
        <v>38516</v>
      </c>
      <c r="G234" s="210" t="s">
        <v>425</v>
      </c>
      <c r="H234" s="210">
        <v>137</v>
      </c>
      <c r="I234" s="210" t="s">
        <v>752</v>
      </c>
      <c r="J234" s="898">
        <f t="shared" si="59"/>
        <v>5276.692</v>
      </c>
      <c r="K234" s="210">
        <v>435.2</v>
      </c>
      <c r="L234" s="210">
        <v>2.1000000000000001E-2</v>
      </c>
      <c r="M234" s="210">
        <v>2E-3</v>
      </c>
      <c r="N234" s="1"/>
      <c r="O234" s="1"/>
      <c r="P234" s="1"/>
      <c r="Q234" s="1"/>
      <c r="R234" s="1"/>
      <c r="S234" s="1"/>
      <c r="T234" s="1"/>
      <c r="U234" s="1"/>
      <c r="V234" s="1"/>
      <c r="W234" s="1"/>
      <c r="X234" s="1"/>
      <c r="Y234" s="1"/>
      <c r="Z234" s="1"/>
    </row>
    <row r="235" spans="1:26" ht="15.75" customHeight="1">
      <c r="A235" s="1"/>
      <c r="B235" s="210"/>
      <c r="C235" s="210" t="s">
        <v>550</v>
      </c>
      <c r="D235" s="210" t="s">
        <v>551</v>
      </c>
      <c r="E235" s="210" t="s">
        <v>477</v>
      </c>
      <c r="F235" s="209">
        <v>68406</v>
      </c>
      <c r="G235" s="210" t="s">
        <v>425</v>
      </c>
      <c r="H235" s="210">
        <v>137</v>
      </c>
      <c r="I235" s="210" t="s">
        <v>752</v>
      </c>
      <c r="J235" s="898">
        <f t="shared" si="59"/>
        <v>9371.6219999999994</v>
      </c>
      <c r="K235" s="210">
        <v>773</v>
      </c>
      <c r="L235" s="210">
        <v>3.7999999999999999E-2</v>
      </c>
      <c r="M235" s="210">
        <v>4.0000000000000001E-3</v>
      </c>
      <c r="N235" s="1"/>
      <c r="O235" s="1"/>
      <c r="P235" s="1"/>
      <c r="Q235" s="1"/>
      <c r="R235" s="1"/>
      <c r="S235" s="1"/>
      <c r="T235" s="1"/>
      <c r="U235" s="1"/>
      <c r="V235" s="1"/>
      <c r="W235" s="1"/>
      <c r="X235" s="1"/>
      <c r="Y235" s="1"/>
      <c r="Z235" s="1"/>
    </row>
    <row r="236" spans="1:26" ht="15.75" customHeight="1">
      <c r="A236" s="1"/>
      <c r="B236" s="210"/>
      <c r="C236" s="210" t="s">
        <v>552</v>
      </c>
      <c r="D236" s="210" t="s">
        <v>553</v>
      </c>
      <c r="E236" s="210" t="s">
        <v>477</v>
      </c>
      <c r="F236" s="209">
        <v>26650</v>
      </c>
      <c r="G236" s="210" t="s">
        <v>425</v>
      </c>
      <c r="H236" s="210">
        <v>137</v>
      </c>
      <c r="I236" s="210" t="s">
        <v>752</v>
      </c>
      <c r="J236" s="898">
        <f t="shared" si="59"/>
        <v>3651.05</v>
      </c>
      <c r="K236" s="210">
        <v>301.10000000000002</v>
      </c>
      <c r="L236" s="210">
        <v>1.4999999999999999E-2</v>
      </c>
      <c r="M236" s="210">
        <v>1E-3</v>
      </c>
      <c r="N236" s="1"/>
      <c r="O236" s="1"/>
      <c r="P236" s="1"/>
      <c r="Q236" s="1"/>
      <c r="R236" s="1"/>
      <c r="S236" s="1"/>
      <c r="T236" s="1"/>
      <c r="U236" s="1"/>
      <c r="V236" s="1"/>
      <c r="W236" s="1"/>
      <c r="X236" s="1"/>
      <c r="Y236" s="1"/>
      <c r="Z236" s="1"/>
    </row>
    <row r="237" spans="1:26" ht="15.75" customHeight="1">
      <c r="A237" s="1"/>
      <c r="B237" s="904"/>
      <c r="C237" s="904"/>
      <c r="D237" s="904"/>
      <c r="E237" s="904"/>
      <c r="F237" s="904"/>
      <c r="G237" s="904"/>
      <c r="H237" s="904"/>
      <c r="I237" s="904"/>
      <c r="J237" s="904"/>
      <c r="K237" s="904"/>
      <c r="L237" s="904"/>
      <c r="M237" s="904"/>
      <c r="N237" s="1"/>
      <c r="O237" s="1"/>
      <c r="P237" s="1"/>
      <c r="Q237" s="1"/>
      <c r="R237" s="1"/>
      <c r="S237" s="1"/>
      <c r="T237" s="1"/>
      <c r="U237" s="1"/>
      <c r="V237" s="1"/>
      <c r="W237" s="1"/>
      <c r="X237" s="1"/>
      <c r="Y237" s="1"/>
      <c r="Z237" s="1"/>
    </row>
    <row r="238" spans="1:26" ht="15.75" customHeight="1">
      <c r="A238" s="1"/>
      <c r="B238" s="210"/>
      <c r="C238" s="210"/>
      <c r="D238" s="210"/>
      <c r="E238" s="210"/>
      <c r="F238" s="210"/>
      <c r="G238" s="210"/>
      <c r="H238" s="210"/>
      <c r="I238" s="210"/>
      <c r="J238" s="210"/>
      <c r="K238" s="210"/>
      <c r="L238" s="210"/>
      <c r="M238" s="210"/>
      <c r="N238" s="1"/>
      <c r="O238" s="1"/>
      <c r="P238" s="1"/>
      <c r="Q238" s="1"/>
      <c r="R238" s="1"/>
      <c r="S238" s="1"/>
      <c r="T238" s="1"/>
      <c r="U238" s="1"/>
      <c r="V238" s="1"/>
      <c r="W238" s="1"/>
      <c r="X238" s="1"/>
      <c r="Y238" s="1"/>
      <c r="Z238" s="1"/>
    </row>
    <row r="239" spans="1:26" ht="15.75" customHeight="1">
      <c r="A239" s="1"/>
      <c r="B239" s="210" t="s">
        <v>554</v>
      </c>
      <c r="C239" s="30" t="s">
        <v>754</v>
      </c>
      <c r="D239" s="210"/>
      <c r="E239" s="210"/>
      <c r="F239" s="210"/>
      <c r="G239" s="210"/>
      <c r="H239" s="210"/>
      <c r="I239" s="210"/>
      <c r="J239" s="210"/>
      <c r="K239" s="210"/>
      <c r="L239" s="210"/>
      <c r="M239" s="210"/>
      <c r="N239" s="1"/>
      <c r="O239" s="1"/>
      <c r="P239" s="1"/>
      <c r="Q239" s="1"/>
      <c r="R239" s="1"/>
      <c r="S239" s="1"/>
      <c r="T239" s="1"/>
      <c r="U239" s="1"/>
      <c r="V239" s="1"/>
      <c r="W239" s="1"/>
      <c r="X239" s="1"/>
      <c r="Y239" s="1"/>
      <c r="Z239" s="1"/>
    </row>
    <row r="240" spans="1:26" ht="15.75" customHeight="1">
      <c r="A240" s="1"/>
      <c r="B240" s="210"/>
      <c r="C240" s="210" t="s">
        <v>556</v>
      </c>
      <c r="D240" s="210" t="s">
        <v>557</v>
      </c>
      <c r="E240" s="210" t="s">
        <v>477</v>
      </c>
      <c r="F240" s="209">
        <v>5013</v>
      </c>
      <c r="G240" s="210" t="s">
        <v>425</v>
      </c>
      <c r="H240" s="210">
        <v>137</v>
      </c>
      <c r="I240" s="210" t="s">
        <v>752</v>
      </c>
      <c r="J240" s="898">
        <f t="shared" ref="J240:J243" si="60">F240*H240/1000</f>
        <v>686.78099999999995</v>
      </c>
      <c r="K240" s="210">
        <v>56.6</v>
      </c>
      <c r="L240" s="210">
        <v>3.0000000000000001E-3</v>
      </c>
      <c r="M240" s="210">
        <v>0</v>
      </c>
      <c r="N240" s="1"/>
      <c r="O240" s="1"/>
      <c r="P240" s="1"/>
      <c r="Q240" s="1"/>
      <c r="R240" s="1"/>
      <c r="S240" s="1"/>
      <c r="T240" s="1"/>
      <c r="U240" s="1"/>
      <c r="V240" s="1"/>
      <c r="W240" s="1"/>
      <c r="X240" s="1"/>
      <c r="Y240" s="1"/>
      <c r="Z240" s="1"/>
    </row>
    <row r="241" spans="1:26" ht="15.75" customHeight="1">
      <c r="A241" s="1"/>
      <c r="B241" s="210"/>
      <c r="C241" s="210" t="s">
        <v>559</v>
      </c>
      <c r="D241" s="210" t="s">
        <v>560</v>
      </c>
      <c r="E241" s="210" t="s">
        <v>477</v>
      </c>
      <c r="F241" s="209">
        <v>5289</v>
      </c>
      <c r="G241" s="210" t="s">
        <v>425</v>
      </c>
      <c r="H241" s="210">
        <v>137</v>
      </c>
      <c r="I241" s="210" t="s">
        <v>752</v>
      </c>
      <c r="J241" s="898">
        <f t="shared" si="60"/>
        <v>724.59299999999996</v>
      </c>
      <c r="K241" s="210">
        <v>59.8</v>
      </c>
      <c r="L241" s="210">
        <v>3.0000000000000001E-3</v>
      </c>
      <c r="M241" s="210">
        <v>0</v>
      </c>
      <c r="N241" s="1"/>
      <c r="O241" s="1"/>
      <c r="P241" s="1"/>
      <c r="Q241" s="1"/>
      <c r="R241" s="1"/>
      <c r="S241" s="1"/>
      <c r="T241" s="1"/>
      <c r="U241" s="1"/>
      <c r="V241" s="1"/>
      <c r="W241" s="1"/>
      <c r="X241" s="1"/>
      <c r="Y241" s="1"/>
      <c r="Z241" s="1"/>
    </row>
    <row r="242" spans="1:26" ht="15.75" customHeight="1">
      <c r="A242" s="1"/>
      <c r="B242" s="210"/>
      <c r="C242" s="210" t="s">
        <v>561</v>
      </c>
      <c r="D242" s="210" t="s">
        <v>562</v>
      </c>
      <c r="E242" s="210" t="s">
        <v>477</v>
      </c>
      <c r="F242" s="209">
        <v>44606</v>
      </c>
      <c r="G242" s="210" t="s">
        <v>425</v>
      </c>
      <c r="H242" s="210">
        <v>137</v>
      </c>
      <c r="I242" s="210" t="s">
        <v>752</v>
      </c>
      <c r="J242" s="898">
        <f t="shared" si="60"/>
        <v>6111.0219999999999</v>
      </c>
      <c r="K242" s="210">
        <v>504</v>
      </c>
      <c r="L242" s="210">
        <v>0</v>
      </c>
      <c r="M242" s="210">
        <v>0</v>
      </c>
      <c r="N242" s="1"/>
      <c r="O242" s="1"/>
      <c r="P242" s="1"/>
      <c r="Q242" s="1"/>
      <c r="R242" s="1"/>
      <c r="S242" s="1"/>
      <c r="T242" s="1"/>
      <c r="U242" s="1"/>
      <c r="V242" s="1"/>
      <c r="W242" s="1"/>
      <c r="X242" s="1"/>
      <c r="Y242" s="1"/>
      <c r="Z242" s="1"/>
    </row>
    <row r="243" spans="1:26" ht="15.75" customHeight="1">
      <c r="A243" s="1"/>
      <c r="B243" s="210"/>
      <c r="C243" s="210" t="s">
        <v>755</v>
      </c>
      <c r="D243" s="210" t="s">
        <v>564</v>
      </c>
      <c r="E243" s="210" t="s">
        <v>477</v>
      </c>
      <c r="F243" s="209">
        <v>47695</v>
      </c>
      <c r="G243" s="210" t="s">
        <v>425</v>
      </c>
      <c r="H243" s="210">
        <v>137</v>
      </c>
      <c r="I243" s="210" t="s">
        <v>752</v>
      </c>
      <c r="J243" s="898">
        <f t="shared" si="60"/>
        <v>6534.2150000000001</v>
      </c>
      <c r="K243" s="210">
        <v>539</v>
      </c>
      <c r="L243" s="210">
        <v>0</v>
      </c>
      <c r="M243" s="210">
        <v>0</v>
      </c>
      <c r="N243" s="1"/>
      <c r="O243" s="1"/>
      <c r="P243" s="1"/>
      <c r="Q243" s="1"/>
      <c r="R243" s="1"/>
      <c r="S243" s="1"/>
      <c r="T243" s="1"/>
      <c r="U243" s="1"/>
      <c r="V243" s="1"/>
      <c r="W243" s="1"/>
      <c r="X243" s="1"/>
      <c r="Y243" s="1"/>
      <c r="Z243" s="1"/>
    </row>
    <row r="244" spans="1:26" ht="15.75" customHeight="1">
      <c r="A244" s="1"/>
      <c r="B244" s="210"/>
      <c r="C244" s="210"/>
      <c r="D244" s="210"/>
      <c r="E244" s="210"/>
      <c r="F244" s="209"/>
      <c r="G244" s="210"/>
      <c r="H244" s="210"/>
      <c r="I244" s="210"/>
      <c r="J244" s="210"/>
      <c r="K244" s="210"/>
      <c r="L244" s="210"/>
      <c r="M244" s="210"/>
      <c r="N244" s="1"/>
      <c r="O244" s="1"/>
      <c r="P244" s="1"/>
      <c r="Q244" s="1"/>
      <c r="R244" s="1"/>
      <c r="S244" s="1"/>
      <c r="T244" s="1"/>
      <c r="U244" s="1"/>
      <c r="V244" s="1"/>
      <c r="W244" s="1"/>
      <c r="X244" s="1"/>
      <c r="Y244" s="1"/>
      <c r="Z244" s="1"/>
    </row>
    <row r="245" spans="1:26" ht="15.75" customHeight="1">
      <c r="A245" s="1"/>
      <c r="B245" s="210"/>
      <c r="C245" s="210" t="s">
        <v>565</v>
      </c>
      <c r="D245" s="210" t="s">
        <v>566</v>
      </c>
      <c r="E245" s="210" t="s">
        <v>477</v>
      </c>
      <c r="F245" s="209">
        <v>45059</v>
      </c>
      <c r="G245" s="210" t="s">
        <v>425</v>
      </c>
      <c r="H245" s="210">
        <v>137</v>
      </c>
      <c r="I245" s="210" t="s">
        <v>752</v>
      </c>
      <c r="J245" s="898">
        <f t="shared" ref="J245:J246" si="61">F245*H245/1000</f>
        <v>6173.0829999999996</v>
      </c>
      <c r="K245" s="911">
        <f>J245/J247*K247</f>
        <v>488.68335588098552</v>
      </c>
      <c r="L245" s="899">
        <f>J245/J247*L247</f>
        <v>2.4125892500981183E-2</v>
      </c>
      <c r="M245" s="899">
        <f>J245/J247*M247</f>
        <v>2.1445237778649944E-3</v>
      </c>
      <c r="N245" s="1"/>
      <c r="O245" s="1"/>
      <c r="P245" s="1"/>
      <c r="Q245" s="1"/>
      <c r="R245" s="1"/>
      <c r="S245" s="1"/>
      <c r="T245" s="1"/>
      <c r="U245" s="1"/>
      <c r="V245" s="1"/>
      <c r="W245" s="1"/>
      <c r="X245" s="1"/>
      <c r="Y245" s="1"/>
      <c r="Z245" s="1"/>
    </row>
    <row r="246" spans="1:26" ht="15.75" customHeight="1">
      <c r="A246" s="1"/>
      <c r="B246" s="210"/>
      <c r="C246" s="210"/>
      <c r="D246" s="210"/>
      <c r="E246" s="210" t="s">
        <v>613</v>
      </c>
      <c r="F246" s="209">
        <v>35607</v>
      </c>
      <c r="G246" s="210" t="s">
        <v>425</v>
      </c>
      <c r="H246" s="210">
        <v>150</v>
      </c>
      <c r="I246" s="210" t="s">
        <v>752</v>
      </c>
      <c r="J246" s="898">
        <f t="shared" si="61"/>
        <v>5341.05</v>
      </c>
      <c r="K246" s="911">
        <f>J246/J247*K247</f>
        <v>422.81664411901448</v>
      </c>
      <c r="L246" s="899">
        <f>J246/J247*L247</f>
        <v>2.0874107499018815E-2</v>
      </c>
      <c r="M246" s="899">
        <f>J246/J247*M247</f>
        <v>1.8554762221350059E-3</v>
      </c>
      <c r="N246" s="1"/>
      <c r="O246" s="1"/>
      <c r="P246" s="1"/>
      <c r="Q246" s="1"/>
      <c r="R246" s="1"/>
      <c r="S246" s="1"/>
      <c r="T246" s="1"/>
      <c r="U246" s="1"/>
      <c r="V246" s="1"/>
      <c r="W246" s="1"/>
      <c r="X246" s="1"/>
      <c r="Y246" s="1"/>
      <c r="Z246" s="1"/>
    </row>
    <row r="247" spans="1:26" ht="15.75" customHeight="1">
      <c r="A247" s="1"/>
      <c r="B247" s="210"/>
      <c r="C247" s="210"/>
      <c r="D247" s="210"/>
      <c r="E247" s="210"/>
      <c r="F247" s="209"/>
      <c r="G247" s="210"/>
      <c r="H247" s="210"/>
      <c r="I247" s="210"/>
      <c r="J247" s="901">
        <f>SUM(J245:J246)</f>
        <v>11514.133</v>
      </c>
      <c r="K247" s="903">
        <v>911.5</v>
      </c>
      <c r="L247" s="903">
        <v>4.4999999999999998E-2</v>
      </c>
      <c r="M247" s="903">
        <v>4.0000000000000001E-3</v>
      </c>
      <c r="N247" s="1"/>
      <c r="O247" s="1"/>
      <c r="P247" s="1"/>
      <c r="Q247" s="1"/>
      <c r="R247" s="1"/>
      <c r="S247" s="1"/>
      <c r="T247" s="1"/>
      <c r="U247" s="1"/>
      <c r="V247" s="1"/>
      <c r="W247" s="1"/>
      <c r="X247" s="1"/>
      <c r="Y247" s="1"/>
      <c r="Z247" s="1"/>
    </row>
    <row r="248" spans="1:26" ht="15.75" customHeight="1">
      <c r="A248" s="1"/>
      <c r="B248" s="210"/>
      <c r="C248" s="210" t="s">
        <v>567</v>
      </c>
      <c r="D248" s="210" t="s">
        <v>568</v>
      </c>
      <c r="E248" s="210" t="s">
        <v>477</v>
      </c>
      <c r="F248" s="209">
        <v>58124</v>
      </c>
      <c r="G248" s="210" t="s">
        <v>425</v>
      </c>
      <c r="H248" s="210">
        <v>137</v>
      </c>
      <c r="I248" s="210" t="s">
        <v>752</v>
      </c>
      <c r="J248" s="898">
        <f t="shared" ref="J248:J249" si="62">F248*H248/1000</f>
        <v>7962.9880000000003</v>
      </c>
      <c r="K248" s="911">
        <f>J248/J250*K250</f>
        <v>638.65848278562203</v>
      </c>
      <c r="L248" s="899">
        <f>J248/J250*L250</f>
        <v>3.1340185841837648E-2</v>
      </c>
      <c r="M248" s="899">
        <f>J248/J250*M250</f>
        <v>3.4065419393301795E-3</v>
      </c>
      <c r="N248" s="1"/>
      <c r="O248" s="1"/>
      <c r="P248" s="1"/>
      <c r="Q248" s="1"/>
      <c r="R248" s="1"/>
      <c r="S248" s="1"/>
      <c r="T248" s="1"/>
      <c r="U248" s="1"/>
      <c r="V248" s="1"/>
      <c r="W248" s="1"/>
      <c r="X248" s="1"/>
      <c r="Y248" s="1"/>
      <c r="Z248" s="1"/>
    </row>
    <row r="249" spans="1:26" ht="15.75" customHeight="1">
      <c r="A249" s="1"/>
      <c r="B249" s="210"/>
      <c r="C249" s="210"/>
      <c r="D249" s="210"/>
      <c r="E249" s="210" t="s">
        <v>613</v>
      </c>
      <c r="F249" s="209">
        <v>24832</v>
      </c>
      <c r="G249" s="210" t="s">
        <v>425</v>
      </c>
      <c r="H249" s="210">
        <v>150</v>
      </c>
      <c r="I249" s="210" t="s">
        <v>752</v>
      </c>
      <c r="J249" s="898">
        <f t="shared" si="62"/>
        <v>3724.8</v>
      </c>
      <c r="K249" s="911">
        <f>J249/J250*K250</f>
        <v>298.74151721437795</v>
      </c>
      <c r="L249" s="899">
        <f>J249/J250*L250</f>
        <v>1.465981415816235E-2</v>
      </c>
      <c r="M249" s="899">
        <f>J249/J250*M250</f>
        <v>1.5934580606698206E-3</v>
      </c>
      <c r="N249" s="1"/>
      <c r="O249" s="1"/>
      <c r="P249" s="1"/>
      <c r="Q249" s="1"/>
      <c r="R249" s="1"/>
      <c r="S249" s="1"/>
      <c r="T249" s="1"/>
      <c r="U249" s="1"/>
      <c r="V249" s="1"/>
      <c r="W249" s="1"/>
      <c r="X249" s="1"/>
      <c r="Y249" s="1"/>
      <c r="Z249" s="1"/>
    </row>
    <row r="250" spans="1:26" ht="15.75" customHeight="1">
      <c r="A250" s="1"/>
      <c r="B250" s="210"/>
      <c r="C250" s="210"/>
      <c r="D250" s="210"/>
      <c r="E250" s="210"/>
      <c r="F250" s="209"/>
      <c r="G250" s="210"/>
      <c r="H250" s="210"/>
      <c r="I250" s="210"/>
      <c r="J250" s="901">
        <f>SUM(J248:J249)</f>
        <v>11687.788</v>
      </c>
      <c r="K250" s="903">
        <v>937.4</v>
      </c>
      <c r="L250" s="903">
        <v>4.5999999999999999E-2</v>
      </c>
      <c r="M250" s="903">
        <v>5.0000000000000001E-3</v>
      </c>
      <c r="N250" s="1"/>
      <c r="O250" s="1"/>
      <c r="P250" s="1"/>
      <c r="Q250" s="1"/>
      <c r="R250" s="1"/>
      <c r="S250" s="1"/>
      <c r="T250" s="1"/>
      <c r="U250" s="1"/>
      <c r="V250" s="1"/>
      <c r="W250" s="1"/>
      <c r="X250" s="1"/>
      <c r="Y250" s="1"/>
      <c r="Z250" s="1"/>
    </row>
    <row r="251" spans="1:26" ht="15.75" customHeight="1">
      <c r="A251" s="1"/>
      <c r="B251" s="210"/>
      <c r="C251" s="210"/>
      <c r="D251" s="210"/>
      <c r="E251" s="210"/>
      <c r="F251" s="209"/>
      <c r="G251" s="210"/>
      <c r="H251" s="210"/>
      <c r="I251" s="210"/>
      <c r="J251" s="210"/>
      <c r="K251" s="210"/>
      <c r="L251" s="210"/>
      <c r="M251" s="210"/>
      <c r="N251" s="1"/>
      <c r="O251" s="1"/>
      <c r="P251" s="1"/>
      <c r="Q251" s="1"/>
      <c r="R251" s="1"/>
      <c r="S251" s="1"/>
      <c r="T251" s="1"/>
      <c r="U251" s="1"/>
      <c r="V251" s="1"/>
      <c r="W251" s="1"/>
      <c r="X251" s="1"/>
      <c r="Y251" s="1"/>
      <c r="Z251" s="1"/>
    </row>
    <row r="252" spans="1:26" ht="15.75" customHeight="1">
      <c r="A252" s="1"/>
      <c r="B252" s="210"/>
      <c r="C252" s="210" t="s">
        <v>569</v>
      </c>
      <c r="D252" s="210" t="s">
        <v>570</v>
      </c>
      <c r="E252" s="210" t="s">
        <v>477</v>
      </c>
      <c r="F252" s="209">
        <v>39785</v>
      </c>
      <c r="G252" s="210" t="s">
        <v>425</v>
      </c>
      <c r="H252" s="210">
        <v>137</v>
      </c>
      <c r="I252" s="210" t="s">
        <v>752</v>
      </c>
      <c r="J252" s="898">
        <f t="shared" ref="J252:J253" si="63">F252*H252/1000</f>
        <v>5450.5450000000001</v>
      </c>
      <c r="K252" s="911">
        <f>J252/J254*K254</f>
        <v>427.42779658087198</v>
      </c>
      <c r="L252" s="899">
        <f>J252/J254*L254</f>
        <v>2.1176908020690319E-2</v>
      </c>
      <c r="M252" s="899">
        <f>J252/J254*M254</f>
        <v>2.1609089817030938E-3</v>
      </c>
      <c r="N252" s="1"/>
      <c r="O252" s="1"/>
      <c r="P252" s="1"/>
      <c r="Q252" s="1"/>
      <c r="R252" s="1"/>
      <c r="S252" s="1"/>
      <c r="T252" s="1"/>
      <c r="U252" s="1"/>
      <c r="V252" s="1"/>
      <c r="W252" s="1"/>
      <c r="X252" s="1"/>
      <c r="Y252" s="1"/>
      <c r="Z252" s="1"/>
    </row>
    <row r="253" spans="1:26" ht="15.75" customHeight="1">
      <c r="A253" s="1"/>
      <c r="B253" s="210"/>
      <c r="C253" s="210"/>
      <c r="D253" s="210"/>
      <c r="E253" s="210" t="s">
        <v>613</v>
      </c>
      <c r="F253" s="209">
        <v>47741</v>
      </c>
      <c r="G253" s="210" t="s">
        <v>425</v>
      </c>
      <c r="H253" s="210">
        <v>150</v>
      </c>
      <c r="I253" s="210" t="s">
        <v>752</v>
      </c>
      <c r="J253" s="898">
        <f t="shared" si="63"/>
        <v>7161.15</v>
      </c>
      <c r="K253" s="911">
        <f>J253/J254*K254</f>
        <v>561.57220341912796</v>
      </c>
      <c r="L253" s="899">
        <f>J253/J254*L254</f>
        <v>2.782309197930968E-2</v>
      </c>
      <c r="M253" s="899">
        <f>J253/J254*M254</f>
        <v>2.8390910182969058E-3</v>
      </c>
      <c r="N253" s="1"/>
      <c r="O253" s="1"/>
      <c r="P253" s="1"/>
      <c r="Q253" s="1"/>
      <c r="R253" s="1"/>
      <c r="S253" s="1"/>
      <c r="T253" s="1"/>
      <c r="U253" s="1"/>
      <c r="V253" s="1"/>
      <c r="W253" s="1"/>
      <c r="X253" s="1"/>
      <c r="Y253" s="1"/>
      <c r="Z253" s="1"/>
    </row>
    <row r="254" spans="1:26" ht="15.75" customHeight="1">
      <c r="A254" s="1"/>
      <c r="B254" s="210"/>
      <c r="C254" s="210"/>
      <c r="D254" s="210"/>
      <c r="E254" s="210"/>
      <c r="F254" s="209"/>
      <c r="G254" s="210"/>
      <c r="H254" s="210"/>
      <c r="I254" s="210"/>
      <c r="J254" s="901">
        <f>SUM(J252:J253)</f>
        <v>12611.695</v>
      </c>
      <c r="K254" s="903">
        <v>989</v>
      </c>
      <c r="L254" s="903">
        <v>4.9000000000000002E-2</v>
      </c>
      <c r="M254" s="903">
        <v>5.0000000000000001E-3</v>
      </c>
      <c r="N254" s="1"/>
      <c r="O254" s="1"/>
      <c r="P254" s="1"/>
      <c r="Q254" s="1"/>
      <c r="R254" s="1"/>
      <c r="S254" s="1"/>
      <c r="T254" s="1"/>
      <c r="U254" s="1"/>
      <c r="V254" s="1"/>
      <c r="W254" s="1"/>
      <c r="X254" s="1"/>
      <c r="Y254" s="1"/>
      <c r="Z254" s="1"/>
    </row>
    <row r="255" spans="1:26" ht="15.75" customHeight="1">
      <c r="A255" s="1"/>
      <c r="B255" s="210"/>
      <c r="C255" s="210"/>
      <c r="D255" s="210"/>
      <c r="E255" s="210"/>
      <c r="F255" s="209"/>
      <c r="G255" s="210"/>
      <c r="H255" s="210"/>
      <c r="I255" s="210"/>
      <c r="J255" s="210"/>
      <c r="K255" s="210"/>
      <c r="L255" s="210"/>
      <c r="M255" s="210"/>
      <c r="N255" s="1"/>
      <c r="O255" s="1"/>
      <c r="P255" s="1"/>
      <c r="Q255" s="1"/>
      <c r="R255" s="1"/>
      <c r="S255" s="1"/>
      <c r="T255" s="1"/>
      <c r="U255" s="1"/>
      <c r="V255" s="1"/>
      <c r="W255" s="1"/>
      <c r="X255" s="1"/>
      <c r="Y255" s="1"/>
      <c r="Z255" s="1"/>
    </row>
    <row r="256" spans="1:26" ht="15.75" customHeight="1">
      <c r="A256" s="1"/>
      <c r="B256" s="210"/>
      <c r="C256" s="210" t="s">
        <v>571</v>
      </c>
      <c r="D256" s="210" t="s">
        <v>572</v>
      </c>
      <c r="E256" s="210" t="s">
        <v>477</v>
      </c>
      <c r="F256" s="209">
        <v>26150</v>
      </c>
      <c r="G256" s="210" t="s">
        <v>425</v>
      </c>
      <c r="H256" s="210">
        <v>137</v>
      </c>
      <c r="I256" s="210" t="s">
        <v>752</v>
      </c>
      <c r="J256" s="898">
        <f t="shared" ref="J256:J257" si="64">F256*H256/1000</f>
        <v>3582.55</v>
      </c>
      <c r="K256" s="911">
        <f>J256/J258*K258</f>
        <v>277.77711438713794</v>
      </c>
      <c r="L256" s="899">
        <f>J256/J258*L258</f>
        <v>1.3581723561544691E-2</v>
      </c>
      <c r="M256" s="899">
        <f>J256/J258*M258</f>
        <v>1.2347021419586083E-3</v>
      </c>
      <c r="N256" s="1"/>
      <c r="O256" s="1"/>
      <c r="P256" s="1"/>
      <c r="Q256" s="1"/>
      <c r="R256" s="1"/>
      <c r="S256" s="1"/>
      <c r="T256" s="1"/>
      <c r="U256" s="1"/>
      <c r="V256" s="1"/>
      <c r="W256" s="1"/>
      <c r="X256" s="1"/>
      <c r="Y256" s="1"/>
      <c r="Z256" s="1"/>
    </row>
    <row r="257" spans="1:26" ht="15.75" customHeight="1">
      <c r="A257" s="1"/>
      <c r="B257" s="210"/>
      <c r="C257" s="210"/>
      <c r="D257" s="210"/>
      <c r="E257" s="210" t="s">
        <v>613</v>
      </c>
      <c r="F257" s="209">
        <v>53491</v>
      </c>
      <c r="G257" s="210" t="s">
        <v>425</v>
      </c>
      <c r="H257" s="210">
        <v>150</v>
      </c>
      <c r="I257" s="210" t="s">
        <v>752</v>
      </c>
      <c r="J257" s="898">
        <f t="shared" si="64"/>
        <v>8023.65</v>
      </c>
      <c r="K257" s="911">
        <f>J257/J258*K258</f>
        <v>622.12288561286198</v>
      </c>
      <c r="L257" s="899">
        <f>J257/J258*L258</f>
        <v>3.0418276438455301E-2</v>
      </c>
      <c r="M257" s="899">
        <f>J257/J258*M258</f>
        <v>2.7652978580413913E-3</v>
      </c>
      <c r="N257" s="1"/>
      <c r="O257" s="1"/>
      <c r="P257" s="1"/>
      <c r="Q257" s="1"/>
      <c r="R257" s="1"/>
      <c r="S257" s="1"/>
      <c r="T257" s="1"/>
      <c r="U257" s="1"/>
      <c r="V257" s="1"/>
      <c r="W257" s="1"/>
      <c r="X257" s="1"/>
      <c r="Y257" s="1"/>
      <c r="Z257" s="1"/>
    </row>
    <row r="258" spans="1:26" ht="15.75" customHeight="1">
      <c r="A258" s="1"/>
      <c r="B258" s="210"/>
      <c r="C258" s="210"/>
      <c r="D258" s="210"/>
      <c r="E258" s="210"/>
      <c r="F258" s="210"/>
      <c r="G258" s="210"/>
      <c r="H258" s="210"/>
      <c r="I258" s="210"/>
      <c r="J258" s="901">
        <f>SUM(J256:J257)</f>
        <v>11606.2</v>
      </c>
      <c r="K258" s="903">
        <v>899.9</v>
      </c>
      <c r="L258" s="903">
        <v>4.3999999999999997E-2</v>
      </c>
      <c r="M258" s="903">
        <v>4.0000000000000001E-3</v>
      </c>
      <c r="N258" s="1"/>
      <c r="O258" s="1"/>
      <c r="P258" s="1"/>
      <c r="Q258" s="1"/>
      <c r="R258" s="1"/>
      <c r="S258" s="1"/>
      <c r="T258" s="1"/>
      <c r="U258" s="1"/>
      <c r="V258" s="1"/>
      <c r="W258" s="1"/>
      <c r="X258" s="1"/>
      <c r="Y258" s="1"/>
      <c r="Z258" s="1"/>
    </row>
    <row r="259" spans="1:26" ht="15.75" customHeight="1">
      <c r="A259" s="1"/>
      <c r="B259" s="904"/>
      <c r="C259" s="904"/>
      <c r="D259" s="904"/>
      <c r="E259" s="904"/>
      <c r="F259" s="904"/>
      <c r="G259" s="904"/>
      <c r="H259" s="904"/>
      <c r="I259" s="904"/>
      <c r="J259" s="904"/>
      <c r="K259" s="904"/>
      <c r="L259" s="904"/>
      <c r="M259" s="904"/>
      <c r="N259" s="1"/>
      <c r="O259" s="1"/>
      <c r="P259" s="1"/>
      <c r="Q259" s="1"/>
      <c r="R259" s="1"/>
      <c r="S259" s="1"/>
      <c r="T259" s="1"/>
      <c r="U259" s="1"/>
      <c r="V259" s="1"/>
      <c r="W259" s="1"/>
      <c r="X259" s="1"/>
      <c r="Y259" s="1"/>
      <c r="Z259" s="1"/>
    </row>
    <row r="260" spans="1:26" ht="15.75" customHeight="1">
      <c r="A260" s="1"/>
      <c r="B260" s="210"/>
      <c r="C260" s="210"/>
      <c r="D260" s="210"/>
      <c r="E260" s="210"/>
      <c r="F260" s="210"/>
      <c r="G260" s="210"/>
      <c r="H260" s="210"/>
      <c r="I260" s="210"/>
      <c r="J260" s="210"/>
      <c r="K260" s="210"/>
      <c r="L260" s="210"/>
      <c r="M260" s="210"/>
      <c r="N260" s="1"/>
      <c r="O260" s="1"/>
      <c r="P260" s="1"/>
      <c r="Q260" s="1"/>
      <c r="R260" s="1"/>
      <c r="S260" s="1"/>
      <c r="T260" s="1"/>
      <c r="U260" s="1"/>
      <c r="V260" s="1"/>
      <c r="W260" s="1"/>
      <c r="X260" s="1"/>
      <c r="Y260" s="1"/>
      <c r="Z260" s="1"/>
    </row>
    <row r="261" spans="1:26" ht="15.75" customHeight="1">
      <c r="A261" s="1"/>
      <c r="B261" s="210" t="s">
        <v>573</v>
      </c>
      <c r="C261" s="30" t="s">
        <v>574</v>
      </c>
      <c r="D261" s="210"/>
      <c r="E261" s="210"/>
      <c r="F261" s="210"/>
      <c r="G261" s="210"/>
      <c r="H261" s="210"/>
      <c r="I261" s="210"/>
      <c r="J261" s="210"/>
      <c r="K261" s="210"/>
      <c r="L261" s="210"/>
      <c r="M261" s="210"/>
      <c r="N261" s="1"/>
      <c r="O261" s="1"/>
      <c r="P261" s="1"/>
      <c r="Q261" s="1"/>
      <c r="R261" s="1"/>
      <c r="S261" s="1"/>
      <c r="T261" s="1"/>
      <c r="U261" s="1"/>
      <c r="V261" s="1"/>
      <c r="W261" s="1"/>
      <c r="X261" s="1"/>
      <c r="Y261" s="1"/>
      <c r="Z261" s="1"/>
    </row>
    <row r="262" spans="1:26" ht="15.75" customHeight="1">
      <c r="A262" s="1"/>
      <c r="B262" s="210"/>
      <c r="C262" s="210"/>
      <c r="D262" s="210"/>
      <c r="E262" s="210"/>
      <c r="F262" s="210"/>
      <c r="G262" s="210"/>
      <c r="H262" s="210"/>
      <c r="I262" s="210"/>
      <c r="J262" s="210"/>
      <c r="K262" s="210"/>
      <c r="L262" s="210"/>
      <c r="M262" s="210"/>
      <c r="N262" s="1"/>
      <c r="O262" s="1"/>
      <c r="P262" s="1"/>
      <c r="Q262" s="1"/>
      <c r="R262" s="1"/>
      <c r="S262" s="1"/>
      <c r="T262" s="1"/>
      <c r="U262" s="1"/>
      <c r="V262" s="1"/>
      <c r="W262" s="1"/>
      <c r="X262" s="1"/>
      <c r="Y262" s="1"/>
      <c r="Z262" s="1"/>
    </row>
    <row r="263" spans="1:26" ht="15.75" customHeight="1">
      <c r="A263" s="1"/>
      <c r="B263" s="210"/>
      <c r="C263" s="210" t="s">
        <v>548</v>
      </c>
      <c r="D263" s="210" t="s">
        <v>575</v>
      </c>
      <c r="E263" s="210" t="s">
        <v>477</v>
      </c>
      <c r="F263" s="209">
        <v>9912</v>
      </c>
      <c r="G263" s="210" t="s">
        <v>425</v>
      </c>
      <c r="H263" s="209">
        <v>140983</v>
      </c>
      <c r="I263" s="210" t="s">
        <v>558</v>
      </c>
      <c r="J263" s="209">
        <f t="shared" ref="J263:J266" si="65">F263*H263/1000000</f>
        <v>1397.4234959999999</v>
      </c>
      <c r="K263" s="210">
        <v>110.02</v>
      </c>
      <c r="L263" s="210">
        <v>0</v>
      </c>
      <c r="M263" s="210">
        <v>0</v>
      </c>
      <c r="N263" s="1"/>
      <c r="O263" s="1"/>
      <c r="P263" s="1"/>
      <c r="Q263" s="1"/>
      <c r="R263" s="1"/>
      <c r="S263" s="1"/>
      <c r="T263" s="1"/>
      <c r="U263" s="1"/>
      <c r="V263" s="1"/>
      <c r="W263" s="1"/>
      <c r="X263" s="1"/>
      <c r="Y263" s="1"/>
      <c r="Z263" s="1"/>
    </row>
    <row r="264" spans="1:26" ht="15.75" customHeight="1">
      <c r="A264" s="1"/>
      <c r="B264" s="210"/>
      <c r="C264" s="210" t="s">
        <v>550</v>
      </c>
      <c r="D264" s="210" t="s">
        <v>576</v>
      </c>
      <c r="E264" s="210" t="s">
        <v>477</v>
      </c>
      <c r="F264" s="209">
        <v>3968</v>
      </c>
      <c r="G264" s="210" t="s">
        <v>425</v>
      </c>
      <c r="H264" s="209">
        <v>140984</v>
      </c>
      <c r="I264" s="210" t="s">
        <v>558</v>
      </c>
      <c r="J264" s="209">
        <f t="shared" si="65"/>
        <v>559.42451200000005</v>
      </c>
      <c r="K264" s="210">
        <v>44.04</v>
      </c>
      <c r="L264" s="210">
        <v>0</v>
      </c>
      <c r="M264" s="210">
        <v>0</v>
      </c>
      <c r="N264" s="1"/>
      <c r="O264" s="1"/>
      <c r="P264" s="1"/>
      <c r="Q264" s="1"/>
      <c r="R264" s="1"/>
      <c r="S264" s="1"/>
      <c r="T264" s="1"/>
      <c r="U264" s="1"/>
      <c r="V264" s="1"/>
      <c r="W264" s="1"/>
      <c r="X264" s="1"/>
      <c r="Y264" s="1"/>
      <c r="Z264" s="1"/>
    </row>
    <row r="265" spans="1:26" ht="15.75" customHeight="1">
      <c r="A265" s="1"/>
      <c r="B265" s="210"/>
      <c r="C265" s="210" t="s">
        <v>537</v>
      </c>
      <c r="D265" s="210" t="s">
        <v>577</v>
      </c>
      <c r="E265" s="210" t="s">
        <v>477</v>
      </c>
      <c r="F265" s="209">
        <v>5238</v>
      </c>
      <c r="G265" s="210" t="s">
        <v>425</v>
      </c>
      <c r="H265" s="209">
        <v>140987</v>
      </c>
      <c r="I265" s="210" t="s">
        <v>558</v>
      </c>
      <c r="J265" s="209">
        <f t="shared" si="65"/>
        <v>738.48990600000002</v>
      </c>
      <c r="K265" s="210">
        <v>58.14</v>
      </c>
      <c r="L265" s="210">
        <v>0</v>
      </c>
      <c r="M265" s="210">
        <v>0</v>
      </c>
      <c r="N265" s="1"/>
      <c r="O265" s="1"/>
      <c r="P265" s="1"/>
      <c r="Q265" s="1"/>
      <c r="R265" s="1"/>
      <c r="S265" s="1"/>
      <c r="T265" s="1"/>
      <c r="U265" s="1"/>
      <c r="V265" s="1"/>
      <c r="W265" s="1"/>
      <c r="X265" s="1"/>
      <c r="Y265" s="1"/>
      <c r="Z265" s="1"/>
    </row>
    <row r="266" spans="1:26" ht="15.75" customHeight="1">
      <c r="A266" s="1"/>
      <c r="B266" s="210"/>
      <c r="C266" s="210" t="s">
        <v>578</v>
      </c>
      <c r="D266" s="210" t="s">
        <v>577</v>
      </c>
      <c r="E266" s="210" t="s">
        <v>477</v>
      </c>
      <c r="F266" s="209">
        <v>5198</v>
      </c>
      <c r="G266" s="210" t="s">
        <v>425</v>
      </c>
      <c r="H266" s="209">
        <v>140987</v>
      </c>
      <c r="I266" s="210" t="s">
        <v>558</v>
      </c>
      <c r="J266" s="209">
        <f t="shared" si="65"/>
        <v>732.85042599999997</v>
      </c>
      <c r="K266" s="210">
        <v>57.7</v>
      </c>
      <c r="L266" s="210">
        <v>0</v>
      </c>
      <c r="M266" s="210">
        <v>0</v>
      </c>
      <c r="N266" s="1"/>
      <c r="O266" s="1"/>
      <c r="P266" s="1"/>
      <c r="Q266" s="1"/>
      <c r="R266" s="1"/>
      <c r="S266" s="1"/>
      <c r="T266" s="1"/>
      <c r="U266" s="1"/>
      <c r="V266" s="1"/>
      <c r="W266" s="1"/>
      <c r="X266" s="1"/>
      <c r="Y266" s="1"/>
      <c r="Z266" s="1"/>
    </row>
    <row r="267" spans="1:26" ht="15.75" customHeight="1">
      <c r="A267" s="1"/>
      <c r="B267" s="904"/>
      <c r="C267" s="904"/>
      <c r="D267" s="904"/>
      <c r="E267" s="904"/>
      <c r="F267" s="904"/>
      <c r="G267" s="904"/>
      <c r="H267" s="904"/>
      <c r="I267" s="904"/>
      <c r="J267" s="904"/>
      <c r="K267" s="904"/>
      <c r="L267" s="904"/>
      <c r="M267" s="904"/>
      <c r="N267" s="1"/>
      <c r="O267" s="1"/>
      <c r="P267" s="1"/>
      <c r="Q267" s="1"/>
      <c r="R267" s="1"/>
      <c r="S267" s="1"/>
      <c r="T267" s="1"/>
      <c r="U267" s="1"/>
      <c r="V267" s="1"/>
      <c r="W267" s="1"/>
      <c r="X267" s="1"/>
      <c r="Y267" s="1"/>
      <c r="Z267" s="1"/>
    </row>
    <row r="268" spans="1:26" ht="15.75" customHeight="1">
      <c r="A268" s="1"/>
      <c r="B268" s="210"/>
      <c r="C268" s="210"/>
      <c r="D268" s="210"/>
      <c r="E268" s="210"/>
      <c r="F268" s="210"/>
      <c r="G268" s="210"/>
      <c r="H268" s="210"/>
      <c r="I268" s="210"/>
      <c r="J268" s="210"/>
      <c r="K268" s="210"/>
      <c r="L268" s="210"/>
      <c r="M268" s="210"/>
      <c r="N268" s="1"/>
      <c r="O268" s="1"/>
      <c r="P268" s="1"/>
      <c r="Q268" s="1"/>
      <c r="R268" s="1"/>
      <c r="S268" s="1"/>
      <c r="T268" s="1"/>
      <c r="U268" s="1"/>
      <c r="V268" s="1"/>
      <c r="W268" s="1"/>
      <c r="X268" s="1"/>
      <c r="Y268" s="1"/>
      <c r="Z268" s="1"/>
    </row>
    <row r="269" spans="1:26" ht="15.75" customHeight="1">
      <c r="A269" s="1"/>
      <c r="B269" s="210" t="s">
        <v>580</v>
      </c>
      <c r="C269" s="30" t="s">
        <v>756</v>
      </c>
      <c r="D269" s="210"/>
      <c r="E269" s="210"/>
      <c r="F269" s="210"/>
      <c r="G269" s="210"/>
      <c r="H269" s="210"/>
      <c r="I269" s="210"/>
      <c r="J269" s="210"/>
      <c r="K269" s="210"/>
      <c r="L269" s="210"/>
      <c r="M269" s="210"/>
      <c r="N269" s="1"/>
      <c r="O269" s="1"/>
      <c r="P269" s="1"/>
      <c r="Q269" s="1"/>
      <c r="R269" s="1"/>
      <c r="S269" s="1"/>
      <c r="T269" s="1"/>
      <c r="U269" s="1"/>
      <c r="V269" s="1"/>
      <c r="W269" s="1"/>
      <c r="X269" s="1"/>
      <c r="Y269" s="1"/>
      <c r="Z269" s="1"/>
    </row>
    <row r="270" spans="1:26" ht="15.75" customHeight="1">
      <c r="A270" s="1"/>
      <c r="B270" s="210"/>
      <c r="C270" s="210" t="s">
        <v>582</v>
      </c>
      <c r="D270" s="210" t="s">
        <v>757</v>
      </c>
      <c r="E270" s="210" t="s">
        <v>477</v>
      </c>
      <c r="F270" s="209">
        <v>10166</v>
      </c>
      <c r="G270" s="210" t="s">
        <v>425</v>
      </c>
      <c r="H270" s="209">
        <v>141494</v>
      </c>
      <c r="I270" s="210" t="s">
        <v>558</v>
      </c>
      <c r="J270" s="209">
        <f t="shared" ref="J270:J273" si="66">F270*H270/1000000</f>
        <v>1438.4280040000001</v>
      </c>
      <c r="K270" s="210">
        <v>115</v>
      </c>
      <c r="L270" s="210">
        <v>6.0000000000000001E-3</v>
      </c>
      <c r="M270" s="210">
        <v>0</v>
      </c>
      <c r="N270" s="1"/>
      <c r="O270" s="1"/>
      <c r="P270" s="1"/>
      <c r="Q270" s="1"/>
      <c r="R270" s="1"/>
      <c r="S270" s="1"/>
      <c r="T270" s="1"/>
      <c r="U270" s="1"/>
      <c r="V270" s="1"/>
      <c r="W270" s="1"/>
      <c r="X270" s="1"/>
      <c r="Y270" s="1"/>
      <c r="Z270" s="1"/>
    </row>
    <row r="271" spans="1:26" ht="15.75" customHeight="1">
      <c r="A271" s="1"/>
      <c r="B271" s="210"/>
      <c r="C271" s="210" t="s">
        <v>584</v>
      </c>
      <c r="D271" s="210" t="s">
        <v>373</v>
      </c>
      <c r="E271" s="210" t="s">
        <v>477</v>
      </c>
      <c r="F271" s="209">
        <v>10078</v>
      </c>
      <c r="G271" s="210" t="s">
        <v>425</v>
      </c>
      <c r="H271" s="209">
        <v>141494</v>
      </c>
      <c r="I271" s="210" t="s">
        <v>558</v>
      </c>
      <c r="J271" s="209">
        <f t="shared" si="66"/>
        <v>1425.9765319999999</v>
      </c>
      <c r="K271" s="210">
        <v>114</v>
      </c>
      <c r="L271" s="210">
        <v>6.0000000000000001E-3</v>
      </c>
      <c r="M271" s="210">
        <v>0</v>
      </c>
      <c r="N271" s="1"/>
      <c r="O271" s="1"/>
      <c r="P271" s="1"/>
      <c r="Q271" s="1"/>
      <c r="R271" s="1"/>
      <c r="S271" s="1"/>
      <c r="T271" s="1"/>
      <c r="U271" s="1"/>
      <c r="V271" s="1"/>
      <c r="W271" s="1"/>
      <c r="X271" s="1"/>
      <c r="Y271" s="1"/>
      <c r="Z271" s="1"/>
    </row>
    <row r="272" spans="1:26" ht="15.75" customHeight="1">
      <c r="A272" s="1"/>
      <c r="B272" s="210"/>
      <c r="C272" s="210" t="s">
        <v>586</v>
      </c>
      <c r="D272" s="210" t="s">
        <v>390</v>
      </c>
      <c r="E272" s="210" t="s">
        <v>477</v>
      </c>
      <c r="F272" s="209">
        <v>10166</v>
      </c>
      <c r="G272" s="210" t="s">
        <v>425</v>
      </c>
      <c r="H272" s="209">
        <v>141494</v>
      </c>
      <c r="I272" s="210" t="s">
        <v>558</v>
      </c>
      <c r="J272" s="209">
        <f t="shared" si="66"/>
        <v>1438.4280040000001</v>
      </c>
      <c r="K272" s="210">
        <v>115</v>
      </c>
      <c r="L272" s="210">
        <v>6.0000000000000001E-3</v>
      </c>
      <c r="M272" s="210">
        <v>0</v>
      </c>
      <c r="N272" s="1"/>
      <c r="O272" s="1"/>
      <c r="P272" s="1"/>
      <c r="Q272" s="1"/>
      <c r="R272" s="1"/>
      <c r="S272" s="1"/>
      <c r="T272" s="1"/>
      <c r="U272" s="1"/>
      <c r="V272" s="1"/>
      <c r="W272" s="1"/>
      <c r="X272" s="1"/>
      <c r="Y272" s="1"/>
      <c r="Z272" s="1"/>
    </row>
    <row r="273" spans="1:26" ht="15.75" customHeight="1">
      <c r="A273" s="1"/>
      <c r="B273" s="210"/>
      <c r="C273" s="210" t="s">
        <v>588</v>
      </c>
      <c r="D273" s="210" t="s">
        <v>615</v>
      </c>
      <c r="E273" s="210" t="s">
        <v>477</v>
      </c>
      <c r="F273" s="209">
        <v>10166</v>
      </c>
      <c r="G273" s="210" t="s">
        <v>425</v>
      </c>
      <c r="H273" s="209">
        <v>141494</v>
      </c>
      <c r="I273" s="210" t="s">
        <v>558</v>
      </c>
      <c r="J273" s="209">
        <f t="shared" si="66"/>
        <v>1438.4280040000001</v>
      </c>
      <c r="K273" s="210">
        <v>115</v>
      </c>
      <c r="L273" s="210">
        <v>6.0000000000000001E-3</v>
      </c>
      <c r="M273" s="210">
        <v>0</v>
      </c>
      <c r="N273" s="1"/>
      <c r="O273" s="1"/>
      <c r="P273" s="1"/>
      <c r="Q273" s="1"/>
      <c r="R273" s="1"/>
      <c r="S273" s="1"/>
      <c r="T273" s="1"/>
      <c r="U273" s="1"/>
      <c r="V273" s="1"/>
      <c r="W273" s="1"/>
      <c r="X273" s="1"/>
      <c r="Y273" s="1"/>
      <c r="Z273" s="1"/>
    </row>
    <row r="274" spans="1:26" ht="15.75" customHeight="1">
      <c r="A274" s="1"/>
      <c r="B274" s="564"/>
      <c r="C274" s="564"/>
      <c r="D274" s="564"/>
      <c r="E274" s="564"/>
      <c r="F274" s="564"/>
      <c r="G274" s="564"/>
      <c r="H274" s="564"/>
      <c r="I274" s="564"/>
      <c r="J274" s="564"/>
      <c r="K274" s="564"/>
      <c r="L274" s="564"/>
      <c r="M274" s="564"/>
      <c r="N274" s="1"/>
      <c r="O274" s="1"/>
      <c r="P274" s="1"/>
      <c r="Q274" s="1"/>
      <c r="R274" s="1"/>
      <c r="S274" s="1"/>
      <c r="T274" s="1"/>
      <c r="U274" s="1"/>
      <c r="V274" s="1"/>
      <c r="W274" s="1"/>
      <c r="X274" s="1"/>
      <c r="Y274" s="1"/>
      <c r="Z274" s="1"/>
    </row>
    <row r="275" spans="1:26" ht="15.75" customHeight="1">
      <c r="A275" s="1"/>
      <c r="B275" s="210"/>
      <c r="C275" s="210"/>
      <c r="D275" s="210"/>
      <c r="E275" s="210"/>
      <c r="F275" s="210"/>
      <c r="G275" s="210"/>
      <c r="H275" s="210"/>
      <c r="I275" s="210"/>
      <c r="J275" s="210"/>
      <c r="K275" s="210"/>
      <c r="L275" s="210"/>
      <c r="M275" s="210"/>
      <c r="N275" s="1"/>
      <c r="O275" s="1"/>
      <c r="P275" s="1"/>
      <c r="Q275" s="1"/>
      <c r="R275" s="1"/>
      <c r="S275" s="1"/>
      <c r="T275" s="1"/>
      <c r="U275" s="1"/>
      <c r="V275" s="1"/>
      <c r="W275" s="1"/>
      <c r="X275" s="1"/>
      <c r="Y275" s="1"/>
      <c r="Z275" s="1"/>
    </row>
    <row r="276" spans="1:26" ht="15.75" customHeight="1">
      <c r="A276" s="1"/>
      <c r="B276" s="210" t="s">
        <v>590</v>
      </c>
      <c r="C276" s="30" t="s">
        <v>591</v>
      </c>
      <c r="D276" s="210"/>
      <c r="E276" s="210"/>
      <c r="F276" s="210"/>
      <c r="G276" s="210"/>
      <c r="H276" s="210"/>
      <c r="I276" s="210"/>
      <c r="J276" s="210"/>
      <c r="K276" s="210"/>
      <c r="L276" s="210"/>
      <c r="M276" s="210"/>
      <c r="N276" s="1"/>
      <c r="O276" s="1"/>
      <c r="P276" s="1"/>
      <c r="Q276" s="1"/>
      <c r="R276" s="1"/>
      <c r="S276" s="1"/>
      <c r="T276" s="1"/>
      <c r="U276" s="1"/>
      <c r="V276" s="1"/>
      <c r="W276" s="1"/>
      <c r="X276" s="1"/>
      <c r="Y276" s="1"/>
      <c r="Z276" s="1"/>
    </row>
    <row r="277" spans="1:26" ht="15.75" customHeight="1">
      <c r="A277" s="1"/>
      <c r="B277" s="210"/>
      <c r="C277" s="210" t="s">
        <v>592</v>
      </c>
      <c r="D277" s="210" t="s">
        <v>758</v>
      </c>
      <c r="E277" s="210" t="s">
        <v>477</v>
      </c>
      <c r="F277" s="209">
        <v>15847</v>
      </c>
      <c r="G277" s="210" t="s">
        <v>425</v>
      </c>
      <c r="H277" s="209">
        <v>137030</v>
      </c>
      <c r="I277" s="210" t="s">
        <v>558</v>
      </c>
      <c r="J277" s="209">
        <f t="shared" ref="J277:J283" si="67">F277*H277/1000000</f>
        <v>2171.5144100000002</v>
      </c>
      <c r="K277" s="210">
        <v>177.04</v>
      </c>
      <c r="L277" s="210">
        <v>0.01</v>
      </c>
      <c r="M277" s="210">
        <v>0</v>
      </c>
      <c r="N277" s="1"/>
      <c r="O277" s="1"/>
      <c r="P277" s="1"/>
      <c r="Q277" s="1"/>
      <c r="R277" s="1"/>
      <c r="S277" s="1"/>
      <c r="T277" s="1"/>
      <c r="U277" s="1"/>
      <c r="V277" s="1"/>
      <c r="W277" s="1"/>
      <c r="X277" s="1"/>
      <c r="Y277" s="1"/>
      <c r="Z277" s="1"/>
    </row>
    <row r="278" spans="1:26" ht="15.75" customHeight="1">
      <c r="A278" s="1"/>
      <c r="B278" s="210"/>
      <c r="C278" s="210" t="s">
        <v>594</v>
      </c>
      <c r="D278" s="210" t="s">
        <v>759</v>
      </c>
      <c r="E278" s="210" t="s">
        <v>477</v>
      </c>
      <c r="F278" s="209">
        <v>6259</v>
      </c>
      <c r="G278" s="210" t="s">
        <v>425</v>
      </c>
      <c r="H278" s="209">
        <v>137030</v>
      </c>
      <c r="I278" s="210" t="s">
        <v>558</v>
      </c>
      <c r="J278" s="209">
        <f t="shared" si="67"/>
        <v>857.67076999999995</v>
      </c>
      <c r="K278" s="210">
        <v>69.92</v>
      </c>
      <c r="L278" s="210">
        <v>0</v>
      </c>
      <c r="M278" s="210">
        <v>0</v>
      </c>
      <c r="N278" s="1"/>
      <c r="O278" s="1"/>
      <c r="P278" s="1"/>
      <c r="Q278" s="1"/>
      <c r="R278" s="1"/>
      <c r="S278" s="1"/>
      <c r="T278" s="1"/>
      <c r="U278" s="1"/>
      <c r="V278" s="1"/>
      <c r="W278" s="1"/>
      <c r="X278" s="1"/>
      <c r="Y278" s="1"/>
      <c r="Z278" s="1"/>
    </row>
    <row r="279" spans="1:26" ht="15.75" customHeight="1">
      <c r="A279" s="1"/>
      <c r="B279" s="210"/>
      <c r="C279" s="210" t="s">
        <v>596</v>
      </c>
      <c r="D279" s="210" t="s">
        <v>760</v>
      </c>
      <c r="E279" s="210" t="s">
        <v>477</v>
      </c>
      <c r="F279" s="209">
        <v>6276</v>
      </c>
      <c r="G279" s="210" t="s">
        <v>425</v>
      </c>
      <c r="H279" s="209">
        <v>137030</v>
      </c>
      <c r="I279" s="210" t="s">
        <v>558</v>
      </c>
      <c r="J279" s="209">
        <f t="shared" si="67"/>
        <v>860.00027999999998</v>
      </c>
      <c r="K279" s="210">
        <v>70.11</v>
      </c>
      <c r="L279" s="210">
        <v>0</v>
      </c>
      <c r="M279" s="210">
        <v>0</v>
      </c>
      <c r="N279" s="1"/>
      <c r="O279" s="1"/>
      <c r="P279" s="1"/>
      <c r="Q279" s="1"/>
      <c r="R279" s="1"/>
      <c r="S279" s="1"/>
      <c r="T279" s="1"/>
      <c r="U279" s="1"/>
      <c r="V279" s="1"/>
      <c r="W279" s="1"/>
      <c r="X279" s="1"/>
      <c r="Y279" s="1"/>
      <c r="Z279" s="1"/>
    </row>
    <row r="280" spans="1:26" ht="15.75" customHeight="1">
      <c r="A280" s="1"/>
      <c r="B280" s="210"/>
      <c r="C280" s="210" t="s">
        <v>598</v>
      </c>
      <c r="D280" s="210" t="s">
        <v>761</v>
      </c>
      <c r="E280" s="210" t="s">
        <v>477</v>
      </c>
      <c r="F280" s="209">
        <v>15948</v>
      </c>
      <c r="G280" s="210" t="s">
        <v>425</v>
      </c>
      <c r="H280" s="209">
        <v>137030</v>
      </c>
      <c r="I280" s="210" t="s">
        <v>558</v>
      </c>
      <c r="J280" s="209">
        <f t="shared" si="67"/>
        <v>2185.3544400000001</v>
      </c>
      <c r="K280" s="210">
        <v>178.17</v>
      </c>
      <c r="L280" s="210">
        <v>0.01</v>
      </c>
      <c r="M280" s="210">
        <v>0</v>
      </c>
      <c r="N280" s="1"/>
      <c r="O280" s="1"/>
      <c r="P280" s="1"/>
      <c r="Q280" s="1"/>
      <c r="R280" s="1"/>
      <c r="S280" s="1"/>
      <c r="T280" s="1"/>
      <c r="U280" s="1"/>
      <c r="V280" s="1"/>
      <c r="W280" s="1"/>
      <c r="X280" s="1"/>
      <c r="Y280" s="1"/>
      <c r="Z280" s="1"/>
    </row>
    <row r="281" spans="1:26" ht="15.75" customHeight="1">
      <c r="A281" s="1"/>
      <c r="B281" s="210"/>
      <c r="C281" s="210" t="s">
        <v>762</v>
      </c>
      <c r="D281" s="210" t="s">
        <v>763</v>
      </c>
      <c r="E281" s="210" t="s">
        <v>477</v>
      </c>
      <c r="F281" s="209">
        <v>14378</v>
      </c>
      <c r="G281" s="210" t="s">
        <v>425</v>
      </c>
      <c r="H281" s="209">
        <v>137030</v>
      </c>
      <c r="I281" s="210" t="s">
        <v>558</v>
      </c>
      <c r="J281" s="209">
        <f t="shared" si="67"/>
        <v>1970.2173399999999</v>
      </c>
      <c r="K281" s="210">
        <v>160.63</v>
      </c>
      <c r="L281" s="210">
        <v>0.01</v>
      </c>
      <c r="M281" s="210">
        <v>0</v>
      </c>
      <c r="N281" s="1"/>
      <c r="O281" s="1"/>
      <c r="P281" s="1"/>
      <c r="Q281" s="1"/>
      <c r="R281" s="1"/>
      <c r="S281" s="1"/>
      <c r="T281" s="1"/>
      <c r="U281" s="1"/>
      <c r="V281" s="1"/>
      <c r="W281" s="1"/>
      <c r="X281" s="1"/>
      <c r="Y281" s="1"/>
      <c r="Z281" s="1"/>
    </row>
    <row r="282" spans="1:26" ht="15.75" customHeight="1">
      <c r="A282" s="1"/>
      <c r="B282" s="210"/>
      <c r="C282" s="210" t="s">
        <v>602</v>
      </c>
      <c r="D282" s="210" t="s">
        <v>764</v>
      </c>
      <c r="E282" s="210" t="s">
        <v>477</v>
      </c>
      <c r="F282" s="209">
        <v>12064</v>
      </c>
      <c r="G282" s="210" t="s">
        <v>425</v>
      </c>
      <c r="H282" s="209">
        <v>137030</v>
      </c>
      <c r="I282" s="210" t="s">
        <v>558</v>
      </c>
      <c r="J282" s="209">
        <f t="shared" si="67"/>
        <v>1653.1299200000001</v>
      </c>
      <c r="K282" s="210">
        <v>134.77000000000001</v>
      </c>
      <c r="L282" s="210">
        <v>0.01</v>
      </c>
      <c r="M282" s="210">
        <v>0</v>
      </c>
      <c r="N282" s="1"/>
      <c r="O282" s="1"/>
      <c r="P282" s="1"/>
      <c r="Q282" s="1"/>
      <c r="R282" s="1"/>
      <c r="S282" s="1"/>
      <c r="T282" s="1"/>
      <c r="U282" s="1"/>
      <c r="V282" s="1"/>
      <c r="W282" s="1"/>
      <c r="X282" s="1"/>
      <c r="Y282" s="1"/>
      <c r="Z282" s="1"/>
    </row>
    <row r="283" spans="1:26" ht="15.75" customHeight="1">
      <c r="A283" s="1"/>
      <c r="B283" s="210"/>
      <c r="C283" s="210" t="s">
        <v>604</v>
      </c>
      <c r="D283" s="210" t="s">
        <v>765</v>
      </c>
      <c r="E283" s="210" t="s">
        <v>477</v>
      </c>
      <c r="F283" s="209">
        <v>6840</v>
      </c>
      <c r="G283" s="210" t="s">
        <v>425</v>
      </c>
      <c r="H283" s="209">
        <v>137030</v>
      </c>
      <c r="I283" s="210" t="s">
        <v>558</v>
      </c>
      <c r="J283" s="209">
        <f t="shared" si="67"/>
        <v>937.28520000000003</v>
      </c>
      <c r="K283" s="210">
        <v>76.41</v>
      </c>
      <c r="L283" s="210">
        <v>0</v>
      </c>
      <c r="M283" s="210">
        <v>0</v>
      </c>
      <c r="N283" s="1"/>
      <c r="O283" s="1"/>
      <c r="P283" s="1"/>
      <c r="Q283" s="1"/>
      <c r="R283" s="1"/>
      <c r="S283" s="1"/>
      <c r="T283" s="1"/>
      <c r="U283" s="1"/>
      <c r="V283" s="1"/>
      <c r="W283" s="1"/>
      <c r="X283" s="1"/>
      <c r="Y283" s="1"/>
      <c r="Z283" s="1"/>
    </row>
    <row r="284" spans="1:26" ht="15.75" customHeight="1">
      <c r="A284" s="1"/>
      <c r="B284" s="564"/>
      <c r="C284" s="564"/>
      <c r="D284" s="564"/>
      <c r="E284" s="564"/>
      <c r="F284" s="564"/>
      <c r="G284" s="564"/>
      <c r="H284" s="564"/>
      <c r="I284" s="564"/>
      <c r="J284" s="564"/>
      <c r="K284" s="564"/>
      <c r="L284" s="564"/>
      <c r="M284" s="564"/>
      <c r="N284" s="1"/>
      <c r="O284" s="1"/>
      <c r="P284" s="1"/>
      <c r="Q284" s="1"/>
      <c r="R284" s="1"/>
      <c r="S284" s="1"/>
      <c r="T284" s="1"/>
      <c r="U284" s="1"/>
      <c r="V284" s="1"/>
      <c r="W284" s="1"/>
      <c r="X284" s="1"/>
      <c r="Y284" s="1"/>
      <c r="Z284" s="1"/>
    </row>
    <row r="285" spans="1:26" ht="15.75" customHeight="1">
      <c r="A285" s="1"/>
      <c r="B285" s="210"/>
      <c r="C285" s="210"/>
      <c r="D285" s="210"/>
      <c r="E285" s="210"/>
      <c r="F285" s="210"/>
      <c r="G285" s="210"/>
      <c r="H285" s="210"/>
      <c r="I285" s="210"/>
      <c r="J285" s="210"/>
      <c r="K285" s="210"/>
      <c r="L285" s="210"/>
      <c r="M285" s="210"/>
      <c r="N285" s="1"/>
      <c r="O285" s="1"/>
      <c r="P285" s="1"/>
      <c r="Q285" s="1"/>
      <c r="R285" s="1"/>
      <c r="S285" s="1"/>
      <c r="T285" s="1"/>
      <c r="U285" s="1"/>
      <c r="V285" s="1"/>
      <c r="W285" s="1"/>
      <c r="X285" s="1"/>
      <c r="Y285" s="1"/>
      <c r="Z285" s="1"/>
    </row>
    <row r="286" spans="1:26" ht="15.75" customHeight="1">
      <c r="A286" s="1"/>
      <c r="B286" s="210" t="s">
        <v>766</v>
      </c>
      <c r="C286" s="210" t="s">
        <v>767</v>
      </c>
      <c r="D286" s="210"/>
      <c r="E286" s="210" t="s">
        <v>768</v>
      </c>
      <c r="F286" s="209">
        <v>1000</v>
      </c>
      <c r="G286" s="210" t="s">
        <v>425</v>
      </c>
      <c r="H286" s="209">
        <v>91333</v>
      </c>
      <c r="I286" s="210" t="s">
        <v>558</v>
      </c>
      <c r="J286" s="209">
        <f>F286*H286/1000000</f>
        <v>91.332999999999998</v>
      </c>
      <c r="K286" s="210">
        <v>6.2</v>
      </c>
      <c r="L286" s="210">
        <v>0</v>
      </c>
      <c r="M286" s="210">
        <v>0</v>
      </c>
      <c r="N286" s="1"/>
      <c r="O286" s="1"/>
      <c r="P286" s="1"/>
      <c r="Q286" s="1"/>
      <c r="R286" s="1"/>
      <c r="S286" s="1"/>
      <c r="T286" s="1"/>
      <c r="U286" s="1"/>
      <c r="V286" s="1"/>
      <c r="W286" s="1"/>
      <c r="X286" s="1"/>
      <c r="Y286" s="1"/>
      <c r="Z286" s="1"/>
    </row>
    <row r="287" spans="1:26" ht="15.75" customHeight="1">
      <c r="A287" s="1"/>
      <c r="B287" s="210"/>
      <c r="C287" s="210"/>
      <c r="D287" s="210"/>
      <c r="E287" s="210"/>
      <c r="F287" s="210"/>
      <c r="G287" s="210"/>
      <c r="H287" s="210"/>
      <c r="I287" s="210"/>
      <c r="J287" s="210"/>
      <c r="K287" s="210"/>
      <c r="L287" s="210"/>
      <c r="M287" s="210"/>
      <c r="N287" s="1"/>
      <c r="O287" s="1"/>
      <c r="P287" s="1"/>
      <c r="Q287" s="1"/>
      <c r="R287" s="1"/>
      <c r="S287" s="1"/>
      <c r="T287" s="1"/>
      <c r="U287" s="1"/>
      <c r="V287" s="1"/>
      <c r="W287" s="1"/>
      <c r="X287" s="1"/>
      <c r="Y287" s="1"/>
      <c r="Z287" s="1"/>
    </row>
    <row r="288" spans="1:26" ht="15.75" customHeight="1">
      <c r="A288" s="1"/>
      <c r="B288" s="210" t="s">
        <v>679</v>
      </c>
      <c r="C288" s="210" t="s">
        <v>769</v>
      </c>
      <c r="D288" s="210"/>
      <c r="E288" s="210"/>
      <c r="F288" s="210"/>
      <c r="G288" s="210"/>
      <c r="H288" s="210"/>
      <c r="I288" s="210"/>
      <c r="J288" s="210"/>
      <c r="K288" s="210"/>
      <c r="L288" s="210"/>
      <c r="M288" s="210"/>
      <c r="N288" s="1"/>
      <c r="O288" s="1"/>
      <c r="P288" s="1"/>
      <c r="Q288" s="1"/>
      <c r="R288" s="1"/>
      <c r="S288" s="1"/>
      <c r="T288" s="1"/>
      <c r="U288" s="1"/>
      <c r="V288" s="1"/>
      <c r="W288" s="1"/>
      <c r="X288" s="1"/>
      <c r="Y288" s="1"/>
      <c r="Z288" s="1"/>
    </row>
    <row r="289" spans="1:26" ht="15.75" customHeight="1">
      <c r="A289" s="1"/>
      <c r="B289" s="210"/>
      <c r="C289" s="210" t="s">
        <v>681</v>
      </c>
      <c r="D289" s="210" t="s">
        <v>770</v>
      </c>
      <c r="E289" s="210" t="s">
        <v>310</v>
      </c>
      <c r="F289" s="209">
        <v>313000000</v>
      </c>
      <c r="G289" s="210" t="s">
        <v>634</v>
      </c>
      <c r="H289" s="210">
        <v>1027</v>
      </c>
      <c r="I289" s="210" t="s">
        <v>743</v>
      </c>
      <c r="J289" s="898">
        <f>F289*H289/1000000</f>
        <v>321451</v>
      </c>
      <c r="K289" s="209">
        <v>18499</v>
      </c>
      <c r="L289" s="210">
        <v>0</v>
      </c>
      <c r="M289" s="210">
        <v>0</v>
      </c>
      <c r="N289" s="1"/>
      <c r="O289" s="1"/>
      <c r="P289" s="1"/>
      <c r="Q289" s="1"/>
      <c r="R289" s="1"/>
      <c r="S289" s="1"/>
      <c r="T289" s="1"/>
      <c r="U289" s="1"/>
      <c r="V289" s="1"/>
      <c r="W289" s="1"/>
      <c r="X289" s="1"/>
      <c r="Y289" s="1"/>
      <c r="Z289" s="1"/>
    </row>
    <row r="290" spans="1:26" ht="15.75" customHeight="1">
      <c r="A290" s="1"/>
      <c r="B290" s="912"/>
      <c r="C290" s="912"/>
      <c r="D290" s="912"/>
      <c r="E290" s="912"/>
      <c r="F290" s="912"/>
      <c r="G290" s="912"/>
      <c r="H290" s="912"/>
      <c r="I290" s="912"/>
      <c r="J290" s="912"/>
      <c r="K290" s="912"/>
      <c r="L290" s="912"/>
      <c r="M290" s="912"/>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row r="491" spans="1:26" ht="15.75" customHeight="1"/>
    <row r="492" spans="1:26" ht="15.75" customHeight="1"/>
    <row r="493" spans="1:26" ht="15.75" customHeight="1"/>
    <row r="494" spans="1:26" ht="15.75" customHeight="1"/>
    <row r="495" spans="1:26" ht="15.75" customHeight="1"/>
    <row r="496" spans="1:2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defaultColWidth="16.85546875" defaultRowHeight="15" customHeight="1"/>
  <cols>
    <col min="1" max="1" width="3.140625" customWidth="1"/>
    <col min="2" max="2" width="4.85546875" customWidth="1"/>
    <col min="3" max="3" width="15.7109375" customWidth="1"/>
    <col min="4" max="4" width="37.7109375" customWidth="1"/>
    <col min="5" max="7" width="15.28515625" customWidth="1"/>
    <col min="8" max="8" width="12" customWidth="1"/>
    <col min="9" max="9" width="14.7109375" customWidth="1"/>
    <col min="10" max="11" width="9.28515625" customWidth="1"/>
    <col min="12" max="26" width="8" customWidth="1"/>
  </cols>
  <sheetData>
    <row r="1" spans="1:26" ht="14.4">
      <c r="A1" s="1"/>
      <c r="B1" s="1"/>
      <c r="C1" s="1"/>
      <c r="D1" s="1"/>
      <c r="E1" s="1"/>
      <c r="F1" s="1"/>
      <c r="G1" s="1"/>
      <c r="H1" s="1"/>
      <c r="I1" s="1"/>
      <c r="J1" s="1"/>
      <c r="K1" s="1"/>
      <c r="L1" s="1"/>
      <c r="M1" s="1"/>
      <c r="N1" s="1"/>
      <c r="O1" s="1"/>
      <c r="P1" s="1"/>
      <c r="Q1" s="1"/>
      <c r="R1" s="1"/>
      <c r="S1" s="1"/>
      <c r="T1" s="1"/>
      <c r="U1" s="1"/>
      <c r="V1" s="1"/>
      <c r="W1" s="1"/>
      <c r="X1" s="1"/>
      <c r="Y1" s="1"/>
      <c r="Z1" s="1"/>
    </row>
    <row r="2" spans="1:26" ht="14.4">
      <c r="A2" s="1"/>
      <c r="B2" s="1"/>
      <c r="C2" s="1"/>
      <c r="D2" s="203" t="s">
        <v>257</v>
      </c>
      <c r="E2" s="1"/>
      <c r="F2" s="1"/>
      <c r="G2" s="1"/>
      <c r="H2" s="46"/>
      <c r="I2" s="46"/>
      <c r="J2" s="1"/>
      <c r="K2" s="1"/>
      <c r="L2" s="1"/>
      <c r="M2" s="1"/>
      <c r="N2" s="1"/>
      <c r="O2" s="1"/>
      <c r="P2" s="1"/>
      <c r="Q2" s="1"/>
      <c r="R2" s="1"/>
      <c r="S2" s="1"/>
      <c r="T2" s="1"/>
      <c r="U2" s="1"/>
      <c r="V2" s="1"/>
      <c r="W2" s="1"/>
      <c r="X2" s="1"/>
      <c r="Y2" s="1"/>
      <c r="Z2" s="1"/>
    </row>
    <row r="3" spans="1:26" ht="14.4">
      <c r="A3" s="1"/>
      <c r="B3" s="1"/>
      <c r="C3" s="1"/>
      <c r="D3" s="1"/>
      <c r="E3" s="1"/>
      <c r="F3" s="1"/>
      <c r="G3" s="1"/>
      <c r="H3" s="46"/>
      <c r="I3" s="46"/>
      <c r="J3" s="1"/>
      <c r="K3" s="1"/>
      <c r="L3" s="1"/>
      <c r="M3" s="1"/>
      <c r="N3" s="1"/>
      <c r="O3" s="1"/>
      <c r="P3" s="1"/>
      <c r="Q3" s="1"/>
      <c r="R3" s="1"/>
      <c r="S3" s="1"/>
      <c r="T3" s="1"/>
      <c r="U3" s="1"/>
      <c r="V3" s="1"/>
      <c r="W3" s="1"/>
      <c r="X3" s="1"/>
      <c r="Y3" s="1"/>
      <c r="Z3" s="1"/>
    </row>
    <row r="4" spans="1:26" ht="14.4">
      <c r="A4" s="1"/>
      <c r="B4" s="1"/>
      <c r="C4" s="34"/>
      <c r="D4" s="44"/>
      <c r="E4" s="2239">
        <v>2011</v>
      </c>
      <c r="F4" s="2240"/>
      <c r="G4" s="2241"/>
      <c r="H4" s="204"/>
      <c r="I4" s="205" t="s">
        <v>258</v>
      </c>
      <c r="J4" s="1"/>
      <c r="K4" s="1"/>
      <c r="L4" s="1"/>
      <c r="M4" s="1"/>
      <c r="N4" s="1"/>
      <c r="O4" s="1"/>
      <c r="P4" s="1"/>
      <c r="Q4" s="1"/>
      <c r="R4" s="1"/>
      <c r="S4" s="1"/>
      <c r="T4" s="1"/>
      <c r="U4" s="1"/>
      <c r="V4" s="1"/>
      <c r="W4" s="1"/>
      <c r="X4" s="1"/>
      <c r="Y4" s="1"/>
      <c r="Z4" s="1"/>
    </row>
    <row r="5" spans="1:26" ht="14.4">
      <c r="A5" s="1"/>
      <c r="B5" s="1"/>
      <c r="C5" s="36"/>
      <c r="D5" s="48"/>
      <c r="E5" s="206" t="s">
        <v>259</v>
      </c>
      <c r="F5" s="206" t="s">
        <v>260</v>
      </c>
      <c r="G5" s="206" t="s">
        <v>261</v>
      </c>
      <c r="H5" s="206" t="s">
        <v>262</v>
      </c>
      <c r="I5" s="206" t="s">
        <v>263</v>
      </c>
      <c r="J5" s="1"/>
      <c r="K5" s="1"/>
      <c r="L5" s="1"/>
      <c r="M5" s="1"/>
      <c r="N5" s="1"/>
      <c r="O5" s="1"/>
      <c r="P5" s="1"/>
      <c r="Q5" s="1"/>
      <c r="R5" s="1"/>
      <c r="S5" s="1"/>
      <c r="T5" s="1"/>
      <c r="U5" s="1"/>
      <c r="V5" s="1"/>
      <c r="W5" s="1"/>
      <c r="X5" s="1"/>
      <c r="Y5" s="1"/>
      <c r="Z5" s="1"/>
    </row>
    <row r="6" spans="1:26" ht="14.4">
      <c r="A6" s="1"/>
      <c r="B6" s="1"/>
      <c r="C6" s="205"/>
      <c r="D6" s="204"/>
      <c r="E6" s="207" t="s">
        <v>264</v>
      </c>
      <c r="F6" s="207" t="s">
        <v>265</v>
      </c>
      <c r="G6" s="207" t="s">
        <v>266</v>
      </c>
      <c r="H6" s="204"/>
      <c r="I6" s="204"/>
      <c r="J6" s="1"/>
      <c r="K6" s="1"/>
      <c r="L6" s="1"/>
      <c r="M6" s="1"/>
      <c r="N6" s="1"/>
      <c r="O6" s="1"/>
      <c r="P6" s="1"/>
      <c r="Q6" s="1"/>
      <c r="R6" s="1"/>
      <c r="S6" s="1"/>
      <c r="T6" s="1"/>
      <c r="U6" s="1"/>
      <c r="V6" s="1"/>
      <c r="W6" s="1"/>
      <c r="X6" s="1"/>
      <c r="Y6" s="1"/>
      <c r="Z6" s="1"/>
    </row>
    <row r="7" spans="1:26" ht="14.4">
      <c r="A7" s="1"/>
      <c r="B7" s="1"/>
      <c r="C7" s="30"/>
      <c r="D7" s="208" t="s">
        <v>267</v>
      </c>
      <c r="E7" s="209">
        <v>1039</v>
      </c>
      <c r="F7" s="209">
        <v>13373</v>
      </c>
      <c r="G7" s="209">
        <v>412</v>
      </c>
      <c r="H7" s="210"/>
      <c r="I7" s="210"/>
      <c r="J7" s="1"/>
      <c r="K7" s="1"/>
      <c r="L7" s="1"/>
      <c r="M7" s="1"/>
      <c r="N7" s="1"/>
      <c r="O7" s="1"/>
      <c r="P7" s="1"/>
      <c r="Q7" s="1"/>
      <c r="R7" s="1"/>
      <c r="S7" s="1"/>
      <c r="T7" s="1"/>
      <c r="U7" s="1"/>
      <c r="V7" s="1"/>
      <c r="W7" s="1"/>
      <c r="X7" s="1"/>
      <c r="Y7" s="1"/>
      <c r="Z7" s="1"/>
    </row>
    <row r="8" spans="1:26" ht="14.4">
      <c r="A8" s="1"/>
      <c r="B8" s="1"/>
      <c r="C8" s="210"/>
      <c r="D8" s="208" t="s">
        <v>268</v>
      </c>
      <c r="E8" s="209"/>
      <c r="F8" s="209"/>
      <c r="G8" s="209"/>
      <c r="H8" s="210"/>
      <c r="I8" s="210"/>
      <c r="J8" s="1"/>
      <c r="K8" s="1"/>
      <c r="L8" s="1"/>
      <c r="M8" s="1"/>
      <c r="N8" s="1"/>
      <c r="O8" s="1"/>
      <c r="P8" s="1"/>
      <c r="Q8" s="1"/>
      <c r="R8" s="1"/>
      <c r="S8" s="1"/>
      <c r="T8" s="1"/>
      <c r="U8" s="1"/>
      <c r="V8" s="1"/>
      <c r="W8" s="1"/>
      <c r="X8" s="1"/>
      <c r="Y8" s="1"/>
      <c r="Z8" s="1"/>
    </row>
    <row r="9" spans="1:26" ht="14.4">
      <c r="A9" s="1"/>
      <c r="B9" s="1"/>
      <c r="C9" s="211" t="s">
        <v>269</v>
      </c>
      <c r="D9" s="212" t="s">
        <v>270</v>
      </c>
      <c r="E9" s="213">
        <v>158</v>
      </c>
      <c r="F9" s="214">
        <v>1163447</v>
      </c>
      <c r="G9" s="213">
        <v>428257</v>
      </c>
      <c r="H9" s="215">
        <f>SUM(E9:G9)</f>
        <v>1591862</v>
      </c>
      <c r="I9" s="216"/>
      <c r="J9" s="1"/>
      <c r="K9" s="1"/>
      <c r="L9" s="1"/>
      <c r="M9" s="1"/>
      <c r="N9" s="1"/>
      <c r="O9" s="1"/>
      <c r="P9" s="1"/>
      <c r="Q9" s="1"/>
      <c r="R9" s="1"/>
      <c r="S9" s="1"/>
      <c r="T9" s="1"/>
      <c r="U9" s="1"/>
      <c r="V9" s="1"/>
      <c r="W9" s="1"/>
      <c r="X9" s="1"/>
      <c r="Y9" s="1"/>
      <c r="Z9" s="1"/>
    </row>
    <row r="10" spans="1:26" ht="14.4">
      <c r="A10" s="1"/>
      <c r="B10" s="1"/>
      <c r="C10" s="210"/>
      <c r="D10" s="210"/>
      <c r="E10" s="209"/>
      <c r="F10" s="209"/>
      <c r="G10" s="209"/>
      <c r="H10" s="210"/>
      <c r="I10" s="210"/>
      <c r="J10" s="1"/>
      <c r="K10" s="1"/>
      <c r="L10" s="1"/>
      <c r="M10" s="1"/>
      <c r="N10" s="1"/>
      <c r="O10" s="1"/>
      <c r="P10" s="1"/>
      <c r="Q10" s="1"/>
      <c r="R10" s="1"/>
      <c r="S10" s="1"/>
      <c r="T10" s="1"/>
      <c r="U10" s="1"/>
      <c r="V10" s="1"/>
      <c r="W10" s="1"/>
      <c r="X10" s="1"/>
      <c r="Y10" s="1"/>
      <c r="Z10" s="1"/>
    </row>
    <row r="11" spans="1:26" ht="15.6">
      <c r="A11" s="1"/>
      <c r="B11" s="1"/>
      <c r="C11" s="210"/>
      <c r="D11" s="217" t="s">
        <v>271</v>
      </c>
      <c r="E11" s="218">
        <v>3.4</v>
      </c>
      <c r="F11" s="219">
        <v>332077.59999999998</v>
      </c>
      <c r="G11" s="219">
        <v>22696.1</v>
      </c>
      <c r="H11" s="219">
        <f t="shared" ref="H11:H13" si="0">(E11+F11+G11)</f>
        <v>354777.1</v>
      </c>
      <c r="I11" s="220">
        <f t="shared" ref="I11:I13" si="1">H11*1.1023</f>
        <v>391070.79732999997</v>
      </c>
      <c r="J11" s="1"/>
      <c r="K11" s="221"/>
      <c r="L11" s="1"/>
      <c r="M11" s="1"/>
      <c r="N11" s="1"/>
      <c r="O11" s="1"/>
      <c r="P11" s="1"/>
      <c r="Q11" s="1"/>
      <c r="R11" s="1"/>
      <c r="S11" s="1"/>
      <c r="T11" s="1"/>
      <c r="U11" s="1"/>
      <c r="V11" s="1"/>
      <c r="W11" s="1"/>
      <c r="X11" s="1"/>
      <c r="Y11" s="1"/>
      <c r="Z11" s="1"/>
    </row>
    <row r="12" spans="1:26" ht="15.6">
      <c r="A12" s="1"/>
      <c r="B12" s="1"/>
      <c r="C12" s="210"/>
      <c r="D12" s="30" t="s">
        <v>272</v>
      </c>
      <c r="E12" s="222">
        <v>0</v>
      </c>
      <c r="F12" s="223">
        <v>0.03</v>
      </c>
      <c r="G12" s="223">
        <v>0.43</v>
      </c>
      <c r="H12" s="223">
        <f t="shared" si="0"/>
        <v>0.45999999999999996</v>
      </c>
      <c r="I12" s="223">
        <f t="shared" si="1"/>
        <v>0.50705800000000001</v>
      </c>
      <c r="J12" s="1"/>
      <c r="K12" s="1"/>
      <c r="L12" s="1"/>
      <c r="M12" s="1"/>
      <c r="N12" s="1"/>
      <c r="O12" s="1"/>
      <c r="P12" s="1"/>
      <c r="Q12" s="1"/>
      <c r="R12" s="1"/>
      <c r="S12" s="1"/>
      <c r="T12" s="1"/>
      <c r="U12" s="1"/>
      <c r="V12" s="1"/>
      <c r="W12" s="1"/>
      <c r="X12" s="1"/>
      <c r="Y12" s="1"/>
      <c r="Z12" s="1"/>
    </row>
    <row r="13" spans="1:26" ht="15.6">
      <c r="A13" s="1"/>
      <c r="B13" s="1"/>
      <c r="C13" s="224"/>
      <c r="D13" s="225" t="s">
        <v>273</v>
      </c>
      <c r="E13" s="226">
        <v>0</v>
      </c>
      <c r="F13" s="227">
        <v>0.13</v>
      </c>
      <c r="G13" s="228">
        <v>4.2999999999999997E-2</v>
      </c>
      <c r="H13" s="227">
        <f t="shared" si="0"/>
        <v>0.17299999999999999</v>
      </c>
      <c r="I13" s="227">
        <f t="shared" si="1"/>
        <v>0.1906979</v>
      </c>
      <c r="J13" s="1"/>
      <c r="K13" s="1"/>
      <c r="L13" s="1"/>
      <c r="M13" s="1"/>
      <c r="N13" s="1"/>
      <c r="O13" s="1"/>
      <c r="P13" s="1"/>
      <c r="Q13" s="1"/>
      <c r="R13" s="1"/>
      <c r="S13" s="1"/>
      <c r="T13" s="1"/>
      <c r="U13" s="1"/>
      <c r="V13" s="1"/>
      <c r="W13" s="1"/>
      <c r="X13" s="1"/>
      <c r="Y13" s="1"/>
      <c r="Z13" s="1"/>
    </row>
    <row r="14" spans="1:26" ht="14.4">
      <c r="A14" s="1"/>
      <c r="B14" s="1"/>
      <c r="C14" s="229"/>
      <c r="D14" s="229"/>
      <c r="E14" s="230"/>
      <c r="F14" s="230"/>
      <c r="G14" s="230"/>
      <c r="H14" s="229"/>
      <c r="I14" s="229"/>
      <c r="J14" s="1"/>
      <c r="K14" s="1"/>
      <c r="L14" s="1"/>
      <c r="M14" s="1"/>
      <c r="N14" s="1"/>
      <c r="O14" s="1"/>
      <c r="P14" s="1"/>
      <c r="Q14" s="1"/>
      <c r="R14" s="1"/>
      <c r="S14" s="1"/>
      <c r="T14" s="1"/>
      <c r="U14" s="1"/>
      <c r="V14" s="1"/>
      <c r="W14" s="1"/>
      <c r="X14" s="1"/>
      <c r="Y14" s="1"/>
      <c r="Z14" s="1"/>
    </row>
    <row r="15" spans="1:26" ht="14.4">
      <c r="A15" s="1"/>
      <c r="B15" s="1"/>
      <c r="C15" s="210"/>
      <c r="D15" s="210"/>
      <c r="E15" s="231" t="s">
        <v>259</v>
      </c>
      <c r="F15" s="231" t="s">
        <v>260</v>
      </c>
      <c r="G15" s="231" t="s">
        <v>261</v>
      </c>
      <c r="H15" s="232"/>
      <c r="I15" s="232"/>
      <c r="J15" s="1"/>
      <c r="K15" s="1"/>
      <c r="L15" s="1"/>
      <c r="M15" s="1"/>
      <c r="N15" s="1"/>
      <c r="O15" s="1"/>
      <c r="P15" s="1"/>
      <c r="Q15" s="1"/>
      <c r="R15" s="1"/>
      <c r="S15" s="1"/>
      <c r="T15" s="1"/>
      <c r="U15" s="1"/>
      <c r="V15" s="1"/>
      <c r="W15" s="1"/>
      <c r="X15" s="1"/>
      <c r="Y15" s="1"/>
      <c r="Z15" s="1"/>
    </row>
    <row r="16" spans="1:26" ht="14.4">
      <c r="A16" s="1"/>
      <c r="B16" s="1"/>
      <c r="C16" s="210"/>
      <c r="D16" s="210"/>
      <c r="E16" s="233" t="s">
        <v>264</v>
      </c>
      <c r="F16" s="233" t="s">
        <v>265</v>
      </c>
      <c r="G16" s="233" t="s">
        <v>266</v>
      </c>
      <c r="H16" s="210"/>
      <c r="I16" s="210"/>
      <c r="J16" s="1"/>
      <c r="K16" s="1"/>
      <c r="L16" s="1"/>
      <c r="M16" s="1"/>
      <c r="N16" s="1"/>
      <c r="O16" s="1"/>
      <c r="P16" s="1"/>
      <c r="Q16" s="1"/>
      <c r="R16" s="1"/>
      <c r="S16" s="1"/>
      <c r="T16" s="1"/>
      <c r="U16" s="1"/>
      <c r="V16" s="1"/>
      <c r="W16" s="1"/>
      <c r="X16" s="1"/>
      <c r="Y16" s="1"/>
      <c r="Z16" s="1"/>
    </row>
    <row r="17" spans="1:26" ht="14.4">
      <c r="A17" s="1"/>
      <c r="B17" s="1"/>
      <c r="C17" s="30"/>
      <c r="D17" s="208" t="s">
        <v>267</v>
      </c>
      <c r="E17" s="209">
        <v>538</v>
      </c>
      <c r="F17" s="209">
        <v>16027</v>
      </c>
      <c r="G17" s="209">
        <v>640</v>
      </c>
      <c r="H17" s="210"/>
      <c r="I17" s="210"/>
      <c r="J17" s="1"/>
      <c r="K17" s="1"/>
      <c r="L17" s="1"/>
      <c r="M17" s="1"/>
      <c r="N17" s="1"/>
      <c r="O17" s="1"/>
      <c r="P17" s="1"/>
      <c r="Q17" s="1"/>
      <c r="R17" s="1"/>
      <c r="S17" s="1"/>
      <c r="T17" s="1"/>
      <c r="U17" s="1"/>
      <c r="V17" s="1"/>
      <c r="W17" s="1"/>
      <c r="X17" s="1"/>
      <c r="Y17" s="1"/>
      <c r="Z17" s="1"/>
    </row>
    <row r="18" spans="1:26" ht="14.4">
      <c r="A18" s="1"/>
      <c r="B18" s="1"/>
      <c r="C18" s="210"/>
      <c r="D18" s="208" t="s">
        <v>268</v>
      </c>
      <c r="E18" s="209"/>
      <c r="F18" s="209"/>
      <c r="G18" s="209"/>
      <c r="H18" s="210"/>
      <c r="I18" s="210"/>
      <c r="J18" s="1"/>
      <c r="K18" s="1"/>
      <c r="L18" s="1"/>
      <c r="M18" s="1"/>
      <c r="N18" s="1"/>
      <c r="O18" s="1"/>
      <c r="P18" s="1"/>
      <c r="Q18" s="1"/>
      <c r="R18" s="1"/>
      <c r="S18" s="1"/>
      <c r="T18" s="1"/>
      <c r="U18" s="1"/>
      <c r="V18" s="1"/>
      <c r="W18" s="1"/>
      <c r="X18" s="1"/>
      <c r="Y18" s="1"/>
      <c r="Z18" s="1"/>
    </row>
    <row r="19" spans="1:26" ht="14.4">
      <c r="A19" s="1"/>
      <c r="B19" s="1"/>
      <c r="C19" s="234" t="s">
        <v>274</v>
      </c>
      <c r="D19" s="212" t="s">
        <v>270</v>
      </c>
      <c r="E19" s="213">
        <v>82</v>
      </c>
      <c r="F19" s="214">
        <v>1394381</v>
      </c>
      <c r="G19" s="213">
        <v>666042</v>
      </c>
      <c r="H19" s="235">
        <f>SUM(E19:G19)</f>
        <v>2060505</v>
      </c>
      <c r="I19" s="216"/>
      <c r="J19" s="1"/>
      <c r="K19" s="1"/>
      <c r="L19" s="1"/>
      <c r="M19" s="1"/>
      <c r="N19" s="1"/>
      <c r="O19" s="1"/>
      <c r="P19" s="1"/>
      <c r="Q19" s="1"/>
      <c r="R19" s="1"/>
      <c r="S19" s="1"/>
      <c r="T19" s="1"/>
      <c r="U19" s="1"/>
      <c r="V19" s="1"/>
      <c r="W19" s="1"/>
      <c r="X19" s="1"/>
      <c r="Y19" s="1"/>
      <c r="Z19" s="1"/>
    </row>
    <row r="20" spans="1:26" ht="14.4">
      <c r="A20" s="1"/>
      <c r="B20" s="1"/>
      <c r="C20" s="210"/>
      <c r="D20" s="236"/>
      <c r="E20" s="237"/>
      <c r="F20" s="238"/>
      <c r="G20" s="237"/>
      <c r="H20" s="210"/>
      <c r="I20" s="210"/>
      <c r="J20" s="1"/>
      <c r="K20" s="1"/>
      <c r="L20" s="1"/>
      <c r="M20" s="1"/>
      <c r="N20" s="1"/>
      <c r="O20" s="1"/>
      <c r="P20" s="1"/>
      <c r="Q20" s="1"/>
      <c r="R20" s="1"/>
      <c r="S20" s="1"/>
      <c r="T20" s="1"/>
      <c r="U20" s="1"/>
      <c r="V20" s="1"/>
      <c r="W20" s="1"/>
      <c r="X20" s="1"/>
      <c r="Y20" s="1"/>
      <c r="Z20" s="1"/>
    </row>
    <row r="21" spans="1:26" ht="15.75" customHeight="1">
      <c r="A21" s="1"/>
      <c r="B21" s="1"/>
      <c r="C21" s="210"/>
      <c r="D21" s="217" t="s">
        <v>275</v>
      </c>
      <c r="E21" s="218">
        <v>1.8</v>
      </c>
      <c r="F21" s="219">
        <v>402051.9</v>
      </c>
      <c r="G21" s="219">
        <v>35299.599999999999</v>
      </c>
      <c r="H21" s="219">
        <f t="shared" ref="H21:H23" si="2">(E21+F21+G21)</f>
        <v>437353.3</v>
      </c>
      <c r="I21" s="220">
        <f t="shared" ref="I21:I23" si="3">H21*1.1023</f>
        <v>482094.54259000003</v>
      </c>
      <c r="J21" s="1"/>
      <c r="K21" s="1"/>
      <c r="L21" s="1"/>
      <c r="M21" s="1"/>
      <c r="N21" s="1"/>
      <c r="O21" s="1"/>
      <c r="P21" s="1"/>
      <c r="Q21" s="1"/>
      <c r="R21" s="1"/>
      <c r="S21" s="1"/>
      <c r="T21" s="1"/>
      <c r="U21" s="1"/>
      <c r="V21" s="1"/>
      <c r="W21" s="1"/>
      <c r="X21" s="1"/>
      <c r="Y21" s="1"/>
      <c r="Z21" s="1"/>
    </row>
    <row r="22" spans="1:26" ht="15.75" customHeight="1">
      <c r="A22" s="1"/>
      <c r="B22" s="1"/>
      <c r="C22" s="210"/>
      <c r="D22" s="30" t="s">
        <v>276</v>
      </c>
      <c r="E22" s="223">
        <v>0</v>
      </c>
      <c r="F22" s="223">
        <v>0.03</v>
      </c>
      <c r="G22" s="223">
        <v>0.67</v>
      </c>
      <c r="H22" s="223">
        <f t="shared" si="2"/>
        <v>0.70000000000000007</v>
      </c>
      <c r="I22" s="223">
        <f t="shared" si="3"/>
        <v>0.77161000000000013</v>
      </c>
      <c r="J22" s="1"/>
      <c r="K22" s="1"/>
      <c r="L22" s="1"/>
      <c r="M22" s="1"/>
      <c r="N22" s="1"/>
      <c r="O22" s="1"/>
      <c r="P22" s="1"/>
      <c r="Q22" s="1"/>
      <c r="R22" s="1"/>
      <c r="S22" s="1"/>
      <c r="T22" s="1"/>
      <c r="U22" s="1"/>
      <c r="V22" s="1"/>
      <c r="W22" s="1"/>
      <c r="X22" s="1"/>
      <c r="Y22" s="1"/>
      <c r="Z22" s="1"/>
    </row>
    <row r="23" spans="1:26" ht="15.75" customHeight="1">
      <c r="A23" s="1"/>
      <c r="B23" s="1"/>
      <c r="C23" s="224"/>
      <c r="D23" s="225" t="s">
        <v>277</v>
      </c>
      <c r="E23" s="227">
        <v>0</v>
      </c>
      <c r="F23" s="227">
        <v>0.158</v>
      </c>
      <c r="G23" s="227">
        <v>6.7000000000000004E-2</v>
      </c>
      <c r="H23" s="227">
        <f t="shared" si="2"/>
        <v>0.22500000000000001</v>
      </c>
      <c r="I23" s="227">
        <f t="shared" si="3"/>
        <v>0.24801750000000003</v>
      </c>
      <c r="J23" s="1"/>
      <c r="K23" s="1"/>
      <c r="L23" s="1"/>
      <c r="M23" s="1"/>
      <c r="N23" s="1"/>
      <c r="O23" s="1"/>
      <c r="P23" s="1"/>
      <c r="Q23" s="1"/>
      <c r="R23" s="1"/>
      <c r="S23" s="1"/>
      <c r="T23" s="1"/>
      <c r="U23" s="1"/>
      <c r="V23" s="1"/>
      <c r="W23" s="1"/>
      <c r="X23" s="1"/>
      <c r="Y23" s="1"/>
      <c r="Z23" s="1"/>
    </row>
    <row r="24" spans="1:26" ht="15.75" customHeight="1">
      <c r="A24" s="1"/>
      <c r="B24" s="1"/>
      <c r="C24" s="229"/>
      <c r="D24" s="229"/>
      <c r="E24" s="230"/>
      <c r="F24" s="230"/>
      <c r="G24" s="230"/>
      <c r="H24" s="229"/>
      <c r="I24" s="229"/>
      <c r="J24" s="1"/>
      <c r="K24" s="1"/>
      <c r="L24" s="1"/>
      <c r="M24" s="1"/>
      <c r="N24" s="1"/>
      <c r="O24" s="1"/>
      <c r="P24" s="1"/>
      <c r="Q24" s="1"/>
      <c r="R24" s="1"/>
      <c r="S24" s="1"/>
      <c r="T24" s="1"/>
      <c r="U24" s="1"/>
      <c r="V24" s="1"/>
      <c r="W24" s="1"/>
      <c r="X24" s="1"/>
      <c r="Y24" s="1"/>
      <c r="Z24" s="1"/>
    </row>
    <row r="25" spans="1:26" ht="15.75" customHeight="1">
      <c r="A25" s="1"/>
      <c r="B25" s="1"/>
      <c r="C25" s="210"/>
      <c r="D25" s="210"/>
      <c r="E25" s="231" t="s">
        <v>259</v>
      </c>
      <c r="F25" s="231" t="s">
        <v>260</v>
      </c>
      <c r="G25" s="231" t="s">
        <v>261</v>
      </c>
      <c r="H25" s="232"/>
      <c r="I25" s="232"/>
      <c r="J25" s="1"/>
      <c r="K25" s="1"/>
      <c r="L25" s="1"/>
      <c r="M25" s="1"/>
      <c r="N25" s="1"/>
      <c r="O25" s="1"/>
      <c r="P25" s="1"/>
      <c r="Q25" s="1"/>
      <c r="R25" s="1"/>
      <c r="S25" s="1"/>
      <c r="T25" s="1"/>
      <c r="U25" s="1"/>
      <c r="V25" s="1"/>
      <c r="W25" s="1"/>
      <c r="X25" s="1"/>
      <c r="Y25" s="1"/>
      <c r="Z25" s="1"/>
    </row>
    <row r="26" spans="1:26" ht="15.75" customHeight="1">
      <c r="A26" s="1"/>
      <c r="B26" s="1"/>
      <c r="C26" s="210"/>
      <c r="D26" s="210"/>
      <c r="E26" s="233" t="s">
        <v>264</v>
      </c>
      <c r="F26" s="233" t="s">
        <v>265</v>
      </c>
      <c r="G26" s="233" t="s">
        <v>266</v>
      </c>
      <c r="H26" s="210"/>
      <c r="I26" s="210"/>
      <c r="J26" s="1"/>
      <c r="K26" s="1"/>
      <c r="L26" s="1"/>
      <c r="M26" s="1"/>
      <c r="N26" s="1"/>
      <c r="O26" s="1"/>
      <c r="P26" s="1"/>
      <c r="Q26" s="1"/>
      <c r="R26" s="1"/>
      <c r="S26" s="1"/>
      <c r="T26" s="1"/>
      <c r="U26" s="1"/>
      <c r="V26" s="1"/>
      <c r="W26" s="1"/>
      <c r="X26" s="1"/>
      <c r="Y26" s="1"/>
      <c r="Z26" s="1"/>
    </row>
    <row r="27" spans="1:26" ht="15.75" customHeight="1">
      <c r="A27" s="1"/>
      <c r="B27" s="1"/>
      <c r="C27" s="30"/>
      <c r="D27" s="208" t="s">
        <v>267</v>
      </c>
      <c r="E27" s="209"/>
      <c r="F27" s="209">
        <v>11025</v>
      </c>
      <c r="G27" s="209">
        <v>818</v>
      </c>
      <c r="H27" s="210"/>
      <c r="I27" s="210"/>
      <c r="J27" s="1"/>
      <c r="K27" s="1"/>
      <c r="L27" s="1"/>
      <c r="M27" s="1"/>
      <c r="N27" s="1"/>
      <c r="O27" s="1"/>
      <c r="P27" s="1"/>
      <c r="Q27" s="1"/>
      <c r="R27" s="1"/>
      <c r="S27" s="1"/>
      <c r="T27" s="1"/>
      <c r="U27" s="1"/>
      <c r="V27" s="1"/>
      <c r="W27" s="1"/>
      <c r="X27" s="1"/>
      <c r="Y27" s="1"/>
      <c r="Z27" s="1"/>
    </row>
    <row r="28" spans="1:26" ht="15.75" customHeight="1">
      <c r="A28" s="1"/>
      <c r="B28" s="1"/>
      <c r="C28" s="210"/>
      <c r="D28" s="208" t="s">
        <v>268</v>
      </c>
      <c r="E28" s="209"/>
      <c r="F28" s="209"/>
      <c r="G28" s="209"/>
      <c r="H28" s="210"/>
      <c r="I28" s="210"/>
      <c r="J28" s="1"/>
      <c r="K28" s="1"/>
      <c r="L28" s="1"/>
      <c r="M28" s="1"/>
      <c r="N28" s="1"/>
      <c r="O28" s="1"/>
      <c r="P28" s="1"/>
      <c r="Q28" s="1"/>
      <c r="R28" s="1"/>
      <c r="S28" s="1"/>
      <c r="T28" s="1"/>
      <c r="U28" s="1"/>
      <c r="V28" s="1"/>
      <c r="W28" s="1"/>
      <c r="X28" s="1"/>
      <c r="Y28" s="1"/>
      <c r="Z28" s="1"/>
    </row>
    <row r="29" spans="1:26" ht="15.75" customHeight="1">
      <c r="A29" s="1"/>
      <c r="B29" s="1"/>
      <c r="C29" s="234" t="s">
        <v>278</v>
      </c>
      <c r="D29" s="212" t="s">
        <v>270</v>
      </c>
      <c r="E29" s="213"/>
      <c r="F29" s="214">
        <v>959161</v>
      </c>
      <c r="G29" s="213">
        <v>850818</v>
      </c>
      <c r="H29" s="235">
        <f>SUM(E29:G29)</f>
        <v>1809979</v>
      </c>
      <c r="I29" s="216"/>
      <c r="J29" s="1"/>
      <c r="K29" s="1"/>
      <c r="L29" s="1"/>
      <c r="M29" s="1"/>
      <c r="N29" s="1"/>
      <c r="O29" s="1"/>
      <c r="P29" s="1"/>
      <c r="Q29" s="1"/>
      <c r="R29" s="1"/>
      <c r="S29" s="1"/>
      <c r="T29" s="1"/>
      <c r="U29" s="1"/>
      <c r="V29" s="1"/>
      <c r="W29" s="1"/>
      <c r="X29" s="1"/>
      <c r="Y29" s="1"/>
      <c r="Z29" s="1"/>
    </row>
    <row r="30" spans="1:26" ht="15.75" customHeight="1">
      <c r="A30" s="1"/>
      <c r="B30" s="1"/>
      <c r="C30" s="210"/>
      <c r="D30" s="236"/>
      <c r="E30" s="237"/>
      <c r="F30" s="238"/>
      <c r="G30" s="237"/>
      <c r="H30" s="210"/>
      <c r="I30" s="210"/>
      <c r="J30" s="1"/>
      <c r="K30" s="1"/>
      <c r="L30" s="1"/>
      <c r="M30" s="1"/>
      <c r="N30" s="1"/>
      <c r="O30" s="1"/>
      <c r="P30" s="1"/>
      <c r="Q30" s="1"/>
      <c r="R30" s="1"/>
      <c r="S30" s="1"/>
      <c r="T30" s="1"/>
      <c r="U30" s="1"/>
      <c r="V30" s="1"/>
      <c r="W30" s="1"/>
      <c r="X30" s="1"/>
      <c r="Y30" s="1"/>
      <c r="Z30" s="1"/>
    </row>
    <row r="31" spans="1:26" ht="15.75" customHeight="1">
      <c r="A31" s="1"/>
      <c r="B31" s="1"/>
      <c r="C31" s="210"/>
      <c r="D31" s="217" t="s">
        <v>279</v>
      </c>
      <c r="E31" s="219">
        <v>0</v>
      </c>
      <c r="F31" s="219">
        <v>280034.7</v>
      </c>
      <c r="G31" s="219">
        <v>45101.2</v>
      </c>
      <c r="H31" s="219">
        <f t="shared" ref="H31:H33" si="4">(E31+F31+G31)</f>
        <v>325135.90000000002</v>
      </c>
      <c r="I31" s="220">
        <f t="shared" ref="I31:I33" si="5">H31*1.1023</f>
        <v>358397.30257000006</v>
      </c>
      <c r="J31" s="1"/>
      <c r="K31" s="1"/>
      <c r="L31" s="1"/>
      <c r="M31" s="1"/>
      <c r="N31" s="1"/>
      <c r="O31" s="1"/>
      <c r="P31" s="1"/>
      <c r="Q31" s="1"/>
      <c r="R31" s="1"/>
      <c r="S31" s="1"/>
      <c r="T31" s="1"/>
      <c r="U31" s="1"/>
      <c r="V31" s="1"/>
      <c r="W31" s="1"/>
      <c r="X31" s="1"/>
      <c r="Y31" s="1"/>
      <c r="Z31" s="1"/>
    </row>
    <row r="32" spans="1:26" ht="15.75" customHeight="1">
      <c r="A32" s="1"/>
      <c r="B32" s="1"/>
      <c r="C32" s="210"/>
      <c r="D32" s="30" t="s">
        <v>280</v>
      </c>
      <c r="E32" s="223">
        <v>0</v>
      </c>
      <c r="F32" s="223">
        <v>0.02</v>
      </c>
      <c r="G32" s="223">
        <v>0.85</v>
      </c>
      <c r="H32" s="223">
        <f t="shared" si="4"/>
        <v>0.87</v>
      </c>
      <c r="I32" s="223">
        <f t="shared" si="5"/>
        <v>0.95900099999999999</v>
      </c>
      <c r="J32" s="1"/>
      <c r="K32" s="1"/>
      <c r="L32" s="1"/>
      <c r="M32" s="1"/>
      <c r="N32" s="1"/>
      <c r="O32" s="1"/>
      <c r="P32" s="1"/>
      <c r="Q32" s="1"/>
      <c r="R32" s="1"/>
      <c r="S32" s="1"/>
      <c r="T32" s="1"/>
      <c r="U32" s="1"/>
      <c r="V32" s="1"/>
      <c r="W32" s="1"/>
      <c r="X32" s="1"/>
      <c r="Y32" s="1"/>
      <c r="Z32" s="1"/>
    </row>
    <row r="33" spans="1:26" ht="15.75" customHeight="1">
      <c r="A33" s="1"/>
      <c r="B33" s="1"/>
      <c r="C33" s="224"/>
      <c r="D33" s="225" t="s">
        <v>281</v>
      </c>
      <c r="E33" s="227">
        <v>0</v>
      </c>
      <c r="F33" s="227">
        <v>0.11</v>
      </c>
      <c r="G33" s="228">
        <v>8.5000000000000006E-2</v>
      </c>
      <c r="H33" s="227">
        <f t="shared" si="4"/>
        <v>0.19500000000000001</v>
      </c>
      <c r="I33" s="227">
        <f t="shared" si="5"/>
        <v>0.21494850000000001</v>
      </c>
      <c r="J33" s="1"/>
      <c r="K33" s="1"/>
      <c r="L33" s="1"/>
      <c r="M33" s="1"/>
      <c r="N33" s="1"/>
      <c r="O33" s="1"/>
      <c r="P33" s="1"/>
      <c r="Q33" s="1"/>
      <c r="R33" s="1"/>
      <c r="S33" s="1"/>
      <c r="T33" s="1"/>
      <c r="U33" s="1"/>
      <c r="V33" s="1"/>
      <c r="W33" s="1"/>
      <c r="X33" s="1"/>
      <c r="Y33" s="1"/>
      <c r="Z33" s="1"/>
    </row>
    <row r="34" spans="1:26" ht="15.75" customHeight="1">
      <c r="A34" s="1"/>
      <c r="B34" s="1"/>
      <c r="C34" s="239"/>
      <c r="D34" s="239"/>
      <c r="E34" s="240"/>
      <c r="F34" s="240"/>
      <c r="G34" s="240"/>
      <c r="H34" s="241"/>
      <c r="I34" s="241"/>
      <c r="J34" s="1"/>
      <c r="K34" s="1"/>
      <c r="L34" s="1"/>
      <c r="M34" s="1"/>
      <c r="N34" s="1"/>
      <c r="O34" s="1"/>
      <c r="P34" s="1"/>
      <c r="Q34" s="1"/>
      <c r="R34" s="1"/>
      <c r="S34" s="1"/>
      <c r="T34" s="1"/>
      <c r="U34" s="1"/>
      <c r="V34" s="1"/>
      <c r="W34" s="1"/>
      <c r="X34" s="1"/>
      <c r="Y34" s="1"/>
      <c r="Z34" s="1"/>
    </row>
    <row r="35" spans="1:26" ht="15.75" customHeight="1">
      <c r="A35" s="1"/>
      <c r="B35" s="1"/>
      <c r="C35" s="242"/>
      <c r="D35" s="242"/>
      <c r="E35" s="231" t="s">
        <v>259</v>
      </c>
      <c r="F35" s="231" t="s">
        <v>260</v>
      </c>
      <c r="G35" s="231" t="s">
        <v>261</v>
      </c>
      <c r="H35" s="232"/>
      <c r="I35" s="232"/>
      <c r="J35" s="1"/>
      <c r="K35" s="1"/>
      <c r="L35" s="1"/>
      <c r="M35" s="1"/>
      <c r="N35" s="1"/>
      <c r="O35" s="1"/>
      <c r="P35" s="1"/>
      <c r="Q35" s="1"/>
      <c r="R35" s="1"/>
      <c r="S35" s="1"/>
      <c r="T35" s="1"/>
      <c r="U35" s="1"/>
      <c r="V35" s="1"/>
      <c r="W35" s="1"/>
      <c r="X35" s="1"/>
      <c r="Y35" s="1"/>
      <c r="Z35" s="1"/>
    </row>
    <row r="36" spans="1:26" ht="15.75" customHeight="1">
      <c r="A36" s="1"/>
      <c r="B36" s="1"/>
      <c r="C36" s="242"/>
      <c r="D36" s="242"/>
      <c r="E36" s="233" t="s">
        <v>264</v>
      </c>
      <c r="F36" s="233" t="s">
        <v>265</v>
      </c>
      <c r="G36" s="233" t="s">
        <v>266</v>
      </c>
      <c r="H36" s="210"/>
      <c r="I36" s="210"/>
      <c r="J36" s="1"/>
      <c r="K36" s="1"/>
      <c r="L36" s="1"/>
      <c r="M36" s="1"/>
      <c r="N36" s="1"/>
      <c r="O36" s="1"/>
      <c r="P36" s="1"/>
      <c r="Q36" s="1"/>
      <c r="R36" s="1"/>
      <c r="S36" s="1"/>
      <c r="T36" s="1"/>
      <c r="U36" s="1"/>
      <c r="V36" s="1"/>
      <c r="W36" s="1"/>
      <c r="X36" s="1"/>
      <c r="Y36" s="1"/>
      <c r="Z36" s="1"/>
    </row>
    <row r="37" spans="1:26" ht="15.75" customHeight="1">
      <c r="A37" s="1"/>
      <c r="B37" s="1"/>
      <c r="C37" s="243"/>
      <c r="D37" s="244" t="s">
        <v>267</v>
      </c>
      <c r="E37" s="209">
        <v>2238</v>
      </c>
      <c r="F37" s="209">
        <v>6297</v>
      </c>
      <c r="G37" s="209">
        <v>388</v>
      </c>
      <c r="H37" s="210"/>
      <c r="I37" s="210"/>
      <c r="J37" s="1"/>
      <c r="K37" s="1"/>
      <c r="L37" s="1"/>
      <c r="M37" s="1"/>
      <c r="N37" s="1"/>
      <c r="O37" s="1"/>
      <c r="P37" s="1"/>
      <c r="Q37" s="1"/>
      <c r="R37" s="1"/>
      <c r="S37" s="1"/>
      <c r="T37" s="1"/>
      <c r="U37" s="1"/>
      <c r="V37" s="1"/>
      <c r="W37" s="1"/>
      <c r="X37" s="1"/>
      <c r="Y37" s="1"/>
      <c r="Z37" s="1"/>
    </row>
    <row r="38" spans="1:26" ht="15.75" customHeight="1">
      <c r="A38" s="1"/>
      <c r="B38" s="1"/>
      <c r="C38" s="242"/>
      <c r="D38" s="244" t="s">
        <v>268</v>
      </c>
      <c r="E38" s="209"/>
      <c r="F38" s="209"/>
      <c r="G38" s="209"/>
      <c r="H38" s="210"/>
      <c r="I38" s="210"/>
      <c r="J38" s="1"/>
      <c r="K38" s="1"/>
      <c r="L38" s="1"/>
      <c r="M38" s="1"/>
      <c r="N38" s="1"/>
      <c r="O38" s="1"/>
      <c r="P38" s="1"/>
      <c r="Q38" s="1"/>
      <c r="R38" s="1"/>
      <c r="S38" s="1"/>
      <c r="T38" s="1"/>
      <c r="U38" s="1"/>
      <c r="V38" s="1"/>
      <c r="W38" s="1"/>
      <c r="X38" s="1"/>
      <c r="Y38" s="1"/>
      <c r="Z38" s="1"/>
    </row>
    <row r="39" spans="1:26" ht="15.75" customHeight="1">
      <c r="A39" s="1"/>
      <c r="B39" s="1"/>
      <c r="C39" s="245" t="s">
        <v>282</v>
      </c>
      <c r="D39" s="246" t="s">
        <v>270</v>
      </c>
      <c r="E39" s="213">
        <v>340</v>
      </c>
      <c r="F39" s="214">
        <v>547854</v>
      </c>
      <c r="G39" s="213">
        <v>403783</v>
      </c>
      <c r="H39" s="235">
        <f>SUM(E39:G39)</f>
        <v>951977</v>
      </c>
      <c r="I39" s="216"/>
      <c r="J39" s="1"/>
      <c r="K39" s="1"/>
      <c r="L39" s="1"/>
      <c r="M39" s="1"/>
      <c r="N39" s="1"/>
      <c r="O39" s="1"/>
      <c r="P39" s="1"/>
      <c r="Q39" s="1"/>
      <c r="R39" s="1"/>
      <c r="S39" s="1"/>
      <c r="T39" s="1"/>
      <c r="U39" s="1"/>
      <c r="V39" s="1"/>
      <c r="W39" s="1"/>
      <c r="X39" s="1"/>
      <c r="Y39" s="1"/>
      <c r="Z39" s="1"/>
    </row>
    <row r="40" spans="1:26" ht="15.75" customHeight="1">
      <c r="A40" s="1"/>
      <c r="B40" s="1"/>
      <c r="C40" s="242"/>
      <c r="D40" s="247"/>
      <c r="E40" s="237"/>
      <c r="F40" s="238"/>
      <c r="G40" s="237"/>
      <c r="H40" s="210"/>
      <c r="I40" s="210"/>
      <c r="J40" s="1"/>
      <c r="K40" s="1"/>
      <c r="L40" s="1"/>
      <c r="M40" s="1"/>
      <c r="N40" s="1"/>
      <c r="O40" s="1"/>
      <c r="P40" s="1"/>
      <c r="Q40" s="1"/>
      <c r="R40" s="1"/>
      <c r="S40" s="1"/>
      <c r="T40" s="1"/>
      <c r="U40" s="1"/>
      <c r="V40" s="1"/>
      <c r="W40" s="1"/>
      <c r="X40" s="1"/>
      <c r="Y40" s="1"/>
      <c r="Z40" s="1"/>
    </row>
    <row r="41" spans="1:26" ht="15.75" customHeight="1">
      <c r="A41" s="1"/>
      <c r="B41" s="1"/>
      <c r="C41" s="242"/>
      <c r="D41" s="248" t="s">
        <v>283</v>
      </c>
      <c r="E41" s="218">
        <v>12.5</v>
      </c>
      <c r="F41" s="219">
        <v>156972.9</v>
      </c>
      <c r="G41" s="219">
        <v>21414.5</v>
      </c>
      <c r="H41" s="219">
        <f t="shared" ref="H41:H43" si="6">(E41+F41+G41)</f>
        <v>178399.9</v>
      </c>
      <c r="I41" s="249">
        <f t="shared" ref="I41:I43" si="7">H41*1.1023</f>
        <v>196650.20977000002</v>
      </c>
      <c r="J41" s="1"/>
      <c r="K41" s="1"/>
      <c r="L41" s="1"/>
      <c r="M41" s="1"/>
      <c r="N41" s="1"/>
      <c r="O41" s="1"/>
      <c r="P41" s="1"/>
      <c r="Q41" s="1"/>
      <c r="R41" s="1"/>
      <c r="S41" s="1"/>
      <c r="T41" s="1"/>
      <c r="U41" s="1"/>
      <c r="V41" s="1"/>
      <c r="W41" s="1"/>
      <c r="X41" s="1"/>
      <c r="Y41" s="1"/>
      <c r="Z41" s="1"/>
    </row>
    <row r="42" spans="1:26" ht="15.75" customHeight="1">
      <c r="A42" s="1"/>
      <c r="B42" s="1"/>
      <c r="C42" s="242"/>
      <c r="D42" s="243" t="s">
        <v>284</v>
      </c>
      <c r="E42" s="209">
        <v>0</v>
      </c>
      <c r="F42" s="250">
        <v>0.01</v>
      </c>
      <c r="G42" s="250">
        <v>0.4</v>
      </c>
      <c r="H42" s="223">
        <f t="shared" si="6"/>
        <v>0.41000000000000003</v>
      </c>
      <c r="I42" s="223">
        <f t="shared" si="7"/>
        <v>0.45194300000000004</v>
      </c>
      <c r="J42" s="1"/>
      <c r="K42" s="1"/>
      <c r="L42" s="1"/>
      <c r="M42" s="1"/>
      <c r="N42" s="1"/>
      <c r="O42" s="1"/>
      <c r="P42" s="1"/>
      <c r="Q42" s="1"/>
      <c r="R42" s="1"/>
      <c r="S42" s="1"/>
      <c r="T42" s="1"/>
      <c r="U42" s="1"/>
      <c r="V42" s="1"/>
      <c r="W42" s="1"/>
      <c r="X42" s="1"/>
      <c r="Y42" s="1"/>
      <c r="Z42" s="1"/>
    </row>
    <row r="43" spans="1:26" ht="15.75" customHeight="1">
      <c r="A43" s="1"/>
      <c r="B43" s="1"/>
      <c r="C43" s="242"/>
      <c r="D43" s="243" t="s">
        <v>285</v>
      </c>
      <c r="E43" s="209">
        <v>0</v>
      </c>
      <c r="F43" s="250">
        <v>6.2E-2</v>
      </c>
      <c r="G43" s="250">
        <v>0.04</v>
      </c>
      <c r="H43" s="223">
        <f t="shared" si="6"/>
        <v>0.10200000000000001</v>
      </c>
      <c r="I43" s="223">
        <f t="shared" si="7"/>
        <v>0.11243460000000001</v>
      </c>
      <c r="J43" s="1"/>
      <c r="K43" s="1"/>
      <c r="L43" s="1"/>
      <c r="M43" s="1"/>
      <c r="N43" s="1"/>
      <c r="O43" s="1"/>
      <c r="P43" s="1"/>
      <c r="Q43" s="1"/>
      <c r="R43" s="1"/>
      <c r="S43" s="1"/>
      <c r="T43" s="1"/>
      <c r="U43" s="1"/>
      <c r="V43" s="1"/>
      <c r="W43" s="1"/>
      <c r="X43" s="1"/>
      <c r="Y43" s="1"/>
      <c r="Z43" s="1"/>
    </row>
    <row r="44" spans="1:26" ht="15.75" customHeight="1">
      <c r="A44" s="1"/>
      <c r="B44" s="1"/>
      <c r="C44" s="251"/>
      <c r="D44" s="251"/>
      <c r="E44" s="252"/>
      <c r="F44" s="252"/>
      <c r="G44" s="252"/>
      <c r="H44" s="253"/>
      <c r="I44" s="253"/>
      <c r="J44" s="1"/>
      <c r="K44" s="1"/>
      <c r="L44" s="1"/>
      <c r="M44" s="1"/>
      <c r="N44" s="1"/>
      <c r="O44" s="1"/>
      <c r="P44" s="1"/>
      <c r="Q44" s="1"/>
      <c r="R44" s="1"/>
      <c r="S44" s="1"/>
      <c r="T44" s="1"/>
      <c r="U44" s="1"/>
      <c r="V44" s="1"/>
      <c r="W44" s="1"/>
      <c r="X44" s="1"/>
      <c r="Y44" s="1"/>
      <c r="Z44" s="1"/>
    </row>
    <row r="45" spans="1:26" ht="15.75" customHeight="1">
      <c r="A45" s="1"/>
      <c r="B45" s="1"/>
      <c r="C45" s="1"/>
      <c r="D45" s="1"/>
      <c r="E45" s="254"/>
      <c r="F45" s="254"/>
      <c r="G45" s="254"/>
      <c r="H45" s="254"/>
      <c r="I45" s="254"/>
      <c r="J45" s="1"/>
      <c r="K45" s="1"/>
      <c r="L45" s="1"/>
      <c r="M45" s="1"/>
      <c r="N45" s="1"/>
      <c r="O45" s="1"/>
      <c r="P45" s="1"/>
      <c r="Q45" s="1"/>
      <c r="R45" s="1"/>
      <c r="S45" s="1"/>
      <c r="T45" s="1"/>
      <c r="U45" s="1"/>
      <c r="V45" s="1"/>
      <c r="W45" s="1"/>
      <c r="X45" s="1"/>
      <c r="Y45" s="1"/>
      <c r="Z45" s="1"/>
    </row>
    <row r="46" spans="1:26" ht="15.75" customHeight="1">
      <c r="A46" s="1"/>
      <c r="B46" s="1"/>
      <c r="C46" s="255"/>
      <c r="D46" s="256"/>
      <c r="E46" s="257" t="s">
        <v>259</v>
      </c>
      <c r="F46" s="257" t="s">
        <v>260</v>
      </c>
      <c r="G46" s="257" t="s">
        <v>261</v>
      </c>
      <c r="H46" s="258"/>
      <c r="I46" s="259"/>
      <c r="J46" s="1"/>
      <c r="K46" s="1"/>
      <c r="L46" s="1"/>
      <c r="M46" s="1"/>
      <c r="N46" s="1"/>
      <c r="O46" s="1"/>
      <c r="P46" s="1"/>
      <c r="Q46" s="1"/>
      <c r="R46" s="1"/>
      <c r="S46" s="1"/>
      <c r="T46" s="1"/>
      <c r="U46" s="1"/>
      <c r="V46" s="1"/>
      <c r="W46" s="1"/>
      <c r="X46" s="1"/>
      <c r="Y46" s="1"/>
      <c r="Z46" s="1"/>
    </row>
    <row r="47" spans="1:26" ht="15.75" customHeight="1">
      <c r="A47" s="1"/>
      <c r="B47" s="1"/>
      <c r="C47" s="84"/>
      <c r="D47" s="260" t="s">
        <v>286</v>
      </c>
      <c r="E47" s="261" t="s">
        <v>264</v>
      </c>
      <c r="F47" s="261" t="s">
        <v>265</v>
      </c>
      <c r="G47" s="261" t="s">
        <v>266</v>
      </c>
      <c r="H47" s="75"/>
      <c r="I47" s="85"/>
      <c r="J47" s="1"/>
      <c r="K47" s="1"/>
      <c r="L47" s="1"/>
      <c r="M47" s="1"/>
      <c r="N47" s="1"/>
      <c r="O47" s="1"/>
      <c r="P47" s="1"/>
      <c r="Q47" s="1"/>
      <c r="R47" s="1"/>
      <c r="S47" s="1"/>
      <c r="T47" s="1"/>
      <c r="U47" s="1"/>
      <c r="V47" s="1"/>
      <c r="W47" s="1"/>
      <c r="X47" s="1"/>
      <c r="Y47" s="1"/>
      <c r="Z47" s="1"/>
    </row>
    <row r="48" spans="1:26" ht="15.75" customHeight="1">
      <c r="A48" s="1"/>
      <c r="B48" s="1"/>
      <c r="C48" s="262"/>
      <c r="D48" s="263"/>
      <c r="E48" s="264">
        <f t="shared" ref="E48:G48" si="8">E7+E17+E27+E37</f>
        <v>3815</v>
      </c>
      <c r="F48" s="264">
        <f t="shared" si="8"/>
        <v>46722</v>
      </c>
      <c r="G48" s="264">
        <f t="shared" si="8"/>
        <v>2258</v>
      </c>
      <c r="H48" s="263"/>
      <c r="I48" s="265"/>
      <c r="J48" s="1"/>
      <c r="K48" s="1"/>
      <c r="L48" s="1"/>
      <c r="M48" s="1"/>
      <c r="N48" s="1"/>
      <c r="O48" s="1"/>
      <c r="P48" s="1"/>
      <c r="Q48" s="1"/>
      <c r="R48" s="1"/>
      <c r="S48" s="1"/>
      <c r="T48" s="1"/>
      <c r="U48" s="1"/>
      <c r="V48" s="1"/>
      <c r="W48" s="1"/>
      <c r="X48" s="1"/>
      <c r="Y48" s="1"/>
      <c r="Z48" s="1"/>
    </row>
    <row r="49" spans="1:26" ht="15.75" customHeight="1">
      <c r="A49" s="1"/>
      <c r="B49" s="1"/>
      <c r="C49" s="1"/>
      <c r="D49" s="1"/>
      <c r="E49" s="254"/>
      <c r="F49" s="254"/>
      <c r="G49" s="254"/>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254"/>
      <c r="F50" s="254"/>
      <c r="G50" s="254"/>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266"/>
      <c r="D53" s="267" t="s">
        <v>287</v>
      </c>
      <c r="E53" s="267" t="s">
        <v>288</v>
      </c>
      <c r="F53" s="267" t="s">
        <v>289</v>
      </c>
      <c r="G53" s="268" t="s">
        <v>290</v>
      </c>
      <c r="H53" s="269"/>
      <c r="I53" s="2237" t="s">
        <v>1</v>
      </c>
      <c r="J53" s="2238"/>
      <c r="K53" s="1"/>
      <c r="L53" s="1"/>
      <c r="M53" s="1"/>
      <c r="N53" s="1"/>
      <c r="O53" s="1"/>
      <c r="P53" s="1"/>
      <c r="Q53" s="1"/>
      <c r="R53" s="1"/>
      <c r="S53" s="1"/>
      <c r="T53" s="1"/>
      <c r="U53" s="1"/>
      <c r="V53" s="1"/>
      <c r="W53" s="1"/>
      <c r="X53" s="1"/>
      <c r="Y53" s="1"/>
      <c r="Z53" s="1"/>
    </row>
    <row r="54" spans="1:26" ht="15.75" customHeight="1">
      <c r="A54" s="1"/>
      <c r="B54" s="1"/>
      <c r="C54" s="270"/>
      <c r="D54" s="271"/>
      <c r="E54" s="271" t="s">
        <v>263</v>
      </c>
      <c r="F54" s="271" t="s">
        <v>291</v>
      </c>
      <c r="G54" s="272" t="s">
        <v>292</v>
      </c>
      <c r="H54" s="269"/>
      <c r="I54" s="52"/>
      <c r="J54" s="52"/>
      <c r="K54" s="1"/>
      <c r="L54" s="1"/>
      <c r="M54" s="1"/>
      <c r="N54" s="1"/>
      <c r="O54" s="1"/>
      <c r="P54" s="1"/>
      <c r="Q54" s="1"/>
      <c r="R54" s="1"/>
      <c r="S54" s="1"/>
      <c r="T54" s="1"/>
      <c r="U54" s="1"/>
      <c r="V54" s="1"/>
      <c r="W54" s="1"/>
      <c r="X54" s="1"/>
      <c r="Y54" s="1"/>
      <c r="Z54" s="1"/>
    </row>
    <row r="55" spans="1:26" ht="15.75" customHeight="1">
      <c r="A55" s="1"/>
      <c r="B55" s="1"/>
      <c r="C55" s="273"/>
      <c r="D55" s="274"/>
      <c r="E55" s="274"/>
      <c r="F55" s="274"/>
      <c r="G55" s="275"/>
      <c r="H55" s="269"/>
      <c r="I55" s="53" t="s">
        <v>80</v>
      </c>
      <c r="J55" s="54">
        <f>Summary!E4</f>
        <v>1</v>
      </c>
      <c r="K55" s="1"/>
      <c r="L55" s="1"/>
      <c r="M55" s="1"/>
      <c r="N55" s="1"/>
      <c r="O55" s="1"/>
      <c r="P55" s="1"/>
      <c r="Q55" s="1"/>
      <c r="R55" s="1"/>
      <c r="S55" s="1"/>
      <c r="T55" s="1"/>
      <c r="U55" s="1"/>
      <c r="V55" s="1"/>
      <c r="W55" s="1"/>
      <c r="X55" s="1"/>
      <c r="Y55" s="1"/>
      <c r="Z55" s="1"/>
    </row>
    <row r="56" spans="1:26" ht="15.75" customHeight="1">
      <c r="A56" s="1"/>
      <c r="B56" s="1"/>
      <c r="C56" s="276" t="s">
        <v>293</v>
      </c>
      <c r="D56" s="209">
        <f t="shared" ref="D56:G56" si="9">0</f>
        <v>0</v>
      </c>
      <c r="E56" s="209">
        <f t="shared" si="9"/>
        <v>0</v>
      </c>
      <c r="F56" s="209">
        <f t="shared" si="9"/>
        <v>0</v>
      </c>
      <c r="G56" s="277">
        <f t="shared" si="9"/>
        <v>0</v>
      </c>
      <c r="H56" s="278"/>
      <c r="I56" s="53" t="s">
        <v>82</v>
      </c>
      <c r="J56" s="54">
        <f>Summary!E5</f>
        <v>28</v>
      </c>
      <c r="K56" s="1"/>
      <c r="L56" s="1"/>
      <c r="M56" s="1"/>
      <c r="N56" s="1"/>
      <c r="O56" s="1"/>
      <c r="P56" s="1"/>
      <c r="Q56" s="1"/>
      <c r="R56" s="1"/>
      <c r="S56" s="1"/>
      <c r="T56" s="1"/>
      <c r="U56" s="1"/>
      <c r="V56" s="1"/>
      <c r="W56" s="1"/>
      <c r="X56" s="1"/>
      <c r="Y56" s="1"/>
      <c r="Z56" s="1"/>
    </row>
    <row r="57" spans="1:26" ht="15.75" customHeight="1">
      <c r="A57" s="1"/>
      <c r="B57" s="1"/>
      <c r="C57" s="276"/>
      <c r="D57" s="210"/>
      <c r="E57" s="210"/>
      <c r="F57" s="209"/>
      <c r="G57" s="277"/>
      <c r="H57" s="278"/>
      <c r="I57" s="53" t="s">
        <v>83</v>
      </c>
      <c r="J57" s="54">
        <f>Summary!E6</f>
        <v>265</v>
      </c>
      <c r="K57" s="1"/>
      <c r="L57" s="1"/>
      <c r="M57" s="1"/>
      <c r="N57" s="1"/>
      <c r="O57" s="1"/>
      <c r="P57" s="1"/>
      <c r="Q57" s="1"/>
      <c r="R57" s="1"/>
      <c r="S57" s="1"/>
      <c r="T57" s="1"/>
      <c r="U57" s="1"/>
      <c r="V57" s="1"/>
      <c r="W57" s="1"/>
      <c r="X57" s="1"/>
      <c r="Y57" s="1"/>
      <c r="Z57" s="1"/>
    </row>
    <row r="58" spans="1:26" ht="15.75" customHeight="1">
      <c r="A58" s="1"/>
      <c r="B58" s="1"/>
      <c r="C58" s="276" t="s">
        <v>294</v>
      </c>
      <c r="D58" s="209">
        <f>E9+E19+E29+E39</f>
        <v>580</v>
      </c>
      <c r="E58" s="209">
        <f>F58*1.1023</f>
        <v>19.51071</v>
      </c>
      <c r="F58" s="209">
        <f>E11+E21+E31+E41</f>
        <v>17.7</v>
      </c>
      <c r="G58" s="277">
        <f>F58/1000000</f>
        <v>1.77E-5</v>
      </c>
      <c r="H58" s="278"/>
      <c r="I58" s="53" t="s">
        <v>85</v>
      </c>
      <c r="J58" s="54">
        <f>Summary!E7</f>
        <v>23500</v>
      </c>
      <c r="K58" s="1"/>
      <c r="L58" s="1"/>
      <c r="M58" s="1"/>
      <c r="N58" s="1"/>
      <c r="O58" s="1"/>
      <c r="P58" s="1"/>
      <c r="Q58" s="1"/>
      <c r="R58" s="1"/>
      <c r="S58" s="1"/>
      <c r="T58" s="1"/>
      <c r="U58" s="1"/>
      <c r="V58" s="1"/>
      <c r="W58" s="1"/>
      <c r="X58" s="1"/>
      <c r="Y58" s="1"/>
      <c r="Z58" s="1"/>
    </row>
    <row r="59" spans="1:26" ht="15.75" customHeight="1">
      <c r="A59" s="1"/>
      <c r="B59" s="1"/>
      <c r="C59" s="276"/>
      <c r="D59" s="210"/>
      <c r="E59" s="210"/>
      <c r="F59" s="209"/>
      <c r="G59" s="277"/>
      <c r="H59" s="278"/>
      <c r="I59" s="53"/>
      <c r="J59" s="54"/>
      <c r="K59" s="1"/>
      <c r="L59" s="1"/>
      <c r="M59" s="1"/>
      <c r="N59" s="1"/>
      <c r="O59" s="1"/>
      <c r="P59" s="1"/>
      <c r="Q59" s="1"/>
      <c r="R59" s="1"/>
      <c r="S59" s="1"/>
      <c r="T59" s="1"/>
      <c r="U59" s="1"/>
      <c r="V59" s="1"/>
      <c r="W59" s="1"/>
      <c r="X59" s="1"/>
      <c r="Y59" s="1"/>
      <c r="Z59" s="1"/>
    </row>
    <row r="60" spans="1:26" ht="15.75" customHeight="1">
      <c r="A60" s="1"/>
      <c r="B60" s="1"/>
      <c r="C60" s="276" t="s">
        <v>295</v>
      </c>
      <c r="D60" s="209">
        <f>F9+G9+F19+G19+F29+G29+F39+G39</f>
        <v>6413743</v>
      </c>
      <c r="E60" s="209">
        <f>F60*1.1023</f>
        <v>1428193.3415499998</v>
      </c>
      <c r="F60" s="209">
        <f>F11+G11+F21+G21+F31+G31+F41+G41</f>
        <v>1295648.4999999998</v>
      </c>
      <c r="G60" s="277">
        <f>F60/1000000</f>
        <v>1.2956484999999998</v>
      </c>
      <c r="H60" s="278"/>
      <c r="I60" s="254"/>
      <c r="J60" s="1"/>
      <c r="K60" s="1"/>
      <c r="L60" s="1"/>
      <c r="M60" s="1"/>
      <c r="N60" s="1"/>
      <c r="O60" s="1"/>
      <c r="P60" s="1"/>
      <c r="Q60" s="1"/>
      <c r="R60" s="1"/>
      <c r="S60" s="1"/>
      <c r="T60" s="1"/>
      <c r="U60" s="1"/>
      <c r="V60" s="1"/>
      <c r="W60" s="1"/>
      <c r="X60" s="1"/>
      <c r="Y60" s="1"/>
      <c r="Z60" s="1"/>
    </row>
    <row r="61" spans="1:26" ht="15.75" customHeight="1">
      <c r="A61" s="1"/>
      <c r="B61" s="1"/>
      <c r="C61" s="279"/>
      <c r="D61" s="280"/>
      <c r="E61" s="280"/>
      <c r="F61" s="281"/>
      <c r="G61" s="282"/>
      <c r="H61" s="283"/>
      <c r="I61" s="1"/>
      <c r="J61" s="1"/>
      <c r="K61" s="1"/>
      <c r="L61" s="1"/>
      <c r="M61" s="1"/>
      <c r="N61" s="1"/>
      <c r="O61" s="1"/>
      <c r="P61" s="1"/>
      <c r="Q61" s="1"/>
      <c r="R61" s="1"/>
      <c r="S61" s="1"/>
      <c r="T61" s="1"/>
      <c r="U61" s="1"/>
      <c r="V61" s="1"/>
      <c r="W61" s="1"/>
      <c r="X61" s="1"/>
      <c r="Y61" s="1"/>
      <c r="Z61" s="1"/>
    </row>
    <row r="62" spans="1:26" ht="15.75" customHeight="1">
      <c r="A62" s="1"/>
      <c r="B62" s="1"/>
      <c r="C62" s="284" t="s">
        <v>177</v>
      </c>
      <c r="D62" s="285">
        <f>SUM(D56:D61)</f>
        <v>6414323</v>
      </c>
      <c r="E62" s="285">
        <f t="shared" ref="E62:F62" si="10">E56+E58+E60</f>
        <v>1428212.8522599998</v>
      </c>
      <c r="F62" s="286">
        <f t="shared" si="10"/>
        <v>1295666.1999999997</v>
      </c>
      <c r="G62" s="287">
        <f>F62/1000000</f>
        <v>1.2956661999999997</v>
      </c>
      <c r="H62" s="288"/>
      <c r="I62" s="1"/>
      <c r="J62" s="1"/>
      <c r="K62" s="1"/>
      <c r="L62" s="1"/>
      <c r="M62" s="1"/>
      <c r="N62" s="1"/>
      <c r="O62" s="1"/>
      <c r="P62" s="1"/>
      <c r="Q62" s="1"/>
      <c r="R62" s="1"/>
      <c r="S62" s="1"/>
      <c r="T62" s="1"/>
      <c r="U62" s="1"/>
      <c r="V62" s="1"/>
      <c r="W62" s="1"/>
      <c r="X62" s="1"/>
      <c r="Y62" s="1"/>
      <c r="Z62" s="1"/>
    </row>
    <row r="63" spans="1:26" ht="15.75" customHeight="1">
      <c r="A63" s="1"/>
      <c r="B63" s="1"/>
      <c r="C63" s="289"/>
      <c r="D63" s="290"/>
      <c r="E63" s="290"/>
      <c r="F63" s="290"/>
      <c r="G63" s="291"/>
      <c r="H63" s="292"/>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266"/>
      <c r="D67" s="293" t="s">
        <v>287</v>
      </c>
      <c r="E67" s="267" t="s">
        <v>296</v>
      </c>
      <c r="F67" s="267" t="s">
        <v>297</v>
      </c>
      <c r="G67" s="268" t="s">
        <v>298</v>
      </c>
      <c r="H67" s="1"/>
      <c r="I67" s="1"/>
      <c r="J67" s="1"/>
      <c r="K67" s="1"/>
      <c r="L67" s="1"/>
      <c r="M67" s="1"/>
      <c r="N67" s="1"/>
      <c r="O67" s="1"/>
      <c r="P67" s="1"/>
      <c r="Q67" s="1"/>
      <c r="R67" s="1"/>
      <c r="S67" s="1"/>
      <c r="T67" s="1"/>
      <c r="U67" s="1"/>
      <c r="V67" s="1"/>
      <c r="W67" s="1"/>
      <c r="X67" s="1"/>
      <c r="Y67" s="1"/>
      <c r="Z67" s="1"/>
    </row>
    <row r="68" spans="1:26" ht="15.75" customHeight="1">
      <c r="A68" s="1"/>
      <c r="B68" s="1"/>
      <c r="C68" s="294"/>
      <c r="D68" s="295"/>
      <c r="E68" s="271" t="s">
        <v>263</v>
      </c>
      <c r="F68" s="271" t="s">
        <v>291</v>
      </c>
      <c r="G68" s="272" t="s">
        <v>292</v>
      </c>
      <c r="H68" s="1"/>
      <c r="I68" s="1"/>
      <c r="J68" s="1"/>
      <c r="K68" s="1"/>
      <c r="L68" s="1"/>
      <c r="M68" s="1"/>
      <c r="N68" s="1"/>
      <c r="O68" s="1"/>
      <c r="P68" s="1"/>
      <c r="Q68" s="1"/>
      <c r="R68" s="1"/>
      <c r="S68" s="1"/>
      <c r="T68" s="1"/>
      <c r="U68" s="1"/>
      <c r="V68" s="1"/>
      <c r="W68" s="1"/>
      <c r="X68" s="1"/>
      <c r="Y68" s="1"/>
      <c r="Z68" s="1"/>
    </row>
    <row r="69" spans="1:26" ht="15.75" customHeight="1">
      <c r="A69" s="1"/>
      <c r="B69" s="1"/>
      <c r="C69" s="273"/>
      <c r="D69" s="274"/>
      <c r="E69" s="274"/>
      <c r="F69" s="274"/>
      <c r="G69" s="275"/>
      <c r="H69" s="1"/>
      <c r="I69" s="1"/>
      <c r="J69" s="1"/>
      <c r="K69" s="1"/>
      <c r="L69" s="1"/>
      <c r="M69" s="1"/>
      <c r="N69" s="1"/>
      <c r="O69" s="1"/>
      <c r="P69" s="1"/>
      <c r="Q69" s="1"/>
      <c r="R69" s="1"/>
      <c r="S69" s="1"/>
      <c r="T69" s="1"/>
      <c r="U69" s="1"/>
      <c r="V69" s="1"/>
      <c r="W69" s="1"/>
      <c r="X69" s="1"/>
      <c r="Y69" s="1"/>
      <c r="Z69" s="1"/>
    </row>
    <row r="70" spans="1:26" ht="15.75" customHeight="1">
      <c r="A70" s="1"/>
      <c r="B70" s="1"/>
      <c r="C70" s="276" t="s">
        <v>293</v>
      </c>
      <c r="D70" s="209">
        <v>0</v>
      </c>
      <c r="E70" s="209">
        <f t="shared" ref="E70:G70" si="11">0</f>
        <v>0</v>
      </c>
      <c r="F70" s="223">
        <f t="shared" si="11"/>
        <v>0</v>
      </c>
      <c r="G70" s="277">
        <f t="shared" si="11"/>
        <v>0</v>
      </c>
      <c r="H70" s="1"/>
      <c r="I70" s="1"/>
      <c r="J70" s="1"/>
      <c r="K70" s="1"/>
      <c r="L70" s="1"/>
      <c r="M70" s="1"/>
      <c r="N70" s="1"/>
      <c r="O70" s="1"/>
      <c r="P70" s="1"/>
      <c r="Q70" s="1"/>
      <c r="R70" s="1"/>
      <c r="S70" s="1"/>
      <c r="T70" s="1"/>
      <c r="U70" s="1"/>
      <c r="V70" s="1"/>
      <c r="W70" s="1"/>
      <c r="X70" s="1"/>
      <c r="Y70" s="1"/>
      <c r="Z70" s="1"/>
    </row>
    <row r="71" spans="1:26" ht="15.75" customHeight="1">
      <c r="A71" s="1"/>
      <c r="B71" s="1"/>
      <c r="C71" s="276"/>
      <c r="D71" s="210"/>
      <c r="E71" s="210"/>
      <c r="F71" s="223"/>
      <c r="G71" s="277"/>
      <c r="H71" s="1"/>
      <c r="I71" s="1"/>
      <c r="J71" s="1"/>
      <c r="K71" s="1"/>
      <c r="L71" s="1"/>
      <c r="M71" s="1"/>
      <c r="N71" s="1"/>
      <c r="O71" s="1"/>
      <c r="P71" s="1"/>
      <c r="Q71" s="1"/>
      <c r="R71" s="1"/>
      <c r="S71" s="1"/>
      <c r="T71" s="1"/>
      <c r="U71" s="1"/>
      <c r="V71" s="1"/>
      <c r="W71" s="1"/>
      <c r="X71" s="1"/>
      <c r="Y71" s="1"/>
      <c r="Z71" s="1"/>
    </row>
    <row r="72" spans="1:26" ht="15.75" customHeight="1">
      <c r="A72" s="1"/>
      <c r="B72" s="1"/>
      <c r="C72" s="276" t="s">
        <v>294</v>
      </c>
      <c r="D72" s="209">
        <v>580</v>
      </c>
      <c r="E72" s="209">
        <f>F72*1.1023</f>
        <v>0</v>
      </c>
      <c r="F72" s="223">
        <f>E12+E22+E32+E42</f>
        <v>0</v>
      </c>
      <c r="G72" s="277">
        <f>(F72/1000000)*$J$56</f>
        <v>0</v>
      </c>
      <c r="H72" s="1"/>
      <c r="I72" s="1"/>
      <c r="J72" s="1"/>
      <c r="K72" s="1"/>
      <c r="L72" s="1"/>
      <c r="M72" s="1"/>
      <c r="N72" s="1"/>
      <c r="O72" s="1"/>
      <c r="P72" s="1"/>
      <c r="Q72" s="1"/>
      <c r="R72" s="1"/>
      <c r="S72" s="1"/>
      <c r="T72" s="1"/>
      <c r="U72" s="1"/>
      <c r="V72" s="1"/>
      <c r="W72" s="1"/>
      <c r="X72" s="1"/>
      <c r="Y72" s="1"/>
      <c r="Z72" s="1"/>
    </row>
    <row r="73" spans="1:26" ht="15.75" customHeight="1">
      <c r="A73" s="1"/>
      <c r="B73" s="1"/>
      <c r="C73" s="276"/>
      <c r="D73" s="210"/>
      <c r="E73" s="210"/>
      <c r="F73" s="209"/>
      <c r="G73" s="277"/>
      <c r="H73" s="1"/>
      <c r="I73" s="1"/>
      <c r="J73" s="1"/>
      <c r="K73" s="1"/>
      <c r="L73" s="1"/>
      <c r="M73" s="1"/>
      <c r="N73" s="1"/>
      <c r="O73" s="1"/>
      <c r="P73" s="1"/>
      <c r="Q73" s="1"/>
      <c r="R73" s="1"/>
      <c r="S73" s="1"/>
      <c r="T73" s="1"/>
      <c r="U73" s="1"/>
      <c r="V73" s="1"/>
      <c r="W73" s="1"/>
      <c r="X73" s="1"/>
      <c r="Y73" s="1"/>
      <c r="Z73" s="1"/>
    </row>
    <row r="74" spans="1:26" ht="15.75" customHeight="1">
      <c r="A74" s="1"/>
      <c r="B74" s="1"/>
      <c r="C74" s="276" t="s">
        <v>295</v>
      </c>
      <c r="D74" s="209">
        <v>6413743</v>
      </c>
      <c r="E74" s="250">
        <f>F74*1.1023</f>
        <v>2.6896119999999994</v>
      </c>
      <c r="F74" s="250">
        <f>G12+F12+G22+F22+G32+F32+G42+F42</f>
        <v>2.4399999999999995</v>
      </c>
      <c r="G74" s="277">
        <f>(F74/1000000)*$J$56</f>
        <v>6.8319999999999983E-5</v>
      </c>
      <c r="H74" s="1"/>
      <c r="I74" s="1"/>
      <c r="J74" s="1"/>
      <c r="K74" s="1"/>
      <c r="L74" s="1"/>
      <c r="M74" s="1"/>
      <c r="N74" s="1"/>
      <c r="O74" s="1"/>
      <c r="P74" s="1"/>
      <c r="Q74" s="1"/>
      <c r="R74" s="1"/>
      <c r="S74" s="1"/>
      <c r="T74" s="1"/>
      <c r="U74" s="1"/>
      <c r="V74" s="1"/>
      <c r="W74" s="1"/>
      <c r="X74" s="1"/>
      <c r="Y74" s="1"/>
      <c r="Z74" s="1"/>
    </row>
    <row r="75" spans="1:26" ht="15.75" customHeight="1">
      <c r="A75" s="1"/>
      <c r="B75" s="1"/>
      <c r="C75" s="279"/>
      <c r="D75" s="280"/>
      <c r="E75" s="280"/>
      <c r="F75" s="281"/>
      <c r="G75" s="282"/>
      <c r="H75" s="1"/>
      <c r="I75" s="1"/>
      <c r="J75" s="1"/>
      <c r="K75" s="1"/>
      <c r="L75" s="1"/>
      <c r="M75" s="1"/>
      <c r="N75" s="1"/>
      <c r="O75" s="1"/>
      <c r="P75" s="1"/>
      <c r="Q75" s="1"/>
      <c r="R75" s="1"/>
      <c r="S75" s="1"/>
      <c r="T75" s="1"/>
      <c r="U75" s="1"/>
      <c r="V75" s="1"/>
      <c r="W75" s="1"/>
      <c r="X75" s="1"/>
      <c r="Y75" s="1"/>
      <c r="Z75" s="1"/>
    </row>
    <row r="76" spans="1:26" ht="15.75" customHeight="1">
      <c r="A76" s="1"/>
      <c r="B76" s="1"/>
      <c r="C76" s="296" t="s">
        <v>177</v>
      </c>
      <c r="D76" s="297">
        <v>6414323</v>
      </c>
      <c r="E76" s="298">
        <f>E70+E72+E74</f>
        <v>2.6896119999999994</v>
      </c>
      <c r="F76" s="299">
        <f>E76*0.9072</f>
        <v>2.4400160063999996</v>
      </c>
      <c r="G76" s="300">
        <f>(F76/1000000)*$J$56</f>
        <v>6.8320448179199993E-5</v>
      </c>
      <c r="H76" s="1"/>
      <c r="I76" s="1"/>
      <c r="J76" s="1"/>
      <c r="K76" s="1"/>
      <c r="L76" s="1"/>
      <c r="M76" s="1"/>
      <c r="N76" s="1"/>
      <c r="O76" s="1"/>
      <c r="P76" s="1"/>
      <c r="Q76" s="1"/>
      <c r="R76" s="1"/>
      <c r="S76" s="1"/>
      <c r="T76" s="1"/>
      <c r="U76" s="1"/>
      <c r="V76" s="1"/>
      <c r="W76" s="1"/>
      <c r="X76" s="1"/>
      <c r="Y76" s="1"/>
      <c r="Z76" s="1"/>
    </row>
    <row r="77" spans="1:26" ht="15.75" customHeight="1">
      <c r="A77" s="1"/>
      <c r="B77" s="1"/>
      <c r="C77" s="301"/>
      <c r="D77" s="302"/>
      <c r="E77" s="302"/>
      <c r="F77" s="302"/>
      <c r="G77" s="303"/>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266"/>
      <c r="D80" s="293" t="s">
        <v>287</v>
      </c>
      <c r="E80" s="267" t="s">
        <v>299</v>
      </c>
      <c r="F80" s="267" t="s">
        <v>300</v>
      </c>
      <c r="G80" s="268" t="s">
        <v>301</v>
      </c>
      <c r="H80" s="1"/>
      <c r="I80" s="1"/>
      <c r="J80" s="1"/>
      <c r="K80" s="1"/>
      <c r="L80" s="1"/>
      <c r="M80" s="1"/>
      <c r="N80" s="1"/>
      <c r="O80" s="1"/>
      <c r="P80" s="1"/>
      <c r="Q80" s="1"/>
      <c r="R80" s="1"/>
      <c r="S80" s="1"/>
      <c r="T80" s="1"/>
      <c r="U80" s="1"/>
      <c r="V80" s="1"/>
      <c r="W80" s="1"/>
      <c r="X80" s="1"/>
      <c r="Y80" s="1"/>
      <c r="Z80" s="1"/>
    </row>
    <row r="81" spans="1:26" ht="15.75" customHeight="1">
      <c r="A81" s="1"/>
      <c r="B81" s="1"/>
      <c r="C81" s="270"/>
      <c r="D81" s="271"/>
      <c r="E81" s="271" t="s">
        <v>263</v>
      </c>
      <c r="F81" s="271" t="s">
        <v>291</v>
      </c>
      <c r="G81" s="272" t="s">
        <v>292</v>
      </c>
      <c r="H81" s="1"/>
      <c r="I81" s="1"/>
      <c r="J81" s="1"/>
      <c r="K81" s="1"/>
      <c r="L81" s="1"/>
      <c r="M81" s="1"/>
      <c r="N81" s="1"/>
      <c r="O81" s="1"/>
      <c r="P81" s="1"/>
      <c r="Q81" s="1"/>
      <c r="R81" s="1"/>
      <c r="S81" s="1"/>
      <c r="T81" s="1"/>
      <c r="U81" s="1"/>
      <c r="V81" s="1"/>
      <c r="W81" s="1"/>
      <c r="X81" s="1"/>
      <c r="Y81" s="1"/>
      <c r="Z81" s="1"/>
    </row>
    <row r="82" spans="1:26" ht="15.75" customHeight="1">
      <c r="A82" s="1"/>
      <c r="B82" s="1"/>
      <c r="C82" s="273"/>
      <c r="D82" s="274"/>
      <c r="E82" s="274"/>
      <c r="F82" s="274"/>
      <c r="G82" s="275"/>
      <c r="H82" s="1"/>
      <c r="I82" s="1"/>
      <c r="J82" s="1"/>
      <c r="K82" s="1"/>
      <c r="L82" s="1"/>
      <c r="M82" s="1"/>
      <c r="N82" s="1"/>
      <c r="O82" s="1"/>
      <c r="P82" s="1"/>
      <c r="Q82" s="1"/>
      <c r="R82" s="1"/>
      <c r="S82" s="1"/>
      <c r="T82" s="1"/>
      <c r="U82" s="1"/>
      <c r="V82" s="1"/>
      <c r="W82" s="1"/>
      <c r="X82" s="1"/>
      <c r="Y82" s="1"/>
      <c r="Z82" s="1"/>
    </row>
    <row r="83" spans="1:26" ht="15.75" customHeight="1">
      <c r="A83" s="1"/>
      <c r="B83" s="1"/>
      <c r="C83" s="276" t="s">
        <v>293</v>
      </c>
      <c r="D83" s="209">
        <v>0</v>
      </c>
      <c r="E83" s="209">
        <f t="shared" ref="E83:G83" si="12">0</f>
        <v>0</v>
      </c>
      <c r="F83" s="209">
        <f t="shared" si="12"/>
        <v>0</v>
      </c>
      <c r="G83" s="277">
        <f t="shared" si="12"/>
        <v>0</v>
      </c>
      <c r="H83" s="1"/>
      <c r="I83" s="1"/>
      <c r="J83" s="1"/>
      <c r="K83" s="1"/>
      <c r="L83" s="1"/>
      <c r="M83" s="1"/>
      <c r="N83" s="1"/>
      <c r="O83" s="1"/>
      <c r="P83" s="1"/>
      <c r="Q83" s="1"/>
      <c r="R83" s="1"/>
      <c r="S83" s="1"/>
      <c r="T83" s="1"/>
      <c r="U83" s="1"/>
      <c r="V83" s="1"/>
      <c r="W83" s="1"/>
      <c r="X83" s="1"/>
      <c r="Y83" s="1"/>
      <c r="Z83" s="1"/>
    </row>
    <row r="84" spans="1:26" ht="15.75" customHeight="1">
      <c r="A84" s="1"/>
      <c r="B84" s="1"/>
      <c r="C84" s="276"/>
      <c r="D84" s="210"/>
      <c r="E84" s="210"/>
      <c r="F84" s="209"/>
      <c r="G84" s="277"/>
      <c r="H84" s="1"/>
      <c r="I84" s="1"/>
      <c r="J84" s="1"/>
      <c r="K84" s="1"/>
      <c r="L84" s="1"/>
      <c r="M84" s="1"/>
      <c r="N84" s="1"/>
      <c r="O84" s="1"/>
      <c r="P84" s="1"/>
      <c r="Q84" s="1"/>
      <c r="R84" s="1"/>
      <c r="S84" s="1"/>
      <c r="T84" s="1"/>
      <c r="U84" s="1"/>
      <c r="V84" s="1"/>
      <c r="W84" s="1"/>
      <c r="X84" s="1"/>
      <c r="Y84" s="1"/>
      <c r="Z84" s="1"/>
    </row>
    <row r="85" spans="1:26" ht="15.75" customHeight="1">
      <c r="A85" s="1"/>
      <c r="B85" s="1"/>
      <c r="C85" s="276" t="s">
        <v>294</v>
      </c>
      <c r="D85" s="209">
        <v>580</v>
      </c>
      <c r="E85" s="209">
        <f>F85*1.1023</f>
        <v>0</v>
      </c>
      <c r="F85" s="209">
        <f>E13+E23+E33+E43</f>
        <v>0</v>
      </c>
      <c r="G85" s="277">
        <f>(F85/1000000)*$J$57</f>
        <v>0</v>
      </c>
      <c r="H85" s="1"/>
      <c r="I85" s="1"/>
      <c r="J85" s="1"/>
      <c r="K85" s="1"/>
      <c r="L85" s="1"/>
      <c r="M85" s="1"/>
      <c r="N85" s="1"/>
      <c r="O85" s="1"/>
      <c r="P85" s="1"/>
      <c r="Q85" s="1"/>
      <c r="R85" s="1"/>
      <c r="S85" s="1"/>
      <c r="T85" s="1"/>
      <c r="U85" s="1"/>
      <c r="V85" s="1"/>
      <c r="W85" s="1"/>
      <c r="X85" s="1"/>
      <c r="Y85" s="1"/>
      <c r="Z85" s="1"/>
    </row>
    <row r="86" spans="1:26" ht="15.75" customHeight="1">
      <c r="A86" s="1"/>
      <c r="B86" s="1"/>
      <c r="C86" s="276"/>
      <c r="D86" s="210"/>
      <c r="E86" s="210"/>
      <c r="F86" s="209"/>
      <c r="G86" s="277"/>
      <c r="H86" s="1"/>
      <c r="I86" s="1"/>
      <c r="J86" s="1"/>
      <c r="K86" s="1"/>
      <c r="L86" s="1"/>
      <c r="M86" s="1"/>
      <c r="N86" s="1"/>
      <c r="O86" s="1"/>
      <c r="P86" s="1"/>
      <c r="Q86" s="1"/>
      <c r="R86" s="1"/>
      <c r="S86" s="1"/>
      <c r="T86" s="1"/>
      <c r="U86" s="1"/>
      <c r="V86" s="1"/>
      <c r="W86" s="1"/>
      <c r="X86" s="1"/>
      <c r="Y86" s="1"/>
      <c r="Z86" s="1"/>
    </row>
    <row r="87" spans="1:26" ht="15.75" customHeight="1">
      <c r="A87" s="1"/>
      <c r="B87" s="1"/>
      <c r="C87" s="276" t="s">
        <v>295</v>
      </c>
      <c r="D87" s="209">
        <v>6413743</v>
      </c>
      <c r="E87" s="304">
        <f>F87*1.1023</f>
        <v>0.76609850000000013</v>
      </c>
      <c r="F87" s="304">
        <f>G13+F13+G23+F23+G33+F33+G43+F43</f>
        <v>0.69500000000000006</v>
      </c>
      <c r="G87" s="277">
        <f>(F87/1000000)*$J$57</f>
        <v>1.8417499999999999E-4</v>
      </c>
      <c r="H87" s="1"/>
      <c r="I87" s="1"/>
      <c r="J87" s="1"/>
      <c r="K87" s="1"/>
      <c r="L87" s="1"/>
      <c r="M87" s="1"/>
      <c r="N87" s="1"/>
      <c r="O87" s="1"/>
      <c r="P87" s="1"/>
      <c r="Q87" s="1"/>
      <c r="R87" s="1"/>
      <c r="S87" s="1"/>
      <c r="T87" s="1"/>
      <c r="U87" s="1"/>
      <c r="V87" s="1"/>
      <c r="W87" s="1"/>
      <c r="X87" s="1"/>
      <c r="Y87" s="1"/>
      <c r="Z87" s="1"/>
    </row>
    <row r="88" spans="1:26" ht="15.75" customHeight="1">
      <c r="A88" s="1"/>
      <c r="B88" s="1"/>
      <c r="C88" s="279"/>
      <c r="D88" s="280"/>
      <c r="E88" s="280"/>
      <c r="F88" s="281"/>
      <c r="G88" s="282"/>
      <c r="H88" s="1"/>
      <c r="I88" s="1"/>
      <c r="J88" s="1"/>
      <c r="K88" s="1"/>
      <c r="L88" s="1"/>
      <c r="M88" s="1"/>
      <c r="N88" s="1"/>
      <c r="O88" s="1"/>
      <c r="P88" s="1"/>
      <c r="Q88" s="1"/>
      <c r="R88" s="1"/>
      <c r="S88" s="1"/>
      <c r="T88" s="1"/>
      <c r="U88" s="1"/>
      <c r="V88" s="1"/>
      <c r="W88" s="1"/>
      <c r="X88" s="1"/>
      <c r="Y88" s="1"/>
      <c r="Z88" s="1"/>
    </row>
    <row r="89" spans="1:26" ht="15.75" customHeight="1">
      <c r="A89" s="1"/>
      <c r="B89" s="1"/>
      <c r="C89" s="305" t="s">
        <v>177</v>
      </c>
      <c r="D89" s="306">
        <v>6414323</v>
      </c>
      <c r="E89" s="307">
        <f>E83+E85+E87</f>
        <v>0.76609850000000013</v>
      </c>
      <c r="F89" s="307">
        <f>E89*0.9072</f>
        <v>0.69500455920000015</v>
      </c>
      <c r="G89" s="308">
        <f>(F89/1000000)*$J$57</f>
        <v>1.8417620818800005E-4</v>
      </c>
      <c r="H89" s="1"/>
      <c r="I89" s="1"/>
      <c r="J89" s="1"/>
      <c r="K89" s="1"/>
      <c r="L89" s="1"/>
      <c r="M89" s="1"/>
      <c r="N89" s="1"/>
      <c r="O89" s="1"/>
      <c r="P89" s="1"/>
      <c r="Q89" s="1"/>
      <c r="R89" s="1"/>
      <c r="S89" s="1"/>
      <c r="T89" s="1"/>
      <c r="U89" s="1"/>
      <c r="V89" s="1"/>
      <c r="W89" s="1"/>
      <c r="X89" s="1"/>
      <c r="Y89" s="1"/>
      <c r="Z89" s="1"/>
    </row>
    <row r="90" spans="1:26" ht="15.75" customHeight="1">
      <c r="A90" s="1"/>
      <c r="B90" s="1"/>
      <c r="C90" s="289"/>
      <c r="D90" s="290"/>
      <c r="E90" s="290"/>
      <c r="F90" s="290"/>
      <c r="G90" s="29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row r="291" spans="1:26" ht="15.75" customHeight="1"/>
    <row r="292" spans="1:26" ht="15.75" customHeight="1"/>
    <row r="293" spans="1:26" ht="15.75" customHeight="1"/>
    <row r="294" spans="1:26" ht="15.75" customHeight="1"/>
    <row r="295" spans="1:26" ht="15.75" customHeight="1"/>
    <row r="296" spans="1:26" ht="15.75" customHeight="1"/>
    <row r="297" spans="1:26" ht="15.75" customHeight="1"/>
    <row r="298" spans="1:26" ht="15.75" customHeight="1"/>
    <row r="299" spans="1:26" ht="15.75" customHeight="1"/>
    <row r="300" spans="1:26" ht="15.75" customHeight="1"/>
    <row r="301" spans="1:26" ht="15.75" customHeight="1"/>
    <row r="302" spans="1:26" ht="15.75" customHeight="1"/>
    <row r="303" spans="1:26" ht="15.75" customHeight="1"/>
    <row r="304" spans="1:26"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E4:G4"/>
    <mergeCell ref="I53:J53"/>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6.85546875" defaultRowHeight="15" customHeight="1"/>
  <cols>
    <col min="1" max="1" width="9.28515625" customWidth="1"/>
    <col min="2" max="2" width="11.7109375" customWidth="1"/>
    <col min="3" max="3" width="33.28515625" customWidth="1"/>
    <col min="4" max="4" width="13.7109375" customWidth="1"/>
    <col min="5" max="7" width="15.28515625" customWidth="1"/>
    <col min="8" max="8" width="17.140625" customWidth="1"/>
    <col min="9" max="9" width="12" customWidth="1"/>
    <col min="10" max="10" width="11.7109375" customWidth="1"/>
    <col min="11" max="11" width="11.140625" customWidth="1"/>
    <col min="12" max="13" width="9.28515625" customWidth="1"/>
    <col min="14" max="26" width="8" customWidth="1"/>
  </cols>
  <sheetData>
    <row r="1" spans="1:26" ht="14.4">
      <c r="A1" s="1"/>
      <c r="B1" s="1"/>
      <c r="C1" s="1"/>
      <c r="D1" s="1"/>
      <c r="E1" s="1"/>
      <c r="F1" s="1"/>
      <c r="G1" s="1"/>
      <c r="H1" s="1"/>
      <c r="I1" s="1"/>
      <c r="J1" s="1"/>
      <c r="K1" s="1"/>
      <c r="L1" s="1"/>
      <c r="M1" s="1"/>
      <c r="N1" s="1"/>
      <c r="O1" s="1"/>
      <c r="P1" s="1"/>
      <c r="Q1" s="1"/>
      <c r="R1" s="1"/>
      <c r="S1" s="1"/>
      <c r="T1" s="1"/>
      <c r="U1" s="1"/>
      <c r="V1" s="1"/>
      <c r="W1" s="1"/>
      <c r="X1" s="1"/>
      <c r="Y1" s="1"/>
      <c r="Z1" s="1"/>
    </row>
    <row r="2" spans="1:26" ht="14.4">
      <c r="A2" s="1"/>
      <c r="B2" s="1"/>
      <c r="C2" s="1"/>
      <c r="D2" s="1"/>
      <c r="E2" s="1"/>
      <c r="F2" s="1"/>
      <c r="G2" s="1"/>
      <c r="H2" s="1"/>
      <c r="I2" s="1"/>
      <c r="J2" s="1"/>
      <c r="K2" s="1"/>
      <c r="L2" s="1"/>
      <c r="M2" s="1"/>
      <c r="N2" s="1"/>
      <c r="O2" s="1"/>
      <c r="P2" s="1"/>
      <c r="Q2" s="1"/>
      <c r="R2" s="1"/>
      <c r="S2" s="1"/>
      <c r="T2" s="1"/>
      <c r="U2" s="1"/>
      <c r="V2" s="1"/>
      <c r="W2" s="1"/>
      <c r="X2" s="1"/>
      <c r="Y2" s="1"/>
      <c r="Z2" s="1"/>
    </row>
    <row r="3" spans="1:26" ht="14.4">
      <c r="A3" s="1"/>
      <c r="B3" s="1"/>
      <c r="C3" s="1"/>
      <c r="D3" s="1"/>
      <c r="E3" s="1"/>
      <c r="F3" s="1"/>
      <c r="G3" s="2242" t="s">
        <v>302</v>
      </c>
      <c r="H3" s="2243"/>
      <c r="I3" s="2243"/>
      <c r="J3" s="2243"/>
      <c r="K3" s="41"/>
      <c r="L3" s="1"/>
      <c r="M3" s="1"/>
      <c r="N3" s="1"/>
      <c r="O3" s="1"/>
      <c r="P3" s="1"/>
      <c r="Q3" s="1"/>
      <c r="R3" s="1"/>
      <c r="S3" s="1"/>
      <c r="T3" s="1"/>
      <c r="U3" s="1"/>
      <c r="V3" s="1"/>
      <c r="W3" s="1"/>
      <c r="X3" s="1"/>
      <c r="Y3" s="1"/>
      <c r="Z3" s="1"/>
    </row>
    <row r="4" spans="1:26" ht="15.6">
      <c r="A4" s="1"/>
      <c r="B4" s="1"/>
      <c r="C4" s="309" t="s">
        <v>303</v>
      </c>
      <c r="D4" s="1"/>
      <c r="E4" s="1"/>
      <c r="F4" s="310" t="s">
        <v>304</v>
      </c>
      <c r="G4" s="311" t="s">
        <v>305</v>
      </c>
      <c r="H4" s="311" t="s">
        <v>305</v>
      </c>
      <c r="I4" s="311" t="s">
        <v>305</v>
      </c>
      <c r="J4" s="311" t="s">
        <v>305</v>
      </c>
      <c r="K4" s="312" t="s">
        <v>305</v>
      </c>
      <c r="L4" s="1"/>
      <c r="M4" s="1"/>
      <c r="N4" s="1"/>
      <c r="O4" s="1"/>
      <c r="P4" s="1"/>
      <c r="Q4" s="1"/>
      <c r="R4" s="1"/>
      <c r="S4" s="1"/>
      <c r="T4" s="1"/>
      <c r="U4" s="1"/>
      <c r="V4" s="1"/>
      <c r="W4" s="1"/>
      <c r="X4" s="1"/>
      <c r="Y4" s="1"/>
      <c r="Z4" s="1"/>
    </row>
    <row r="5" spans="1:26" ht="15.6">
      <c r="A5" s="1"/>
      <c r="B5" s="1"/>
      <c r="C5" s="46"/>
      <c r="D5" s="1"/>
      <c r="E5" s="1"/>
      <c r="F5" s="313" t="s">
        <v>306</v>
      </c>
      <c r="G5" s="261">
        <v>1.0999999999999999E-2</v>
      </c>
      <c r="H5" s="261">
        <v>3.0000000000000001E-3</v>
      </c>
      <c r="I5" s="261">
        <v>3.0000000000000001E-3</v>
      </c>
      <c r="J5" s="261">
        <v>1E-3</v>
      </c>
      <c r="K5" s="314">
        <v>3.2000000000000001E-2</v>
      </c>
      <c r="L5" s="1"/>
      <c r="M5" s="1"/>
      <c r="N5" s="1"/>
      <c r="O5" s="1"/>
      <c r="P5" s="1"/>
      <c r="Q5" s="1"/>
      <c r="R5" s="1"/>
      <c r="S5" s="1"/>
      <c r="T5" s="1"/>
      <c r="U5" s="1"/>
      <c r="V5" s="1"/>
      <c r="W5" s="1"/>
      <c r="X5" s="1"/>
      <c r="Y5" s="1"/>
      <c r="Z5" s="1"/>
    </row>
    <row r="6" spans="1:26" ht="15.6">
      <c r="A6" s="1"/>
      <c r="B6" s="1"/>
      <c r="C6" s="46"/>
      <c r="D6" s="1"/>
      <c r="E6" s="1"/>
      <c r="F6" s="313" t="s">
        <v>307</v>
      </c>
      <c r="G6" s="261">
        <v>1.6000000000000001E-3</v>
      </c>
      <c r="H6" s="261">
        <v>5.9999999999999995E-4</v>
      </c>
      <c r="I6" s="261">
        <v>6.0000000000000001E-3</v>
      </c>
      <c r="J6" s="261">
        <v>1E-3</v>
      </c>
      <c r="K6" s="315">
        <v>4.1999999999999997E-3</v>
      </c>
      <c r="L6" s="1"/>
      <c r="M6" s="1"/>
      <c r="N6" s="1"/>
      <c r="O6" s="1"/>
      <c r="P6" s="1"/>
      <c r="Q6" s="1"/>
      <c r="R6" s="1"/>
      <c r="S6" s="1"/>
      <c r="T6" s="1"/>
      <c r="U6" s="1"/>
      <c r="V6" s="1"/>
      <c r="W6" s="1"/>
      <c r="X6" s="1"/>
      <c r="Y6" s="1"/>
      <c r="Z6" s="1"/>
    </row>
    <row r="7" spans="1:26" ht="14.4">
      <c r="A7" s="1"/>
      <c r="B7" s="1"/>
      <c r="C7" s="1"/>
      <c r="D7" s="1"/>
      <c r="E7" s="1"/>
      <c r="F7" s="262"/>
      <c r="G7" s="316" t="s">
        <v>293</v>
      </c>
      <c r="H7" s="316" t="s">
        <v>308</v>
      </c>
      <c r="I7" s="316" t="s">
        <v>309</v>
      </c>
      <c r="J7" s="316" t="s">
        <v>310</v>
      </c>
      <c r="K7" s="317" t="s">
        <v>311</v>
      </c>
      <c r="L7" s="1"/>
      <c r="M7" s="1"/>
      <c r="N7" s="1"/>
      <c r="O7" s="1"/>
      <c r="P7" s="1"/>
      <c r="Q7" s="1"/>
      <c r="R7" s="1"/>
      <c r="S7" s="1"/>
      <c r="T7" s="1"/>
      <c r="U7" s="1"/>
      <c r="V7" s="1"/>
      <c r="W7" s="1"/>
      <c r="X7" s="1"/>
      <c r="Y7" s="1"/>
      <c r="Z7" s="1"/>
    </row>
    <row r="8" spans="1:26" ht="14.4">
      <c r="A8" s="1"/>
      <c r="B8" s="1"/>
      <c r="C8" s="1"/>
      <c r="D8" s="1"/>
      <c r="E8" s="1"/>
      <c r="F8" s="1"/>
      <c r="G8" s="46"/>
      <c r="H8" s="46"/>
      <c r="I8" s="46"/>
      <c r="J8" s="46"/>
      <c r="K8" s="46"/>
      <c r="L8" s="1"/>
      <c r="M8" s="1"/>
      <c r="N8" s="1"/>
      <c r="O8" s="1"/>
      <c r="P8" s="1"/>
      <c r="Q8" s="1"/>
      <c r="R8" s="1"/>
      <c r="S8" s="1"/>
      <c r="T8" s="1"/>
      <c r="U8" s="1"/>
      <c r="V8" s="1"/>
      <c r="W8" s="1"/>
      <c r="X8" s="1"/>
      <c r="Y8" s="1"/>
      <c r="Z8" s="1"/>
    </row>
    <row r="9" spans="1:26" ht="14.4">
      <c r="A9" s="1"/>
      <c r="B9" s="1"/>
      <c r="C9" s="1"/>
      <c r="D9" s="1"/>
      <c r="E9" s="1"/>
      <c r="F9" s="1"/>
      <c r="G9" s="1"/>
      <c r="H9" s="1"/>
      <c r="I9" s="1"/>
      <c r="J9" s="1"/>
      <c r="K9" s="1"/>
      <c r="L9" s="1"/>
      <c r="M9" s="1"/>
      <c r="N9" s="1"/>
      <c r="O9" s="1"/>
      <c r="P9" s="1"/>
      <c r="Q9" s="1"/>
      <c r="R9" s="1"/>
      <c r="S9" s="1"/>
      <c r="T9" s="1"/>
      <c r="U9" s="1"/>
      <c r="V9" s="1"/>
      <c r="W9" s="1"/>
      <c r="X9" s="1"/>
      <c r="Y9" s="1"/>
      <c r="Z9" s="1"/>
    </row>
    <row r="10" spans="1:26" ht="14.4">
      <c r="A10" s="1"/>
      <c r="B10" s="34"/>
      <c r="C10" s="44"/>
      <c r="D10" s="2239">
        <v>2011</v>
      </c>
      <c r="E10" s="2240"/>
      <c r="F10" s="2240"/>
      <c r="G10" s="2240"/>
      <c r="H10" s="2241"/>
      <c r="I10" s="318" t="s">
        <v>177</v>
      </c>
      <c r="J10" s="205" t="s">
        <v>312</v>
      </c>
      <c r="K10" s="319" t="s">
        <v>313</v>
      </c>
      <c r="L10" s="1"/>
      <c r="M10" s="1"/>
      <c r="N10" s="1"/>
      <c r="O10" s="1"/>
      <c r="P10" s="1"/>
      <c r="Q10" s="1"/>
      <c r="R10" s="1"/>
      <c r="S10" s="1"/>
      <c r="T10" s="1"/>
      <c r="U10" s="1"/>
      <c r="V10" s="1"/>
      <c r="W10" s="1"/>
      <c r="X10" s="1"/>
      <c r="Y10" s="1"/>
      <c r="Z10" s="1"/>
    </row>
    <row r="11" spans="1:26" ht="14.4">
      <c r="A11" s="1"/>
      <c r="B11" s="36"/>
      <c r="C11" s="48"/>
      <c r="D11" s="231" t="s">
        <v>293</v>
      </c>
      <c r="E11" s="231" t="s">
        <v>314</v>
      </c>
      <c r="F11" s="231" t="s">
        <v>315</v>
      </c>
      <c r="G11" s="320" t="s">
        <v>311</v>
      </c>
      <c r="H11" s="320" t="s">
        <v>261</v>
      </c>
      <c r="I11" s="233"/>
      <c r="J11" s="210"/>
      <c r="K11" s="321"/>
      <c r="L11" s="1"/>
      <c r="M11" s="1"/>
      <c r="N11" s="1"/>
      <c r="O11" s="1"/>
      <c r="P11" s="1"/>
      <c r="Q11" s="1"/>
      <c r="R11" s="1"/>
      <c r="S11" s="1"/>
      <c r="T11" s="1"/>
      <c r="U11" s="1"/>
      <c r="V11" s="1"/>
      <c r="W11" s="1"/>
      <c r="X11" s="1"/>
      <c r="Y11" s="1"/>
      <c r="Z11" s="1"/>
    </row>
    <row r="12" spans="1:26" ht="14.4">
      <c r="A12" s="1"/>
      <c r="B12" s="38"/>
      <c r="C12" s="56"/>
      <c r="D12" s="322" t="s">
        <v>316</v>
      </c>
      <c r="E12" s="322" t="s">
        <v>264</v>
      </c>
      <c r="F12" s="322" t="s">
        <v>264</v>
      </c>
      <c r="G12" s="323" t="s">
        <v>316</v>
      </c>
      <c r="H12" s="323" t="s">
        <v>266</v>
      </c>
      <c r="I12" s="322"/>
      <c r="J12" s="322"/>
      <c r="K12" s="323"/>
      <c r="L12" s="1"/>
      <c r="M12" s="1"/>
      <c r="N12" s="1"/>
      <c r="O12" s="1"/>
      <c r="P12" s="1"/>
      <c r="Q12" s="1"/>
      <c r="R12" s="1"/>
      <c r="S12" s="1"/>
      <c r="T12" s="1"/>
      <c r="U12" s="1"/>
      <c r="V12" s="1"/>
      <c r="W12" s="1"/>
      <c r="X12" s="1"/>
      <c r="Y12" s="1"/>
      <c r="Z12" s="1"/>
    </row>
    <row r="13" spans="1:26" ht="14.4">
      <c r="A13" s="1"/>
      <c r="B13" s="324"/>
      <c r="C13" s="325"/>
      <c r="D13" s="229"/>
      <c r="E13" s="229"/>
      <c r="F13" s="229"/>
      <c r="G13" s="326"/>
      <c r="H13" s="229"/>
      <c r="I13" s="229"/>
      <c r="J13" s="229"/>
      <c r="K13" s="326"/>
      <c r="L13" s="1"/>
      <c r="M13" s="1"/>
      <c r="N13" s="1"/>
      <c r="O13" s="1"/>
      <c r="P13" s="1"/>
      <c r="Q13" s="1"/>
      <c r="R13" s="1"/>
      <c r="S13" s="1"/>
      <c r="T13" s="1"/>
      <c r="U13" s="1"/>
      <c r="V13" s="1"/>
      <c r="W13" s="1"/>
      <c r="X13" s="1"/>
      <c r="Y13" s="1"/>
      <c r="Z13" s="1"/>
    </row>
    <row r="14" spans="1:26" ht="14.4">
      <c r="A14" s="1"/>
      <c r="B14" s="327"/>
      <c r="C14" s="328" t="s">
        <v>267</v>
      </c>
      <c r="D14" s="329">
        <v>425900</v>
      </c>
      <c r="E14" s="329">
        <v>47886</v>
      </c>
      <c r="F14" s="329">
        <v>487145</v>
      </c>
      <c r="G14" s="330">
        <v>5518</v>
      </c>
      <c r="H14" s="329">
        <v>196372000</v>
      </c>
      <c r="I14" s="331"/>
      <c r="J14" s="329"/>
      <c r="K14" s="330"/>
      <c r="L14" s="1"/>
      <c r="M14" s="1"/>
      <c r="N14" s="1"/>
      <c r="O14" s="1"/>
      <c r="P14" s="1"/>
      <c r="Q14" s="1"/>
      <c r="R14" s="1"/>
      <c r="S14" s="1"/>
      <c r="T14" s="1"/>
      <c r="U14" s="1"/>
      <c r="V14" s="1"/>
      <c r="W14" s="1"/>
      <c r="X14" s="1"/>
      <c r="Y14" s="1"/>
      <c r="Z14" s="1"/>
    </row>
    <row r="15" spans="1:26" ht="14.4">
      <c r="A15" s="1"/>
      <c r="B15" s="332"/>
      <c r="C15" s="328" t="s">
        <v>268</v>
      </c>
      <c r="D15" s="329">
        <v>10862</v>
      </c>
      <c r="E15" s="329">
        <v>141324</v>
      </c>
      <c r="F15" s="329">
        <v>140001</v>
      </c>
      <c r="G15" s="330">
        <v>4643</v>
      </c>
      <c r="H15" s="329">
        <v>1053</v>
      </c>
      <c r="I15" s="331"/>
      <c r="J15" s="329"/>
      <c r="K15" s="330"/>
      <c r="L15" s="1"/>
      <c r="M15" s="1"/>
      <c r="N15" s="1"/>
      <c r="O15" s="1"/>
      <c r="P15" s="1"/>
      <c r="Q15" s="1"/>
      <c r="R15" s="1"/>
      <c r="S15" s="1"/>
      <c r="T15" s="1"/>
      <c r="U15" s="1"/>
      <c r="V15" s="1"/>
      <c r="W15" s="1"/>
      <c r="X15" s="1"/>
      <c r="Y15" s="1"/>
      <c r="Z15" s="1"/>
    </row>
    <row r="16" spans="1:26" ht="14.4">
      <c r="A16" s="1"/>
      <c r="B16" s="333"/>
      <c r="C16" s="334" t="s">
        <v>270</v>
      </c>
      <c r="D16" s="335">
        <f>+D14*D15*2000/1000000</f>
        <v>9252251.5999999996</v>
      </c>
      <c r="E16" s="336">
        <f t="shared" ref="E16:F16" si="0">+E14*E15/1000000</f>
        <v>6767.4410639999996</v>
      </c>
      <c r="F16" s="336">
        <f t="shared" si="0"/>
        <v>68200.787144999995</v>
      </c>
      <c r="G16" s="335">
        <f>+G14*G15*2000/1000000</f>
        <v>51240.148000000001</v>
      </c>
      <c r="H16" s="336">
        <f>+H14*H15/1000000</f>
        <v>206779.71599999999</v>
      </c>
      <c r="I16" s="336">
        <f>SUM(D16:H16)</f>
        <v>9585239.6922089998</v>
      </c>
      <c r="J16" s="337"/>
      <c r="K16" s="338"/>
      <c r="L16" s="1"/>
      <c r="M16" s="1"/>
      <c r="N16" s="1"/>
      <c r="O16" s="1"/>
      <c r="P16" s="1"/>
      <c r="Q16" s="1"/>
      <c r="R16" s="1"/>
      <c r="S16" s="1"/>
      <c r="T16" s="1"/>
      <c r="U16" s="1"/>
      <c r="V16" s="1"/>
      <c r="W16" s="1"/>
      <c r="X16" s="1"/>
      <c r="Y16" s="1"/>
      <c r="Z16" s="1"/>
    </row>
    <row r="17" spans="1:26" ht="14.4">
      <c r="A17" s="1"/>
      <c r="B17" s="36"/>
      <c r="C17" s="34"/>
      <c r="D17" s="339"/>
      <c r="E17" s="339"/>
      <c r="F17" s="339"/>
      <c r="G17" s="340"/>
      <c r="H17" s="339"/>
      <c r="I17" s="339"/>
      <c r="J17" s="339"/>
      <c r="K17" s="340"/>
      <c r="L17" s="1"/>
      <c r="M17" s="1"/>
      <c r="N17" s="1"/>
      <c r="O17" s="1"/>
      <c r="P17" s="1"/>
      <c r="Q17" s="1"/>
      <c r="R17" s="1"/>
      <c r="S17" s="1"/>
      <c r="T17" s="1"/>
      <c r="U17" s="1"/>
      <c r="V17" s="1"/>
      <c r="W17" s="1"/>
      <c r="X17" s="1"/>
      <c r="Y17" s="1"/>
      <c r="Z17" s="1"/>
    </row>
    <row r="18" spans="1:26" ht="15.6">
      <c r="A18" s="1"/>
      <c r="B18" s="36"/>
      <c r="C18" s="217" t="s">
        <v>317</v>
      </c>
      <c r="D18" s="220">
        <f t="shared" ref="D18:D20" si="1">(+D$16/I$16)*K18</f>
        <v>358790.14861814311</v>
      </c>
      <c r="E18" s="219">
        <f t="shared" ref="E18:E20" si="2">(+E$16/I$16)*K18</f>
        <v>262.43246401957811</v>
      </c>
      <c r="F18" s="219">
        <f t="shared" ref="F18:F20" si="3">(+F$16/I$16)*K18</f>
        <v>2644.7368287767804</v>
      </c>
      <c r="G18" s="219">
        <f t="shared" ref="G18:G20" si="4">(+G$16/I$16)*K18</f>
        <v>1987.0255491253226</v>
      </c>
      <c r="H18" s="219">
        <f t="shared" ref="H18:H20" si="5">(+H$16/I$16)*K18</f>
        <v>8018.6454327352503</v>
      </c>
      <c r="I18" s="341">
        <v>962604</v>
      </c>
      <c r="J18" s="342">
        <v>0.38614320000000002</v>
      </c>
      <c r="K18" s="343">
        <f t="shared" ref="K18:K20" si="6">I18*J18</f>
        <v>371702.9888928</v>
      </c>
      <c r="L18" s="1"/>
      <c r="M18" s="1"/>
      <c r="N18" s="1"/>
      <c r="O18" s="1"/>
      <c r="P18" s="1"/>
      <c r="Q18" s="1"/>
      <c r="R18" s="1"/>
      <c r="S18" s="1"/>
      <c r="T18" s="1"/>
      <c r="U18" s="1"/>
      <c r="V18" s="1"/>
      <c r="W18" s="1"/>
      <c r="X18" s="1"/>
      <c r="Y18" s="1"/>
      <c r="Z18" s="1"/>
    </row>
    <row r="19" spans="1:26" ht="15.6">
      <c r="A19" s="1"/>
      <c r="B19" s="344" t="s">
        <v>318</v>
      </c>
      <c r="C19" s="28" t="s">
        <v>319</v>
      </c>
      <c r="D19" s="250">
        <f t="shared" si="1"/>
        <v>42.647821993851842</v>
      </c>
      <c r="E19" s="250">
        <f t="shared" si="2"/>
        <v>3.1194203781850817E-2</v>
      </c>
      <c r="F19" s="250">
        <f t="shared" si="3"/>
        <v>0.31436834575494449</v>
      </c>
      <c r="G19" s="250">
        <f t="shared" si="4"/>
        <v>0.23618907108434267</v>
      </c>
      <c r="H19" s="250">
        <f t="shared" si="5"/>
        <v>0.95314145152594387</v>
      </c>
      <c r="I19" s="223">
        <v>114.42054415563686</v>
      </c>
      <c r="J19" s="345">
        <v>0.38614320000000002</v>
      </c>
      <c r="K19" s="346">
        <f t="shared" si="6"/>
        <v>44.18271506599892</v>
      </c>
      <c r="L19" s="1"/>
      <c r="M19" s="1"/>
      <c r="N19" s="1"/>
      <c r="O19" s="1"/>
      <c r="P19" s="1"/>
      <c r="Q19" s="1"/>
      <c r="R19" s="1"/>
      <c r="S19" s="1"/>
      <c r="T19" s="1"/>
      <c r="U19" s="1"/>
      <c r="V19" s="1"/>
      <c r="W19" s="1"/>
      <c r="X19" s="1"/>
      <c r="Y19" s="1"/>
      <c r="Z19" s="1"/>
    </row>
    <row r="20" spans="1:26" ht="15.6">
      <c r="A20" s="1"/>
      <c r="B20" s="38"/>
      <c r="C20" s="347" t="s">
        <v>320</v>
      </c>
      <c r="D20" s="348">
        <f t="shared" si="1"/>
        <v>6.2790134768140602</v>
      </c>
      <c r="E20" s="227">
        <f t="shared" si="2"/>
        <v>4.5927040769622911E-3</v>
      </c>
      <c r="F20" s="227">
        <f t="shared" si="3"/>
        <v>4.6284264644595494E-2</v>
      </c>
      <c r="G20" s="227">
        <f t="shared" si="4"/>
        <v>3.4773976514640717E-2</v>
      </c>
      <c r="H20" s="227">
        <f t="shared" si="5"/>
        <v>0.14033044923851659</v>
      </c>
      <c r="I20" s="349">
        <v>16.846068689773055</v>
      </c>
      <c r="J20" s="350">
        <v>0.38614320000000002</v>
      </c>
      <c r="K20" s="351">
        <f t="shared" si="6"/>
        <v>6.5049948712887753</v>
      </c>
      <c r="L20" s="1"/>
      <c r="M20" s="1"/>
      <c r="N20" s="1"/>
      <c r="O20" s="1"/>
      <c r="P20" s="1"/>
      <c r="Q20" s="1"/>
      <c r="R20" s="1"/>
      <c r="S20" s="1"/>
      <c r="T20" s="1"/>
      <c r="U20" s="1"/>
      <c r="V20" s="1"/>
      <c r="W20" s="1"/>
      <c r="X20" s="1"/>
      <c r="Y20" s="1"/>
      <c r="Z20" s="1"/>
    </row>
    <row r="21" spans="1:26" ht="15.75" customHeight="1">
      <c r="A21" s="1"/>
      <c r="B21" s="36"/>
      <c r="C21" s="36"/>
      <c r="D21" s="352"/>
      <c r="E21" s="352"/>
      <c r="F21" s="352"/>
      <c r="G21" s="352"/>
      <c r="H21" s="352"/>
      <c r="I21" s="352"/>
      <c r="J21" s="352"/>
      <c r="K21" s="353"/>
      <c r="L21" s="1"/>
      <c r="M21" s="1"/>
      <c r="N21" s="1"/>
      <c r="O21" s="1"/>
      <c r="P21" s="1"/>
      <c r="Q21" s="1"/>
      <c r="R21" s="1"/>
      <c r="S21" s="1"/>
      <c r="T21" s="1"/>
      <c r="U21" s="1"/>
      <c r="V21" s="1"/>
      <c r="W21" s="1"/>
      <c r="X21" s="1"/>
      <c r="Y21" s="1"/>
      <c r="Z21" s="1"/>
    </row>
    <row r="22" spans="1:26" ht="15.75" customHeight="1">
      <c r="A22" s="1"/>
      <c r="B22" s="354"/>
      <c r="C22" s="355" t="s">
        <v>321</v>
      </c>
      <c r="D22" s="219">
        <f t="shared" ref="D22:D24" si="7">(+D$16/I$16)*K22</f>
        <v>559374.05211575888</v>
      </c>
      <c r="E22" s="219">
        <f t="shared" ref="E22:E24" si="8">(+E$16/I$16)*K22</f>
        <v>409.14699405972294</v>
      </c>
      <c r="F22" s="219">
        <f t="shared" ref="F22:F24" si="9">(+F$16/I$16)*K22</f>
        <v>4123.2936924005617</v>
      </c>
      <c r="G22" s="219">
        <f t="shared" ref="G22:G24" si="10">(+G$16/I$16)*K22</f>
        <v>3097.884758967341</v>
      </c>
      <c r="H22" s="219">
        <f t="shared" ref="H22:H24" si="11">(+H$16/I$16)*K22</f>
        <v>12501.51991481358</v>
      </c>
      <c r="I22" s="341">
        <v>962604</v>
      </c>
      <c r="J22" s="342">
        <v>0.60201899999999997</v>
      </c>
      <c r="K22" s="343">
        <f t="shared" ref="K22:K24" si="12">I22*J22</f>
        <v>579505.89747600001</v>
      </c>
      <c r="L22" s="1"/>
      <c r="M22" s="1"/>
      <c r="N22" s="1"/>
      <c r="O22" s="1"/>
      <c r="P22" s="1"/>
      <c r="Q22" s="1"/>
      <c r="R22" s="1"/>
      <c r="S22" s="1"/>
      <c r="T22" s="1"/>
      <c r="U22" s="1"/>
      <c r="V22" s="1"/>
      <c r="W22" s="1"/>
      <c r="X22" s="1"/>
      <c r="Y22" s="1"/>
      <c r="Z22" s="1"/>
    </row>
    <row r="23" spans="1:26" ht="15.75" customHeight="1">
      <c r="A23" s="1"/>
      <c r="B23" s="344" t="s">
        <v>322</v>
      </c>
      <c r="C23" s="28" t="s">
        <v>323</v>
      </c>
      <c r="D23" s="250">
        <f t="shared" si="7"/>
        <v>66.490356813007949</v>
      </c>
      <c r="E23" s="250">
        <f t="shared" si="8"/>
        <v>4.8633520845494743E-2</v>
      </c>
      <c r="F23" s="250">
        <f t="shared" si="9"/>
        <v>0.49011795920022916</v>
      </c>
      <c r="G23" s="250">
        <f t="shared" si="10"/>
        <v>0.36823206620011667</v>
      </c>
      <c r="H23" s="250">
        <f t="shared" si="11"/>
        <v>1.486001212778568</v>
      </c>
      <c r="I23" s="223">
        <v>114.42054415563686</v>
      </c>
      <c r="J23" s="345">
        <v>0.60201899999999997</v>
      </c>
      <c r="K23" s="346">
        <f t="shared" si="12"/>
        <v>68.88334157203235</v>
      </c>
      <c r="L23" s="1"/>
      <c r="M23" s="1"/>
      <c r="N23" s="1"/>
      <c r="O23" s="1"/>
      <c r="P23" s="1"/>
      <c r="Q23" s="1"/>
      <c r="R23" s="1"/>
      <c r="S23" s="1"/>
      <c r="T23" s="1"/>
      <c r="U23" s="1"/>
      <c r="V23" s="1"/>
      <c r="W23" s="1"/>
      <c r="X23" s="1"/>
      <c r="Y23" s="1"/>
      <c r="Z23" s="1"/>
    </row>
    <row r="24" spans="1:26" ht="15.75" customHeight="1">
      <c r="A24" s="1"/>
      <c r="B24" s="38"/>
      <c r="C24" s="347" t="s">
        <v>324</v>
      </c>
      <c r="D24" s="348">
        <f t="shared" si="7"/>
        <v>9.7893357031746859</v>
      </c>
      <c r="E24" s="227">
        <f t="shared" si="8"/>
        <v>7.1602843600735719E-3</v>
      </c>
      <c r="F24" s="227">
        <f t="shared" si="9"/>
        <v>7.2159775744010862E-2</v>
      </c>
      <c r="G24" s="227">
        <f t="shared" si="10"/>
        <v>5.4214588182227449E-2</v>
      </c>
      <c r="H24" s="227">
        <f t="shared" si="11"/>
        <v>0.21878307508748701</v>
      </c>
      <c r="I24" s="349">
        <v>16.846068689773055</v>
      </c>
      <c r="J24" s="350">
        <v>0.60201899999999997</v>
      </c>
      <c r="K24" s="351">
        <f t="shared" si="12"/>
        <v>10.141653426548485</v>
      </c>
      <c r="L24" s="1"/>
      <c r="M24" s="1"/>
      <c r="N24" s="1"/>
      <c r="O24" s="1"/>
      <c r="P24" s="1"/>
      <c r="Q24" s="1"/>
      <c r="R24" s="1"/>
      <c r="S24" s="1"/>
      <c r="T24" s="1"/>
      <c r="U24" s="1"/>
      <c r="V24" s="1"/>
      <c r="W24" s="1"/>
      <c r="X24" s="1"/>
      <c r="Y24" s="1"/>
      <c r="Z24" s="1"/>
    </row>
    <row r="25" spans="1:26" ht="15.75" customHeight="1">
      <c r="A25" s="1"/>
      <c r="B25" s="36"/>
      <c r="C25" s="36"/>
      <c r="D25" s="352"/>
      <c r="E25" s="352"/>
      <c r="F25" s="352"/>
      <c r="G25" s="352"/>
      <c r="H25" s="352"/>
      <c r="I25" s="352"/>
      <c r="J25" s="352"/>
      <c r="K25" s="353"/>
      <c r="L25" s="1"/>
      <c r="M25" s="1"/>
      <c r="N25" s="1"/>
      <c r="O25" s="1"/>
      <c r="P25" s="1"/>
      <c r="Q25" s="1"/>
      <c r="R25" s="1"/>
      <c r="S25" s="1"/>
      <c r="T25" s="1"/>
      <c r="U25" s="1"/>
      <c r="V25" s="1"/>
      <c r="W25" s="1"/>
      <c r="X25" s="1"/>
      <c r="Y25" s="1"/>
      <c r="Z25" s="1"/>
    </row>
    <row r="26" spans="1:26" ht="15.75" customHeight="1">
      <c r="A26" s="1"/>
      <c r="B26" s="34"/>
      <c r="C26" s="356" t="s">
        <v>325</v>
      </c>
      <c r="D26" s="357">
        <f t="shared" ref="D26:D28" si="13">(+D$16/I$16)*K26</f>
        <v>11001.295269834647</v>
      </c>
      <c r="E26" s="357">
        <f t="shared" ref="E26:E28" si="14">(+E$16/I$16)*K26</f>
        <v>8.0467566798840551</v>
      </c>
      <c r="F26" s="357">
        <f t="shared" ref="F26:F28" si="15">(+F$16/I$16)*K26</f>
        <v>81.093449406119475</v>
      </c>
      <c r="G26" s="357">
        <f t="shared" ref="G26:G28" si="16">(+G$16/I$16)*K26</f>
        <v>60.926574653247343</v>
      </c>
      <c r="H26" s="357">
        <f t="shared" ref="H26:H28" si="17">(+H$16/I$16)*K26</f>
        <v>245.86930942610246</v>
      </c>
      <c r="I26" s="358">
        <v>962604</v>
      </c>
      <c r="J26" s="359">
        <v>1.184E-2</v>
      </c>
      <c r="K26" s="360">
        <f t="shared" ref="K26:K28" si="18">I26*J26</f>
        <v>11397.23136</v>
      </c>
      <c r="L26" s="1"/>
      <c r="M26" s="254"/>
      <c r="N26" s="1"/>
      <c r="O26" s="1"/>
      <c r="P26" s="1"/>
      <c r="Q26" s="1"/>
      <c r="R26" s="1"/>
      <c r="S26" s="1"/>
      <c r="T26" s="1"/>
      <c r="U26" s="1"/>
      <c r="V26" s="1"/>
      <c r="W26" s="1"/>
      <c r="X26" s="1"/>
      <c r="Y26" s="1"/>
      <c r="Z26" s="1"/>
    </row>
    <row r="27" spans="1:26" ht="15.75" customHeight="1">
      <c r="A27" s="1"/>
      <c r="B27" s="344" t="s">
        <v>326</v>
      </c>
      <c r="C27" s="57" t="s">
        <v>327</v>
      </c>
      <c r="D27" s="361">
        <f t="shared" si="13"/>
        <v>1.3076760445534346</v>
      </c>
      <c r="E27" s="361">
        <f t="shared" si="14"/>
        <v>9.5648291301546589E-4</v>
      </c>
      <c r="F27" s="361">
        <f t="shared" si="15"/>
        <v>9.6392250691933537E-3</v>
      </c>
      <c r="G27" s="361">
        <f t="shared" si="16"/>
        <v>7.2420765188629943E-3</v>
      </c>
      <c r="H27" s="361">
        <f t="shared" si="17"/>
        <v>2.9225413748234268E-2</v>
      </c>
      <c r="I27" s="362">
        <v>114.42054415563686</v>
      </c>
      <c r="J27" s="363">
        <v>1.184E-2</v>
      </c>
      <c r="K27" s="364">
        <f t="shared" si="18"/>
        <v>1.3547392428027405</v>
      </c>
      <c r="L27" s="1"/>
      <c r="M27" s="1"/>
      <c r="N27" s="1"/>
      <c r="O27" s="1"/>
      <c r="P27" s="1"/>
      <c r="Q27" s="1"/>
      <c r="R27" s="1"/>
      <c r="S27" s="1"/>
      <c r="T27" s="1"/>
      <c r="U27" s="1"/>
      <c r="V27" s="1"/>
      <c r="W27" s="1"/>
      <c r="X27" s="1"/>
      <c r="Y27" s="1"/>
      <c r="Z27" s="1"/>
    </row>
    <row r="28" spans="1:26" ht="15.75" customHeight="1">
      <c r="A28" s="1"/>
      <c r="B28" s="38"/>
      <c r="C28" s="365" t="s">
        <v>328</v>
      </c>
      <c r="D28" s="366">
        <f t="shared" si="13"/>
        <v>0.19252836658907491</v>
      </c>
      <c r="E28" s="367">
        <f t="shared" si="14"/>
        <v>1.408224106270252E-4</v>
      </c>
      <c r="F28" s="367">
        <f t="shared" si="15"/>
        <v>1.4191773761444216E-3</v>
      </c>
      <c r="G28" s="367">
        <f t="shared" si="16"/>
        <v>1.0662466202521399E-3</v>
      </c>
      <c r="H28" s="367">
        <f t="shared" si="17"/>
        <v>4.3028402908144858E-3</v>
      </c>
      <c r="I28" s="368">
        <v>16.846068689773055</v>
      </c>
      <c r="J28" s="369">
        <v>1.184E-2</v>
      </c>
      <c r="K28" s="370">
        <f t="shared" si="18"/>
        <v>0.19945745328691297</v>
      </c>
      <c r="L28" s="1"/>
      <c r="M28" s="1"/>
      <c r="N28" s="1"/>
      <c r="O28" s="1"/>
      <c r="P28" s="1"/>
      <c r="Q28" s="1"/>
      <c r="R28" s="1"/>
      <c r="S28" s="1"/>
      <c r="T28" s="1"/>
      <c r="U28" s="1"/>
      <c r="V28" s="1"/>
      <c r="W28" s="1"/>
      <c r="X28" s="1"/>
      <c r="Y28" s="1"/>
      <c r="Z28" s="1"/>
    </row>
    <row r="29" spans="1:26" ht="15.75" customHeight="1">
      <c r="A29" s="1"/>
      <c r="B29" s="371"/>
      <c r="C29" s="372"/>
      <c r="D29" s="373"/>
      <c r="E29" s="373"/>
      <c r="F29" s="373"/>
      <c r="G29" s="373"/>
      <c r="H29" s="373"/>
      <c r="I29" s="373"/>
      <c r="J29" s="373"/>
      <c r="K29" s="374"/>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266"/>
      <c r="D33" s="267" t="s">
        <v>287</v>
      </c>
      <c r="E33" s="267" t="s">
        <v>329</v>
      </c>
      <c r="F33" s="267" t="s">
        <v>330</v>
      </c>
      <c r="G33" s="293" t="s">
        <v>331</v>
      </c>
      <c r="H33" s="269"/>
      <c r="I33" s="2237" t="s">
        <v>1</v>
      </c>
      <c r="J33" s="2238"/>
      <c r="K33" s="1"/>
      <c r="L33" s="1"/>
      <c r="M33" s="1"/>
      <c r="N33" s="1"/>
      <c r="O33" s="1"/>
      <c r="P33" s="1"/>
      <c r="Q33" s="1"/>
      <c r="R33" s="1"/>
      <c r="S33" s="1"/>
      <c r="T33" s="1"/>
      <c r="U33" s="1"/>
      <c r="V33" s="1"/>
      <c r="W33" s="1"/>
      <c r="X33" s="1"/>
      <c r="Y33" s="1"/>
      <c r="Z33" s="1"/>
    </row>
    <row r="34" spans="1:26" ht="15.75" customHeight="1">
      <c r="A34" s="1"/>
      <c r="B34" s="1"/>
      <c r="C34" s="294"/>
      <c r="D34" s="271"/>
      <c r="E34" s="271" t="s">
        <v>263</v>
      </c>
      <c r="F34" s="271" t="s">
        <v>291</v>
      </c>
      <c r="G34" s="295" t="s">
        <v>292</v>
      </c>
      <c r="H34" s="269"/>
      <c r="I34" s="52"/>
      <c r="J34" s="52"/>
      <c r="K34" s="1"/>
      <c r="L34" s="1"/>
      <c r="M34" s="1"/>
      <c r="N34" s="1"/>
      <c r="O34" s="1"/>
      <c r="P34" s="1"/>
      <c r="Q34" s="1"/>
      <c r="R34" s="1"/>
      <c r="S34" s="1"/>
      <c r="T34" s="1"/>
      <c r="U34" s="1"/>
      <c r="V34" s="1"/>
      <c r="W34" s="1"/>
      <c r="X34" s="1"/>
      <c r="Y34" s="1"/>
      <c r="Z34" s="1"/>
    </row>
    <row r="35" spans="1:26" ht="15.75" customHeight="1">
      <c r="A35" s="1"/>
      <c r="B35" s="1"/>
      <c r="C35" s="273"/>
      <c r="D35" s="375"/>
      <c r="E35" s="375"/>
      <c r="F35" s="375"/>
      <c r="G35" s="375"/>
      <c r="H35" s="269"/>
      <c r="I35" s="53" t="s">
        <v>80</v>
      </c>
      <c r="J35" s="54">
        <f>Summary!E4</f>
        <v>1</v>
      </c>
      <c r="K35" s="1"/>
      <c r="L35" s="1"/>
      <c r="M35" s="1"/>
      <c r="N35" s="1"/>
      <c r="O35" s="1"/>
      <c r="P35" s="1"/>
      <c r="Q35" s="1"/>
      <c r="R35" s="1"/>
      <c r="S35" s="1"/>
      <c r="T35" s="1"/>
      <c r="U35" s="1"/>
      <c r="V35" s="1"/>
      <c r="W35" s="1"/>
      <c r="X35" s="1"/>
      <c r="Y35" s="1"/>
      <c r="Z35" s="1"/>
    </row>
    <row r="36" spans="1:26" ht="15.75" customHeight="1">
      <c r="A36" s="1"/>
      <c r="B36" s="1"/>
      <c r="C36" s="376" t="s">
        <v>293</v>
      </c>
      <c r="D36" s="49">
        <f>+D16+G16</f>
        <v>9303491.7479999997</v>
      </c>
      <c r="E36" s="49">
        <f>+D18+G18+D22+G22+D26+G26</f>
        <v>934311.33288648259</v>
      </c>
      <c r="F36" s="49">
        <f>E36*0.90718474</f>
        <v>847592.98360367725</v>
      </c>
      <c r="G36" s="377">
        <f>F36/1000000</f>
        <v>0.8475929836036773</v>
      </c>
      <c r="H36" s="378"/>
      <c r="I36" s="53" t="s">
        <v>82</v>
      </c>
      <c r="J36" s="54">
        <f>Summary!E5</f>
        <v>28</v>
      </c>
      <c r="K36" s="1"/>
      <c r="L36" s="1"/>
      <c r="M36" s="1"/>
      <c r="N36" s="1"/>
      <c r="O36" s="1"/>
      <c r="P36" s="1"/>
      <c r="Q36" s="1"/>
      <c r="R36" s="1"/>
      <c r="S36" s="1"/>
      <c r="T36" s="1"/>
      <c r="U36" s="1"/>
      <c r="V36" s="1"/>
      <c r="W36" s="1"/>
      <c r="X36" s="1"/>
      <c r="Y36" s="1"/>
      <c r="Z36" s="1"/>
    </row>
    <row r="37" spans="1:26" ht="15.75" customHeight="1">
      <c r="A37" s="1"/>
      <c r="B37" s="1"/>
      <c r="C37" s="376"/>
      <c r="D37" s="75"/>
      <c r="E37" s="75"/>
      <c r="F37" s="49"/>
      <c r="G37" s="377"/>
      <c r="H37" s="378"/>
      <c r="I37" s="53" t="s">
        <v>83</v>
      </c>
      <c r="J37" s="54">
        <f>Summary!E6</f>
        <v>265</v>
      </c>
      <c r="K37" s="1"/>
      <c r="L37" s="1"/>
      <c r="M37" s="1"/>
      <c r="N37" s="1"/>
      <c r="O37" s="1"/>
      <c r="P37" s="1"/>
      <c r="Q37" s="1"/>
      <c r="R37" s="1"/>
      <c r="S37" s="1"/>
      <c r="T37" s="1"/>
      <c r="U37" s="1"/>
      <c r="V37" s="1"/>
      <c r="W37" s="1"/>
      <c r="X37" s="1"/>
      <c r="Y37" s="1"/>
      <c r="Z37" s="1"/>
    </row>
    <row r="38" spans="1:26" ht="15.75" customHeight="1">
      <c r="A38" s="1"/>
      <c r="B38" s="1"/>
      <c r="C38" s="376" t="s">
        <v>294</v>
      </c>
      <c r="D38" s="49">
        <f>+E16+F16</f>
        <v>74968.228208999994</v>
      </c>
      <c r="E38" s="49">
        <f>+E18+F18+E22+F22+E26+F26</f>
        <v>7528.7501853426475</v>
      </c>
      <c r="F38" s="49">
        <f>E38*0.90718474</f>
        <v>6829.9672794150219</v>
      </c>
      <c r="G38" s="377">
        <f>F38/1000000</f>
        <v>6.8299672794150217E-3</v>
      </c>
      <c r="H38" s="378"/>
      <c r="I38" s="53" t="s">
        <v>85</v>
      </c>
      <c r="J38" s="54">
        <f>Summary!E7</f>
        <v>23500</v>
      </c>
      <c r="K38" s="1"/>
      <c r="L38" s="1"/>
      <c r="M38" s="1"/>
      <c r="N38" s="1"/>
      <c r="O38" s="1"/>
      <c r="P38" s="1"/>
      <c r="Q38" s="1"/>
      <c r="R38" s="1"/>
      <c r="S38" s="1"/>
      <c r="T38" s="1"/>
      <c r="U38" s="1"/>
      <c r="V38" s="1"/>
      <c r="W38" s="1"/>
      <c r="X38" s="1"/>
      <c r="Y38" s="1"/>
      <c r="Z38" s="1"/>
    </row>
    <row r="39" spans="1:26" ht="15.75" customHeight="1">
      <c r="A39" s="1"/>
      <c r="B39" s="1"/>
      <c r="C39" s="376"/>
      <c r="D39" s="75"/>
      <c r="E39" s="75"/>
      <c r="F39" s="49"/>
      <c r="G39" s="377"/>
      <c r="H39" s="378"/>
      <c r="I39" s="53"/>
      <c r="J39" s="54"/>
      <c r="K39" s="1"/>
      <c r="L39" s="1"/>
      <c r="M39" s="1"/>
      <c r="N39" s="1"/>
      <c r="O39" s="1"/>
      <c r="P39" s="1"/>
      <c r="Q39" s="1"/>
      <c r="R39" s="1"/>
      <c r="S39" s="1"/>
      <c r="T39" s="1"/>
      <c r="U39" s="1"/>
      <c r="V39" s="1"/>
      <c r="W39" s="1"/>
      <c r="X39" s="1"/>
      <c r="Y39" s="1"/>
      <c r="Z39" s="1"/>
    </row>
    <row r="40" spans="1:26" ht="15.75" customHeight="1">
      <c r="A40" s="1"/>
      <c r="B40" s="1"/>
      <c r="C40" s="376" t="s">
        <v>295</v>
      </c>
      <c r="D40" s="49">
        <f>+H16</f>
        <v>206779.71599999999</v>
      </c>
      <c r="E40" s="49">
        <f>+H18+H22+H26</f>
        <v>20766.034656974934</v>
      </c>
      <c r="F40" s="49">
        <f>E40*0.90718474</f>
        <v>18838.629751118795</v>
      </c>
      <c r="G40" s="377">
        <f>F40/1000000</f>
        <v>1.8838629751118795E-2</v>
      </c>
      <c r="H40" s="378"/>
      <c r="I40" s="1"/>
      <c r="J40" s="1"/>
      <c r="K40" s="1"/>
      <c r="L40" s="1"/>
      <c r="M40" s="1"/>
      <c r="N40" s="1"/>
      <c r="O40" s="1"/>
      <c r="P40" s="1"/>
      <c r="Q40" s="1"/>
      <c r="R40" s="1"/>
      <c r="S40" s="1"/>
      <c r="T40" s="1"/>
      <c r="U40" s="1"/>
      <c r="V40" s="1"/>
      <c r="W40" s="1"/>
      <c r="X40" s="1"/>
      <c r="Y40" s="1"/>
      <c r="Z40" s="1"/>
    </row>
    <row r="41" spans="1:26" ht="15.75" customHeight="1">
      <c r="A41" s="1"/>
      <c r="B41" s="1"/>
      <c r="C41" s="379"/>
      <c r="D41" s="380"/>
      <c r="E41" s="380"/>
      <c r="F41" s="381"/>
      <c r="G41" s="382"/>
      <c r="H41" s="283"/>
      <c r="I41" s="1"/>
      <c r="J41" s="1"/>
      <c r="K41" s="1"/>
      <c r="L41" s="1"/>
      <c r="M41" s="1"/>
      <c r="N41" s="1"/>
      <c r="O41" s="1"/>
      <c r="P41" s="1"/>
      <c r="Q41" s="1"/>
      <c r="R41" s="1"/>
      <c r="S41" s="1"/>
      <c r="T41" s="1"/>
      <c r="U41" s="1"/>
      <c r="V41" s="1"/>
      <c r="W41" s="1"/>
      <c r="X41" s="1"/>
      <c r="Y41" s="1"/>
      <c r="Z41" s="1"/>
    </row>
    <row r="42" spans="1:26" ht="15.75" customHeight="1">
      <c r="A42" s="1"/>
      <c r="B42" s="1"/>
      <c r="C42" s="383" t="s">
        <v>177</v>
      </c>
      <c r="D42" s="286">
        <f t="shared" ref="D42:G42" si="19">SUM(D36:D41)</f>
        <v>9585239.6922089998</v>
      </c>
      <c r="E42" s="286">
        <f t="shared" si="19"/>
        <v>962606.11772880016</v>
      </c>
      <c r="F42" s="286">
        <f t="shared" si="19"/>
        <v>873261.58063421107</v>
      </c>
      <c r="G42" s="384">
        <f t="shared" si="19"/>
        <v>0.87326158063421111</v>
      </c>
      <c r="H42" s="385"/>
      <c r="I42" s="1"/>
      <c r="J42" s="1"/>
      <c r="K42" s="1"/>
      <c r="L42" s="1"/>
      <c r="M42" s="1"/>
      <c r="N42" s="1"/>
      <c r="O42" s="1"/>
      <c r="P42" s="1"/>
      <c r="Q42" s="1"/>
      <c r="R42" s="1"/>
      <c r="S42" s="1"/>
      <c r="T42" s="1"/>
      <c r="U42" s="1"/>
      <c r="V42" s="1"/>
      <c r="W42" s="1"/>
      <c r="X42" s="1"/>
      <c r="Y42" s="1"/>
      <c r="Z42" s="1"/>
    </row>
    <row r="43" spans="1:26" ht="15.75" customHeight="1">
      <c r="A43" s="1"/>
      <c r="B43" s="1"/>
      <c r="C43" s="289"/>
      <c r="D43" s="290"/>
      <c r="E43" s="290"/>
      <c r="F43" s="290"/>
      <c r="G43" s="386"/>
      <c r="H43" s="292"/>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387"/>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388"/>
      <c r="H46" s="1"/>
      <c r="I46" s="1"/>
      <c r="J46" s="1"/>
      <c r="K46" s="1"/>
      <c r="L46" s="1"/>
      <c r="M46" s="1"/>
      <c r="N46" s="1"/>
      <c r="O46" s="1"/>
      <c r="P46" s="1"/>
      <c r="Q46" s="1"/>
      <c r="R46" s="1"/>
      <c r="S46" s="1"/>
      <c r="T46" s="1"/>
      <c r="U46" s="1"/>
      <c r="V46" s="1"/>
      <c r="W46" s="1"/>
      <c r="X46" s="1"/>
      <c r="Y46" s="1"/>
      <c r="Z46" s="1"/>
    </row>
    <row r="47" spans="1:26" ht="15.75" customHeight="1">
      <c r="A47" s="1"/>
      <c r="B47" s="1"/>
      <c r="C47" s="266"/>
      <c r="D47" s="267" t="s">
        <v>287</v>
      </c>
      <c r="E47" s="267" t="s">
        <v>332</v>
      </c>
      <c r="F47" s="267" t="s">
        <v>333</v>
      </c>
      <c r="G47" s="293" t="s">
        <v>334</v>
      </c>
      <c r="H47" s="269"/>
      <c r="I47" s="1"/>
      <c r="J47" s="1"/>
      <c r="K47" s="1"/>
      <c r="L47" s="1"/>
      <c r="M47" s="1"/>
      <c r="N47" s="1"/>
      <c r="O47" s="1"/>
      <c r="P47" s="1"/>
      <c r="Q47" s="1"/>
      <c r="R47" s="1"/>
      <c r="S47" s="1"/>
      <c r="T47" s="1"/>
      <c r="U47" s="1"/>
      <c r="V47" s="1"/>
      <c r="W47" s="1"/>
      <c r="X47" s="1"/>
      <c r="Y47" s="1"/>
      <c r="Z47" s="1"/>
    </row>
    <row r="48" spans="1:26" ht="15.75" customHeight="1">
      <c r="A48" s="1"/>
      <c r="B48" s="1"/>
      <c r="C48" s="294"/>
      <c r="D48" s="271"/>
      <c r="E48" s="271" t="s">
        <v>263</v>
      </c>
      <c r="F48" s="271" t="s">
        <v>291</v>
      </c>
      <c r="G48" s="295" t="s">
        <v>335</v>
      </c>
      <c r="H48" s="269"/>
      <c r="I48" s="1"/>
      <c r="J48" s="1"/>
      <c r="K48" s="1"/>
      <c r="L48" s="1"/>
      <c r="M48" s="1"/>
      <c r="N48" s="1"/>
      <c r="O48" s="1"/>
      <c r="P48" s="1"/>
      <c r="Q48" s="1"/>
      <c r="R48" s="1"/>
      <c r="S48" s="1"/>
      <c r="T48" s="1"/>
      <c r="U48" s="1"/>
      <c r="V48" s="1"/>
      <c r="W48" s="1"/>
      <c r="X48" s="1"/>
      <c r="Y48" s="1"/>
      <c r="Z48" s="1"/>
    </row>
    <row r="49" spans="1:26" ht="15.75" customHeight="1">
      <c r="A49" s="1"/>
      <c r="B49" s="1"/>
      <c r="C49" s="273"/>
      <c r="D49" s="375"/>
      <c r="E49" s="375"/>
      <c r="F49" s="375"/>
      <c r="G49" s="375"/>
      <c r="H49" s="269"/>
      <c r="I49" s="1"/>
      <c r="J49" s="1"/>
      <c r="K49" s="1"/>
      <c r="L49" s="1"/>
      <c r="M49" s="1"/>
      <c r="N49" s="1"/>
      <c r="O49" s="1"/>
      <c r="P49" s="1"/>
      <c r="Q49" s="1"/>
      <c r="R49" s="1"/>
      <c r="S49" s="1"/>
      <c r="T49" s="1"/>
      <c r="U49" s="1"/>
      <c r="V49" s="1"/>
      <c r="W49" s="1"/>
      <c r="X49" s="1"/>
      <c r="Y49" s="1"/>
      <c r="Z49" s="1"/>
    </row>
    <row r="50" spans="1:26" ht="15.75" customHeight="1">
      <c r="A50" s="1"/>
      <c r="B50" s="1"/>
      <c r="C50" s="376" t="s">
        <v>293</v>
      </c>
      <c r="D50" s="49">
        <f>+D16+G16</f>
        <v>9303491.7479999997</v>
      </c>
      <c r="E50" s="389">
        <f>+D19+G19+D23+G23+D27+G27</f>
        <v>111.05751806521656</v>
      </c>
      <c r="F50" s="389">
        <f>E50*0.90718474</f>
        <v>100.74968565103879</v>
      </c>
      <c r="G50" s="390">
        <f>(+F50*$J$36)/1000000</f>
        <v>2.820991198229086E-3</v>
      </c>
      <c r="H50" s="278"/>
      <c r="I50" s="1"/>
      <c r="J50" s="1"/>
      <c r="K50" s="1"/>
      <c r="L50" s="1"/>
      <c r="M50" s="1"/>
      <c r="N50" s="1"/>
      <c r="O50" s="1"/>
      <c r="P50" s="1"/>
      <c r="Q50" s="1"/>
      <c r="R50" s="1"/>
      <c r="S50" s="1"/>
      <c r="T50" s="1"/>
      <c r="U50" s="1"/>
      <c r="V50" s="1"/>
      <c r="W50" s="1"/>
      <c r="X50" s="1"/>
      <c r="Y50" s="1"/>
      <c r="Z50" s="1"/>
    </row>
    <row r="51" spans="1:26" ht="15.75" customHeight="1">
      <c r="A51" s="1"/>
      <c r="B51" s="1"/>
      <c r="C51" s="376"/>
      <c r="D51" s="75"/>
      <c r="E51" s="75"/>
      <c r="F51" s="49"/>
      <c r="G51" s="390"/>
      <c r="H51" s="278"/>
      <c r="I51" s="1"/>
      <c r="J51" s="1"/>
      <c r="K51" s="1"/>
      <c r="L51" s="1"/>
      <c r="M51" s="1"/>
      <c r="N51" s="1"/>
      <c r="O51" s="1"/>
      <c r="P51" s="1"/>
      <c r="Q51" s="1"/>
      <c r="R51" s="1"/>
      <c r="S51" s="1"/>
      <c r="T51" s="1"/>
      <c r="U51" s="1"/>
      <c r="V51" s="1"/>
      <c r="W51" s="1"/>
      <c r="X51" s="1"/>
      <c r="Y51" s="1"/>
      <c r="Z51" s="1"/>
    </row>
    <row r="52" spans="1:26" ht="15.75" customHeight="1">
      <c r="A52" s="1"/>
      <c r="B52" s="1"/>
      <c r="C52" s="376" t="s">
        <v>294</v>
      </c>
      <c r="D52" s="49">
        <f>+E16+F16</f>
        <v>74968.228208999994</v>
      </c>
      <c r="E52" s="391">
        <f>+E19+F19+E23+F23+E27+F27</f>
        <v>0.89490973756472803</v>
      </c>
      <c r="F52" s="391">
        <f>E52*0.90718474</f>
        <v>0.81184845759612612</v>
      </c>
      <c r="G52" s="390">
        <f>(+F52*$J$36)/1000000</f>
        <v>2.2731756812691532E-5</v>
      </c>
      <c r="H52" s="278"/>
      <c r="I52" s="1"/>
      <c r="J52" s="1"/>
      <c r="K52" s="1"/>
      <c r="L52" s="1"/>
      <c r="M52" s="1"/>
      <c r="N52" s="1"/>
      <c r="O52" s="1"/>
      <c r="P52" s="1"/>
      <c r="Q52" s="1"/>
      <c r="R52" s="1"/>
      <c r="S52" s="1"/>
      <c r="T52" s="1"/>
      <c r="U52" s="1"/>
      <c r="V52" s="1"/>
      <c r="W52" s="1"/>
      <c r="X52" s="1"/>
      <c r="Y52" s="1"/>
      <c r="Z52" s="1"/>
    </row>
    <row r="53" spans="1:26" ht="15.75" customHeight="1">
      <c r="A53" s="1"/>
      <c r="B53" s="1"/>
      <c r="C53" s="376"/>
      <c r="D53" s="75"/>
      <c r="E53" s="75"/>
      <c r="F53" s="391"/>
      <c r="G53" s="390"/>
      <c r="H53" s="278"/>
      <c r="I53" s="1"/>
      <c r="J53" s="1"/>
      <c r="K53" s="1"/>
      <c r="L53" s="1"/>
      <c r="M53" s="1"/>
      <c r="N53" s="1"/>
      <c r="O53" s="1"/>
      <c r="P53" s="1"/>
      <c r="Q53" s="1"/>
      <c r="R53" s="1"/>
      <c r="S53" s="1"/>
      <c r="T53" s="1"/>
      <c r="U53" s="1"/>
      <c r="V53" s="1"/>
      <c r="W53" s="1"/>
      <c r="X53" s="1"/>
      <c r="Y53" s="1"/>
      <c r="Z53" s="1"/>
    </row>
    <row r="54" spans="1:26" ht="15.75" customHeight="1">
      <c r="A54" s="1"/>
      <c r="B54" s="1"/>
      <c r="C54" s="376" t="s">
        <v>295</v>
      </c>
      <c r="D54" s="49">
        <f>+H16</f>
        <v>206779.71599999999</v>
      </c>
      <c r="E54" s="391">
        <f>+H19+H23+H27</f>
        <v>2.4683680780527459</v>
      </c>
      <c r="F54" s="391">
        <f>E54*0.90718474</f>
        <v>2.2392658531125802</v>
      </c>
      <c r="G54" s="390">
        <f>(+F54*$J$36)/1000000</f>
        <v>6.2699443887152245E-5</v>
      </c>
      <c r="H54" s="278"/>
      <c r="I54" s="1"/>
      <c r="J54" s="1"/>
      <c r="K54" s="1"/>
      <c r="L54" s="1"/>
      <c r="M54" s="1"/>
      <c r="N54" s="1"/>
      <c r="O54" s="1"/>
      <c r="P54" s="1"/>
      <c r="Q54" s="1"/>
      <c r="R54" s="1"/>
      <c r="S54" s="1"/>
      <c r="T54" s="1"/>
      <c r="U54" s="1"/>
      <c r="V54" s="1"/>
      <c r="W54" s="1"/>
      <c r="X54" s="1"/>
      <c r="Y54" s="1"/>
      <c r="Z54" s="1"/>
    </row>
    <row r="55" spans="1:26" ht="15.75" customHeight="1">
      <c r="A55" s="1"/>
      <c r="B55" s="1"/>
      <c r="C55" s="379"/>
      <c r="D55" s="380"/>
      <c r="E55" s="380"/>
      <c r="F55" s="381"/>
      <c r="G55" s="392"/>
      <c r="H55" s="283"/>
      <c r="I55" s="1"/>
      <c r="J55" s="1"/>
      <c r="K55" s="1"/>
      <c r="L55" s="1"/>
      <c r="M55" s="1"/>
      <c r="N55" s="1"/>
      <c r="O55" s="1"/>
      <c r="P55" s="1"/>
      <c r="Q55" s="1"/>
      <c r="R55" s="1"/>
      <c r="S55" s="1"/>
      <c r="T55" s="1"/>
      <c r="U55" s="1"/>
      <c r="V55" s="1"/>
      <c r="W55" s="1"/>
      <c r="X55" s="1"/>
      <c r="Y55" s="1"/>
      <c r="Z55" s="1"/>
    </row>
    <row r="56" spans="1:26" ht="15.75" customHeight="1">
      <c r="A56" s="1"/>
      <c r="B56" s="1"/>
      <c r="C56" s="393" t="s">
        <v>177</v>
      </c>
      <c r="D56" s="394"/>
      <c r="E56" s="395">
        <f t="shared" ref="E56:G56" si="20">SUM(E50:E55)</f>
        <v>114.42079588083404</v>
      </c>
      <c r="F56" s="394">
        <f t="shared" si="20"/>
        <v>103.8007999617475</v>
      </c>
      <c r="G56" s="396">
        <f t="shared" si="20"/>
        <v>2.9064223989289299E-3</v>
      </c>
      <c r="H56" s="283"/>
      <c r="I56" s="1"/>
      <c r="J56" s="1"/>
      <c r="K56" s="1"/>
      <c r="L56" s="1"/>
      <c r="M56" s="1"/>
      <c r="N56" s="1"/>
      <c r="O56" s="1"/>
      <c r="P56" s="1"/>
      <c r="Q56" s="1"/>
      <c r="R56" s="1"/>
      <c r="S56" s="1"/>
      <c r="T56" s="1"/>
      <c r="U56" s="1"/>
      <c r="V56" s="1"/>
      <c r="W56" s="1"/>
      <c r="X56" s="1"/>
      <c r="Y56" s="1"/>
      <c r="Z56" s="1"/>
    </row>
    <row r="57" spans="1:26" ht="15.75" customHeight="1">
      <c r="A57" s="1"/>
      <c r="B57" s="1"/>
      <c r="C57" s="289"/>
      <c r="D57" s="290"/>
      <c r="E57" s="290"/>
      <c r="F57" s="290"/>
      <c r="G57" s="386"/>
      <c r="H57" s="292"/>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387"/>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388"/>
      <c r="H59" s="1"/>
      <c r="I59" s="1"/>
      <c r="J59" s="1"/>
      <c r="K59" s="1"/>
      <c r="L59" s="1"/>
      <c r="M59" s="1"/>
      <c r="N59" s="1"/>
      <c r="O59" s="1"/>
      <c r="P59" s="1"/>
      <c r="Q59" s="1"/>
      <c r="R59" s="1"/>
      <c r="S59" s="1"/>
      <c r="T59" s="1"/>
      <c r="U59" s="1"/>
      <c r="V59" s="1"/>
      <c r="W59" s="1"/>
      <c r="X59" s="1"/>
      <c r="Y59" s="1"/>
      <c r="Z59" s="1"/>
    </row>
    <row r="60" spans="1:26" ht="15.75" customHeight="1">
      <c r="A60" s="1"/>
      <c r="B60" s="1"/>
      <c r="C60" s="266"/>
      <c r="D60" s="267" t="s">
        <v>287</v>
      </c>
      <c r="E60" s="267" t="s">
        <v>336</v>
      </c>
      <c r="F60" s="267" t="s">
        <v>337</v>
      </c>
      <c r="G60" s="293" t="s">
        <v>338</v>
      </c>
      <c r="H60" s="269"/>
      <c r="I60" s="1"/>
      <c r="J60" s="1"/>
      <c r="K60" s="1"/>
      <c r="L60" s="1"/>
      <c r="M60" s="1"/>
      <c r="N60" s="1"/>
      <c r="O60" s="1"/>
      <c r="P60" s="1"/>
      <c r="Q60" s="1"/>
      <c r="R60" s="1"/>
      <c r="S60" s="1"/>
      <c r="T60" s="1"/>
      <c r="U60" s="1"/>
      <c r="V60" s="1"/>
      <c r="W60" s="1"/>
      <c r="X60" s="1"/>
      <c r="Y60" s="1"/>
      <c r="Z60" s="1"/>
    </row>
    <row r="61" spans="1:26" ht="15.75" customHeight="1">
      <c r="A61" s="1"/>
      <c r="B61" s="1"/>
      <c r="C61" s="294"/>
      <c r="D61" s="271"/>
      <c r="E61" s="271" t="s">
        <v>263</v>
      </c>
      <c r="F61" s="271" t="s">
        <v>291</v>
      </c>
      <c r="G61" s="295" t="s">
        <v>339</v>
      </c>
      <c r="H61" s="269"/>
      <c r="I61" s="1"/>
      <c r="J61" s="1"/>
      <c r="K61" s="1"/>
      <c r="L61" s="1"/>
      <c r="M61" s="1"/>
      <c r="N61" s="1"/>
      <c r="O61" s="1"/>
      <c r="P61" s="1"/>
      <c r="Q61" s="1"/>
      <c r="R61" s="1"/>
      <c r="S61" s="1"/>
      <c r="T61" s="1"/>
      <c r="U61" s="1"/>
      <c r="V61" s="1"/>
      <c r="W61" s="1"/>
      <c r="X61" s="1"/>
      <c r="Y61" s="1"/>
      <c r="Z61" s="1"/>
    </row>
    <row r="62" spans="1:26" ht="15.75" customHeight="1">
      <c r="A62" s="1"/>
      <c r="B62" s="1"/>
      <c r="C62" s="273"/>
      <c r="D62" s="375"/>
      <c r="E62" s="375"/>
      <c r="F62" s="375"/>
      <c r="G62" s="375"/>
      <c r="H62" s="269"/>
      <c r="I62" s="1"/>
      <c r="J62" s="1"/>
      <c r="K62" s="1"/>
      <c r="L62" s="1"/>
      <c r="M62" s="1"/>
      <c r="N62" s="1"/>
      <c r="O62" s="1"/>
      <c r="P62" s="1"/>
      <c r="Q62" s="1"/>
      <c r="R62" s="1"/>
      <c r="S62" s="1"/>
      <c r="T62" s="1"/>
      <c r="U62" s="1"/>
      <c r="V62" s="1"/>
      <c r="W62" s="1"/>
      <c r="X62" s="1"/>
      <c r="Y62" s="1"/>
      <c r="Z62" s="1"/>
    </row>
    <row r="63" spans="1:26" ht="15.75" customHeight="1">
      <c r="A63" s="1"/>
      <c r="B63" s="1"/>
      <c r="C63" s="376" t="s">
        <v>293</v>
      </c>
      <c r="D63" s="49">
        <f>+D16+G16</f>
        <v>9303491.7479999997</v>
      </c>
      <c r="E63" s="71">
        <f>+D20+G20+D24+G24+D28+G28</f>
        <v>16.350932357894937</v>
      </c>
      <c r="F63" s="391">
        <f>E63*0.90718474</f>
        <v>14.833316319854505</v>
      </c>
      <c r="G63" s="397">
        <f>(+F63*$J$37)/1000000</f>
        <v>3.930828824761444E-3</v>
      </c>
      <c r="H63" s="278"/>
      <c r="I63" s="1"/>
      <c r="J63" s="1"/>
      <c r="K63" s="1"/>
      <c r="L63" s="1"/>
      <c r="M63" s="1"/>
      <c r="N63" s="1"/>
      <c r="O63" s="1"/>
      <c r="P63" s="1"/>
      <c r="Q63" s="1"/>
      <c r="R63" s="1"/>
      <c r="S63" s="1"/>
      <c r="T63" s="1"/>
      <c r="U63" s="1"/>
      <c r="V63" s="1"/>
      <c r="W63" s="1"/>
      <c r="X63" s="1"/>
      <c r="Y63" s="1"/>
      <c r="Z63" s="1"/>
    </row>
    <row r="64" spans="1:26" ht="15.75" customHeight="1">
      <c r="A64" s="1"/>
      <c r="B64" s="1"/>
      <c r="C64" s="376"/>
      <c r="D64" s="75"/>
      <c r="E64" s="71"/>
      <c r="F64" s="391"/>
      <c r="G64" s="397"/>
      <c r="H64" s="278"/>
      <c r="I64" s="1"/>
      <c r="J64" s="1"/>
      <c r="K64" s="1"/>
      <c r="L64" s="1"/>
      <c r="M64" s="1"/>
      <c r="N64" s="1"/>
      <c r="O64" s="1"/>
      <c r="P64" s="1"/>
      <c r="Q64" s="1"/>
      <c r="R64" s="1"/>
      <c r="S64" s="1"/>
      <c r="T64" s="1"/>
      <c r="U64" s="1"/>
      <c r="V64" s="1"/>
      <c r="W64" s="1"/>
      <c r="X64" s="1"/>
      <c r="Y64" s="1"/>
      <c r="Z64" s="1"/>
    </row>
    <row r="65" spans="1:26" ht="15.75" customHeight="1">
      <c r="A65" s="1"/>
      <c r="B65" s="1"/>
      <c r="C65" s="376" t="s">
        <v>294</v>
      </c>
      <c r="D65" s="49">
        <f>+E16+F16</f>
        <v>74968.228208999994</v>
      </c>
      <c r="E65" s="71">
        <f>+E20+F20+E24+F24+E28+F28</f>
        <v>0.13175702861241365</v>
      </c>
      <c r="F65" s="391">
        <f>E65*0.90718474</f>
        <v>0.11952796574492504</v>
      </c>
      <c r="G65" s="397">
        <f>(+F65*$J$37)/1000000</f>
        <v>3.1674910922405135E-5</v>
      </c>
      <c r="H65" s="278"/>
      <c r="I65" s="1"/>
      <c r="J65" s="1"/>
      <c r="K65" s="1"/>
      <c r="L65" s="1"/>
      <c r="M65" s="1"/>
      <c r="N65" s="1"/>
      <c r="O65" s="1"/>
      <c r="P65" s="1"/>
      <c r="Q65" s="1"/>
      <c r="R65" s="1"/>
      <c r="S65" s="1"/>
      <c r="T65" s="1"/>
      <c r="U65" s="1"/>
      <c r="V65" s="1"/>
      <c r="W65" s="1"/>
      <c r="X65" s="1"/>
      <c r="Y65" s="1"/>
      <c r="Z65" s="1"/>
    </row>
    <row r="66" spans="1:26" ht="15.75" customHeight="1">
      <c r="A66" s="1"/>
      <c r="B66" s="1"/>
      <c r="C66" s="376"/>
      <c r="D66" s="75"/>
      <c r="E66" s="71"/>
      <c r="F66" s="391"/>
      <c r="G66" s="397"/>
      <c r="H66" s="278"/>
      <c r="I66" s="1"/>
      <c r="J66" s="1"/>
      <c r="K66" s="1"/>
      <c r="L66" s="1"/>
      <c r="M66" s="1"/>
      <c r="N66" s="1"/>
      <c r="O66" s="1"/>
      <c r="P66" s="1"/>
      <c r="Q66" s="1"/>
      <c r="R66" s="1"/>
      <c r="S66" s="1"/>
      <c r="T66" s="1"/>
      <c r="U66" s="1"/>
      <c r="V66" s="1"/>
      <c r="W66" s="1"/>
      <c r="X66" s="1"/>
      <c r="Y66" s="1"/>
      <c r="Z66" s="1"/>
    </row>
    <row r="67" spans="1:26" ht="15.75" customHeight="1">
      <c r="A67" s="1"/>
      <c r="B67" s="1"/>
      <c r="C67" s="376" t="s">
        <v>295</v>
      </c>
      <c r="D67" s="49">
        <f>+H16</f>
        <v>206779.71599999999</v>
      </c>
      <c r="E67" s="71">
        <f>+H20+H24+H28</f>
        <v>0.36341636461681814</v>
      </c>
      <c r="F67" s="391">
        <f>E67*0.90718474</f>
        <v>0.3296857802466534</v>
      </c>
      <c r="G67" s="397">
        <f>(+F67*$J$37)/1000000</f>
        <v>8.7366731765363152E-5</v>
      </c>
      <c r="H67" s="278"/>
      <c r="I67" s="1"/>
      <c r="J67" s="1"/>
      <c r="K67" s="1"/>
      <c r="L67" s="1"/>
      <c r="M67" s="1"/>
      <c r="N67" s="1"/>
      <c r="O67" s="1"/>
      <c r="P67" s="1"/>
      <c r="Q67" s="1"/>
      <c r="R67" s="1"/>
      <c r="S67" s="1"/>
      <c r="T67" s="1"/>
      <c r="U67" s="1"/>
      <c r="V67" s="1"/>
      <c r="W67" s="1"/>
      <c r="X67" s="1"/>
      <c r="Y67" s="1"/>
      <c r="Z67" s="1"/>
    </row>
    <row r="68" spans="1:26" ht="15.75" customHeight="1">
      <c r="A68" s="1"/>
      <c r="B68" s="1"/>
      <c r="C68" s="379"/>
      <c r="D68" s="380"/>
      <c r="E68" s="398"/>
      <c r="F68" s="381"/>
      <c r="G68" s="392"/>
      <c r="H68" s="283"/>
      <c r="I68" s="1"/>
      <c r="J68" s="1"/>
      <c r="K68" s="1"/>
      <c r="L68" s="1"/>
      <c r="M68" s="1"/>
      <c r="N68" s="1"/>
      <c r="O68" s="1"/>
      <c r="P68" s="1"/>
      <c r="Q68" s="1"/>
      <c r="R68" s="1"/>
      <c r="S68" s="1"/>
      <c r="T68" s="1"/>
      <c r="U68" s="1"/>
      <c r="V68" s="1"/>
      <c r="W68" s="1"/>
      <c r="X68" s="1"/>
      <c r="Y68" s="1"/>
      <c r="Z68" s="1"/>
    </row>
    <row r="69" spans="1:26" ht="15.75" customHeight="1">
      <c r="A69" s="1"/>
      <c r="B69" s="1"/>
      <c r="C69" s="399" t="s">
        <v>177</v>
      </c>
      <c r="D69" s="400">
        <f t="shared" ref="D69:G69" si="21">SUM(D63:D68)</f>
        <v>9585239.6922089998</v>
      </c>
      <c r="E69" s="401">
        <f t="shared" si="21"/>
        <v>16.846105751124167</v>
      </c>
      <c r="F69" s="401">
        <f t="shared" si="21"/>
        <v>15.282530065846084</v>
      </c>
      <c r="G69" s="402">
        <f t="shared" si="21"/>
        <v>4.0498704674492118E-3</v>
      </c>
      <c r="H69" s="283"/>
      <c r="I69" s="1"/>
      <c r="J69" s="1"/>
      <c r="K69" s="1"/>
      <c r="L69" s="1"/>
      <c r="M69" s="1"/>
      <c r="N69" s="1"/>
      <c r="O69" s="1"/>
      <c r="P69" s="1"/>
      <c r="Q69" s="1"/>
      <c r="R69" s="1"/>
      <c r="S69" s="1"/>
      <c r="T69" s="1"/>
      <c r="U69" s="1"/>
      <c r="V69" s="1"/>
      <c r="W69" s="1"/>
      <c r="X69" s="1"/>
      <c r="Y69" s="1"/>
      <c r="Z69" s="1"/>
    </row>
    <row r="70" spans="1:26" ht="15.75" customHeight="1">
      <c r="A70" s="1"/>
      <c r="B70" s="1"/>
      <c r="C70" s="289"/>
      <c r="D70" s="290"/>
      <c r="E70" s="290"/>
      <c r="F70" s="290"/>
      <c r="G70" s="386"/>
      <c r="H70" s="292"/>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387"/>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G3:J3"/>
    <mergeCell ref="D10:H10"/>
    <mergeCell ref="I33:J33"/>
  </mergeCells>
  <pageMargins left="0.7" right="0.7" top="0.75" bottom="0.75" header="0" footer="0"/>
  <pageSetup orientation="landscape"/>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6.85546875" defaultRowHeight="15" customHeight="1"/>
  <cols>
    <col min="1" max="1" width="2.7109375" customWidth="1"/>
    <col min="2" max="2" width="47.140625" customWidth="1"/>
    <col min="3" max="3" width="17.42578125" customWidth="1"/>
    <col min="4" max="4" width="17.7109375" customWidth="1"/>
    <col min="5" max="5" width="25.28515625" customWidth="1"/>
    <col min="6" max="6" width="23.28515625" customWidth="1"/>
    <col min="7" max="7" width="18.42578125" customWidth="1"/>
    <col min="8" max="8" width="15.42578125" customWidth="1"/>
    <col min="9" max="9" width="14.7109375" customWidth="1"/>
    <col min="10" max="10" width="18" customWidth="1"/>
    <col min="11" max="11" width="15" customWidth="1"/>
    <col min="12" max="12" width="18.28515625" customWidth="1"/>
    <col min="13" max="13" width="15.28515625" customWidth="1"/>
    <col min="14" max="14" width="17.7109375" customWidth="1"/>
    <col min="15" max="15" width="16" customWidth="1"/>
    <col min="16" max="16" width="14.7109375" customWidth="1"/>
    <col min="17" max="17" width="21.42578125" customWidth="1"/>
    <col min="18" max="18" width="14.85546875" customWidth="1"/>
    <col min="19" max="19" width="14.28515625" customWidth="1"/>
    <col min="20" max="20" width="16" customWidth="1"/>
    <col min="21" max="21" width="14.85546875" customWidth="1"/>
    <col min="22" max="22" width="18.42578125" customWidth="1"/>
    <col min="23" max="23" width="17.85546875" customWidth="1"/>
    <col min="24" max="26" width="8" customWidth="1"/>
  </cols>
  <sheetData>
    <row r="1" spans="1:26" ht="14.4">
      <c r="A1" s="1" t="s">
        <v>771</v>
      </c>
      <c r="B1" s="403"/>
      <c r="C1" s="404"/>
      <c r="D1" s="404"/>
      <c r="E1" s="404"/>
      <c r="F1" s="42"/>
      <c r="G1" s="404"/>
      <c r="H1" s="404"/>
      <c r="I1" s="404"/>
      <c r="J1" s="404"/>
      <c r="K1" s="404"/>
      <c r="L1" s="404"/>
      <c r="M1" s="404"/>
      <c r="N1" s="404"/>
      <c r="O1" s="404"/>
      <c r="P1" s="404"/>
      <c r="Q1" s="404"/>
      <c r="R1" s="404"/>
      <c r="S1" s="404"/>
      <c r="T1" s="404"/>
      <c r="U1" s="404"/>
      <c r="V1" s="404"/>
      <c r="W1" s="404"/>
      <c r="X1" s="404"/>
      <c r="Y1" s="404"/>
      <c r="Z1" s="404"/>
    </row>
    <row r="2" spans="1:26" ht="74.25" customHeight="1">
      <c r="A2" s="1"/>
      <c r="B2" s="1"/>
      <c r="C2" s="1"/>
      <c r="D2" s="1"/>
      <c r="E2" s="1"/>
      <c r="F2" s="1"/>
      <c r="G2" s="1"/>
      <c r="H2" s="1"/>
      <c r="I2" s="1"/>
      <c r="J2" s="1"/>
      <c r="K2" s="1"/>
      <c r="L2" s="1"/>
      <c r="M2" s="1"/>
      <c r="N2" s="1"/>
      <c r="O2" s="1"/>
      <c r="P2" s="1"/>
      <c r="Q2" s="1"/>
      <c r="R2" s="1"/>
      <c r="S2" s="1"/>
      <c r="T2" s="1"/>
      <c r="U2" s="1"/>
      <c r="V2" s="1"/>
      <c r="W2" s="1"/>
      <c r="X2" s="1"/>
      <c r="Y2" s="1"/>
      <c r="Z2" s="1"/>
    </row>
    <row r="3" spans="1:26" ht="14.4">
      <c r="A3" s="1"/>
      <c r="B3" s="1"/>
      <c r="C3" s="1"/>
      <c r="D3" s="1"/>
      <c r="E3" s="913" t="s">
        <v>772</v>
      </c>
      <c r="F3" s="914"/>
      <c r="G3" s="915"/>
      <c r="H3" s="1"/>
      <c r="I3" s="1"/>
      <c r="J3" s="1"/>
      <c r="K3" s="1"/>
      <c r="L3" s="1"/>
      <c r="M3" s="1"/>
      <c r="N3" s="1"/>
      <c r="O3" s="1"/>
      <c r="P3" s="1"/>
      <c r="Q3" s="1"/>
      <c r="R3" s="1"/>
      <c r="S3" s="1"/>
      <c r="T3" s="1"/>
      <c r="U3" s="1"/>
      <c r="V3" s="1"/>
      <c r="W3" s="1"/>
      <c r="X3" s="1"/>
      <c r="Y3" s="1"/>
      <c r="Z3" s="1"/>
    </row>
    <row r="4" spans="1:26" ht="14.4">
      <c r="A4" s="1"/>
      <c r="B4" s="1"/>
      <c r="C4" s="1"/>
      <c r="D4" s="1"/>
      <c r="E4" s="41"/>
      <c r="F4" s="1"/>
      <c r="G4" s="1"/>
      <c r="H4" s="1"/>
      <c r="I4" s="1"/>
      <c r="J4" s="1"/>
      <c r="K4" s="1"/>
      <c r="L4" s="1"/>
      <c r="M4" s="1"/>
      <c r="N4" s="1"/>
      <c r="O4" s="1"/>
      <c r="P4" s="1"/>
      <c r="Q4" s="1"/>
      <c r="R4" s="1"/>
      <c r="S4" s="1"/>
      <c r="T4" s="1"/>
      <c r="U4" s="1"/>
      <c r="V4" s="1"/>
      <c r="W4" s="1"/>
      <c r="X4" s="1"/>
      <c r="Y4" s="1"/>
      <c r="Z4" s="1"/>
    </row>
    <row r="5" spans="1:26" ht="14.4">
      <c r="A5" s="1"/>
      <c r="B5" s="255"/>
      <c r="C5" s="916">
        <v>1991</v>
      </c>
      <c r="D5" s="916">
        <v>1992</v>
      </c>
      <c r="E5" s="916">
        <v>1993</v>
      </c>
      <c r="F5" s="916">
        <v>1994</v>
      </c>
      <c r="G5" s="916">
        <v>1995</v>
      </c>
      <c r="H5" s="916">
        <v>1996</v>
      </c>
      <c r="I5" s="916">
        <v>1997</v>
      </c>
      <c r="J5" s="916">
        <v>1998</v>
      </c>
      <c r="K5" s="917">
        <v>1999</v>
      </c>
      <c r="L5" s="918">
        <v>2000</v>
      </c>
      <c r="M5" s="918">
        <v>2001</v>
      </c>
      <c r="N5" s="918">
        <v>2002</v>
      </c>
      <c r="O5" s="918">
        <v>2003</v>
      </c>
      <c r="P5" s="918">
        <v>2004</v>
      </c>
      <c r="Q5" s="918">
        <v>2005</v>
      </c>
      <c r="R5" s="918">
        <v>2006</v>
      </c>
      <c r="S5" s="918">
        <v>2007</v>
      </c>
      <c r="T5" s="918">
        <v>2008</v>
      </c>
      <c r="U5" s="916">
        <v>2009</v>
      </c>
      <c r="V5" s="916">
        <v>2010</v>
      </c>
      <c r="W5" s="919">
        <v>2011</v>
      </c>
      <c r="X5" s="1"/>
      <c r="Y5" s="1"/>
      <c r="Z5" s="1"/>
    </row>
    <row r="6" spans="1:26" ht="14.4">
      <c r="A6" s="1"/>
      <c r="B6" s="84"/>
      <c r="C6" s="75"/>
      <c r="D6" s="75"/>
      <c r="E6" s="75"/>
      <c r="F6" s="75"/>
      <c r="G6" s="75"/>
      <c r="H6" s="75"/>
      <c r="I6" s="75"/>
      <c r="J6" s="75"/>
      <c r="K6" s="920"/>
      <c r="L6" s="921"/>
      <c r="M6" s="921"/>
      <c r="N6" s="921"/>
      <c r="O6" s="921"/>
      <c r="P6" s="921"/>
      <c r="Q6" s="921"/>
      <c r="R6" s="921"/>
      <c r="S6" s="921"/>
      <c r="T6" s="921"/>
      <c r="U6" s="75"/>
      <c r="V6" s="75"/>
      <c r="W6" s="85"/>
      <c r="X6" s="1"/>
      <c r="Y6" s="1"/>
      <c r="Z6" s="1"/>
    </row>
    <row r="7" spans="1:26" ht="14.4">
      <c r="A7" s="1"/>
      <c r="B7" s="922" t="s">
        <v>773</v>
      </c>
      <c r="C7" s="923"/>
      <c r="D7" s="924"/>
      <c r="E7" s="924"/>
      <c r="F7" s="924"/>
      <c r="G7" s="924"/>
      <c r="H7" s="924"/>
      <c r="I7" s="924"/>
      <c r="J7" s="924"/>
      <c r="K7" s="925"/>
      <c r="L7" s="926">
        <v>11420038</v>
      </c>
      <c r="M7" s="927">
        <v>11135140</v>
      </c>
      <c r="N7" s="927">
        <v>11364983</v>
      </c>
      <c r="O7" s="927">
        <v>11852129</v>
      </c>
      <c r="P7" s="927">
        <v>11608446</v>
      </c>
      <c r="Q7" s="927">
        <v>11745248.199999999</v>
      </c>
      <c r="R7" s="927">
        <v>11687602.6</v>
      </c>
      <c r="S7" s="927">
        <v>11937518</v>
      </c>
      <c r="T7" s="927">
        <v>11098391</v>
      </c>
      <c r="U7" s="924">
        <v>9846698</v>
      </c>
      <c r="V7" s="924">
        <v>9885858</v>
      </c>
      <c r="W7" s="67">
        <v>9003261</v>
      </c>
      <c r="X7" s="1"/>
      <c r="Y7" s="1"/>
      <c r="Z7" s="1"/>
    </row>
    <row r="8" spans="1:26" ht="14.4">
      <c r="A8" s="1"/>
      <c r="B8" s="922" t="s">
        <v>774</v>
      </c>
      <c r="C8" s="923"/>
      <c r="D8" s="924"/>
      <c r="E8" s="924"/>
      <c r="F8" s="924"/>
      <c r="G8" s="924"/>
      <c r="H8" s="924"/>
      <c r="I8" s="924"/>
      <c r="J8" s="924"/>
      <c r="K8" s="925"/>
      <c r="L8" s="926">
        <v>4143417</v>
      </c>
      <c r="M8" s="927">
        <v>5514960</v>
      </c>
      <c r="N8" s="927">
        <v>4108104</v>
      </c>
      <c r="O8" s="927">
        <v>6164252</v>
      </c>
      <c r="P8" s="927">
        <v>5672819.25</v>
      </c>
      <c r="Q8" s="927">
        <v>6574936.7400000002</v>
      </c>
      <c r="R8" s="927">
        <v>1050222.03</v>
      </c>
      <c r="S8" s="927">
        <v>1790746</v>
      </c>
      <c r="T8" s="927">
        <v>791418</v>
      </c>
      <c r="U8" s="924">
        <v>624050</v>
      </c>
      <c r="V8" s="924">
        <v>658767</v>
      </c>
      <c r="W8" s="67">
        <v>438683</v>
      </c>
      <c r="X8" s="1"/>
      <c r="Y8" s="1"/>
      <c r="Z8" s="1"/>
    </row>
    <row r="9" spans="1:26" ht="14.4">
      <c r="A9" s="1"/>
      <c r="B9" s="922" t="s">
        <v>775</v>
      </c>
      <c r="C9" s="923"/>
      <c r="D9" s="924"/>
      <c r="E9" s="924"/>
      <c r="F9" s="924"/>
      <c r="G9" s="924"/>
      <c r="H9" s="924"/>
      <c r="I9" s="924"/>
      <c r="J9" s="924"/>
      <c r="K9" s="925"/>
      <c r="L9" s="926">
        <v>29023288</v>
      </c>
      <c r="M9" s="927">
        <v>17985486</v>
      </c>
      <c r="N9" s="927">
        <v>22627073</v>
      </c>
      <c r="O9" s="927">
        <v>11162538</v>
      </c>
      <c r="P9" s="927">
        <v>9994238.0399999991</v>
      </c>
      <c r="Q9" s="927">
        <v>18619350</v>
      </c>
      <c r="R9" s="927">
        <v>16620796.5</v>
      </c>
      <c r="S9" s="927">
        <v>21481869</v>
      </c>
      <c r="T9" s="927">
        <v>17563616</v>
      </c>
      <c r="U9" s="924">
        <v>15742992</v>
      </c>
      <c r="V9" s="924">
        <v>28629884</v>
      </c>
      <c r="W9" s="67">
        <v>21840074</v>
      </c>
      <c r="X9" s="1"/>
      <c r="Y9" s="1"/>
      <c r="Z9" s="1"/>
    </row>
    <row r="10" spans="1:26" ht="14.4">
      <c r="A10" s="1"/>
      <c r="B10" s="928" t="s">
        <v>776</v>
      </c>
      <c r="C10" s="929"/>
      <c r="D10" s="930"/>
      <c r="E10" s="930"/>
      <c r="F10" s="930"/>
      <c r="G10" s="930"/>
      <c r="H10" s="930"/>
      <c r="I10" s="930"/>
      <c r="J10" s="930"/>
      <c r="K10" s="931"/>
      <c r="L10" s="932">
        <v>758</v>
      </c>
      <c r="M10" s="933">
        <v>7537</v>
      </c>
      <c r="N10" s="933">
        <v>9278</v>
      </c>
      <c r="O10" s="933">
        <v>6717</v>
      </c>
      <c r="P10" s="933">
        <v>5127.03</v>
      </c>
      <c r="Q10" s="933">
        <v>4266.24</v>
      </c>
      <c r="R10" s="933">
        <v>4141.3100000000004</v>
      </c>
      <c r="S10" s="933">
        <v>4703.42</v>
      </c>
      <c r="T10" s="933">
        <v>4194.0200000000004</v>
      </c>
      <c r="U10" s="930">
        <v>3340</v>
      </c>
      <c r="V10" s="930">
        <v>2663</v>
      </c>
      <c r="W10" s="934">
        <v>1921</v>
      </c>
      <c r="X10" s="1"/>
      <c r="Y10" s="1"/>
      <c r="Z10" s="1"/>
    </row>
    <row r="11" spans="1:26" ht="14.4">
      <c r="A11" s="1"/>
      <c r="B11" s="1"/>
      <c r="C11" s="1"/>
      <c r="D11" s="1"/>
      <c r="E11" s="41"/>
      <c r="F11" s="1"/>
      <c r="G11" s="1"/>
      <c r="H11" s="1"/>
      <c r="I11" s="1"/>
      <c r="J11" s="1"/>
      <c r="K11" s="1"/>
      <c r="L11" s="1"/>
      <c r="M11" s="1"/>
      <c r="N11" s="1"/>
      <c r="O11" s="1"/>
      <c r="P11" s="1"/>
      <c r="Q11" s="1"/>
      <c r="R11" s="1"/>
      <c r="S11" s="1"/>
      <c r="T11" s="1"/>
      <c r="U11" s="1"/>
      <c r="V11" s="1"/>
      <c r="W11" s="1"/>
      <c r="X11" s="1"/>
      <c r="Y11" s="1"/>
      <c r="Z11" s="1"/>
    </row>
    <row r="12" spans="1:26" ht="14.4">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4">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4">
      <c r="A14" s="1"/>
      <c r="B14" s="1"/>
      <c r="C14" s="784"/>
      <c r="D14" s="935"/>
      <c r="E14" s="913" t="s">
        <v>777</v>
      </c>
      <c r="F14" s="936"/>
      <c r="G14" s="935"/>
      <c r="H14" s="935"/>
      <c r="I14" s="935"/>
      <c r="J14" s="1"/>
      <c r="K14" s="1"/>
      <c r="L14" s="1"/>
      <c r="M14" s="1"/>
      <c r="N14" s="1"/>
      <c r="O14" s="1"/>
      <c r="P14" s="1"/>
      <c r="Q14" s="1"/>
      <c r="R14" s="1"/>
      <c r="S14" s="1"/>
      <c r="T14" s="1"/>
      <c r="U14" s="1"/>
      <c r="V14" s="1"/>
      <c r="W14" s="1"/>
      <c r="X14" s="1"/>
      <c r="Y14" s="1"/>
      <c r="Z14" s="1"/>
    </row>
    <row r="15" spans="1:26" ht="14.4">
      <c r="A15" s="1"/>
      <c r="B15" s="1"/>
      <c r="C15" s="784"/>
      <c r="D15" s="935"/>
      <c r="E15" s="935"/>
      <c r="F15" s="935"/>
      <c r="G15" s="935"/>
      <c r="H15" s="935"/>
      <c r="I15" s="935"/>
      <c r="J15" s="1"/>
      <c r="K15" s="1"/>
      <c r="L15" s="1"/>
      <c r="M15" s="1"/>
      <c r="N15" s="1"/>
      <c r="O15" s="1"/>
      <c r="P15" s="1"/>
      <c r="Q15" s="1"/>
      <c r="R15" s="1"/>
      <c r="S15" s="1"/>
      <c r="T15" s="1"/>
      <c r="U15" s="1"/>
      <c r="V15" s="1"/>
      <c r="W15" s="1"/>
      <c r="X15" s="1"/>
      <c r="Y15" s="1"/>
      <c r="Z15" s="1"/>
    </row>
    <row r="16" spans="1:26" ht="14.4">
      <c r="A16" s="1"/>
      <c r="B16" s="255"/>
      <c r="C16" s="916">
        <v>1991</v>
      </c>
      <c r="D16" s="916">
        <v>1992</v>
      </c>
      <c r="E16" s="916">
        <v>1993</v>
      </c>
      <c r="F16" s="916">
        <v>1994</v>
      </c>
      <c r="G16" s="916">
        <v>1995</v>
      </c>
      <c r="H16" s="916">
        <v>1996</v>
      </c>
      <c r="I16" s="916">
        <v>1997</v>
      </c>
      <c r="J16" s="916">
        <v>1998</v>
      </c>
      <c r="K16" s="916">
        <v>1999</v>
      </c>
      <c r="L16" s="916">
        <v>2000</v>
      </c>
      <c r="M16" s="916">
        <v>2001</v>
      </c>
      <c r="N16" s="916">
        <v>2002</v>
      </c>
      <c r="O16" s="916">
        <v>2003</v>
      </c>
      <c r="P16" s="916">
        <v>2004</v>
      </c>
      <c r="Q16" s="916">
        <v>2005</v>
      </c>
      <c r="R16" s="916">
        <v>2006</v>
      </c>
      <c r="S16" s="916">
        <v>2007</v>
      </c>
      <c r="T16" s="917">
        <v>2008</v>
      </c>
      <c r="U16" s="916">
        <v>2009</v>
      </c>
      <c r="V16" s="916">
        <v>2010</v>
      </c>
      <c r="W16" s="919">
        <v>2011</v>
      </c>
      <c r="X16" s="1"/>
      <c r="Y16" s="1"/>
      <c r="Z16" s="1"/>
    </row>
    <row r="17" spans="1:26" ht="14.4">
      <c r="A17" s="1"/>
      <c r="B17" s="84" t="s">
        <v>293</v>
      </c>
      <c r="C17" s="924">
        <v>22835671</v>
      </c>
      <c r="D17" s="924">
        <v>23850470</v>
      </c>
      <c r="E17" s="924">
        <v>25126979</v>
      </c>
      <c r="F17" s="924">
        <v>25624758</v>
      </c>
      <c r="G17" s="924">
        <v>27595256</v>
      </c>
      <c r="H17" s="924">
        <v>27992005</v>
      </c>
      <c r="I17" s="924">
        <v>27620925</v>
      </c>
      <c r="J17" s="924">
        <v>29294727</v>
      </c>
      <c r="K17" s="924">
        <v>29687655</v>
      </c>
      <c r="L17" s="924">
        <v>29451065</v>
      </c>
      <c r="M17" s="924">
        <v>28379409</v>
      </c>
      <c r="N17" s="924">
        <v>28712053</v>
      </c>
      <c r="O17" s="924">
        <v>29939086</v>
      </c>
      <c r="P17" s="924">
        <v>29195458</v>
      </c>
      <c r="Q17" s="924">
        <v>29302792</v>
      </c>
      <c r="R17" s="924">
        <v>29408022</v>
      </c>
      <c r="S17" s="924">
        <v>29699186</v>
      </c>
      <c r="T17" s="925">
        <v>27218239</v>
      </c>
      <c r="U17" s="924">
        <v>24162345</v>
      </c>
      <c r="V17" s="924">
        <v>23668204</v>
      </c>
      <c r="W17" s="937">
        <v>21186919</v>
      </c>
      <c r="X17" s="1"/>
      <c r="Y17" s="1"/>
      <c r="Z17" s="1"/>
    </row>
    <row r="18" spans="1:26" ht="14.4">
      <c r="A18" s="1"/>
      <c r="B18" s="84" t="s">
        <v>294</v>
      </c>
      <c r="C18" s="924">
        <v>4078506</v>
      </c>
      <c r="D18" s="924">
        <v>2749511</v>
      </c>
      <c r="E18" s="924">
        <v>4164790</v>
      </c>
      <c r="F18" s="924">
        <v>4275226</v>
      </c>
      <c r="G18" s="924">
        <v>1479469</v>
      </c>
      <c r="H18" s="924">
        <v>1472027</v>
      </c>
      <c r="I18" s="924">
        <v>1565010</v>
      </c>
      <c r="J18" s="924">
        <v>3454350</v>
      </c>
      <c r="K18" s="924">
        <v>4290788</v>
      </c>
      <c r="L18" s="924">
        <v>2388595</v>
      </c>
      <c r="M18" s="924">
        <v>3021639</v>
      </c>
      <c r="N18" s="924">
        <v>2282432</v>
      </c>
      <c r="O18" s="924">
        <v>3572183</v>
      </c>
      <c r="P18" s="924">
        <v>3296842</v>
      </c>
      <c r="Q18" s="924">
        <v>3805569</v>
      </c>
      <c r="R18" s="924">
        <v>580726</v>
      </c>
      <c r="S18" s="924">
        <v>984831</v>
      </c>
      <c r="T18" s="925">
        <v>405840</v>
      </c>
      <c r="U18" s="924">
        <v>329901</v>
      </c>
      <c r="V18" s="924">
        <v>322438</v>
      </c>
      <c r="W18" s="937">
        <v>219804</v>
      </c>
      <c r="X18" s="1"/>
      <c r="Y18" s="1"/>
      <c r="Z18" s="1"/>
    </row>
    <row r="19" spans="1:26" ht="14.4">
      <c r="A19" s="1"/>
      <c r="B19" s="84" t="s">
        <v>295</v>
      </c>
      <c r="C19" s="924">
        <v>1517463</v>
      </c>
      <c r="D19" s="924">
        <v>1077542</v>
      </c>
      <c r="E19" s="924">
        <v>772304</v>
      </c>
      <c r="F19" s="924">
        <v>1172042</v>
      </c>
      <c r="G19" s="924">
        <v>1548884</v>
      </c>
      <c r="H19" s="924">
        <v>987627</v>
      </c>
      <c r="I19" s="924">
        <v>1412585</v>
      </c>
      <c r="J19" s="924">
        <v>1990596</v>
      </c>
      <c r="K19" s="924">
        <v>2125193</v>
      </c>
      <c r="L19" s="924">
        <v>2852876</v>
      </c>
      <c r="M19" s="924">
        <v>1760812</v>
      </c>
      <c r="N19" s="924">
        <v>2214431</v>
      </c>
      <c r="O19" s="924">
        <v>1195642</v>
      </c>
      <c r="P19" s="924">
        <v>1183301</v>
      </c>
      <c r="Q19" s="924">
        <v>1886986</v>
      </c>
      <c r="R19" s="924">
        <v>1770206</v>
      </c>
      <c r="S19" s="924">
        <v>2240927</v>
      </c>
      <c r="T19" s="925">
        <v>1848147</v>
      </c>
      <c r="U19" s="924">
        <v>1767844</v>
      </c>
      <c r="V19" s="924">
        <v>2896978</v>
      </c>
      <c r="W19" s="937">
        <v>2236976</v>
      </c>
      <c r="X19" s="1"/>
      <c r="Y19" s="1"/>
      <c r="Z19" s="1"/>
    </row>
    <row r="20" spans="1:26" ht="14.4">
      <c r="A20" s="1"/>
      <c r="B20" s="84" t="s">
        <v>778</v>
      </c>
      <c r="C20" s="924">
        <v>478704</v>
      </c>
      <c r="D20" s="924">
        <v>506572</v>
      </c>
      <c r="E20" s="924">
        <v>475788</v>
      </c>
      <c r="F20" s="924">
        <v>501762</v>
      </c>
      <c r="G20" s="924">
        <v>685721</v>
      </c>
      <c r="H20" s="924">
        <v>539335</v>
      </c>
      <c r="I20" s="924">
        <v>564036</v>
      </c>
      <c r="J20" s="924">
        <v>82316</v>
      </c>
      <c r="K20" s="924">
        <v>59891</v>
      </c>
      <c r="L20" s="924">
        <v>74572</v>
      </c>
      <c r="M20" s="924">
        <v>439980</v>
      </c>
      <c r="N20" s="924">
        <v>504513</v>
      </c>
      <c r="O20" s="924">
        <v>325355</v>
      </c>
      <c r="P20" s="924">
        <v>411565</v>
      </c>
      <c r="Q20" s="924">
        <v>342466</v>
      </c>
      <c r="R20" s="924">
        <v>332444</v>
      </c>
      <c r="S20" s="924">
        <v>377560</v>
      </c>
      <c r="T20" s="925">
        <v>337823</v>
      </c>
      <c r="U20" s="924">
        <v>269182</v>
      </c>
      <c r="V20" s="924">
        <v>214727</v>
      </c>
      <c r="W20" s="937">
        <v>154641</v>
      </c>
      <c r="X20" s="1"/>
      <c r="Y20" s="1"/>
      <c r="Z20" s="1"/>
    </row>
    <row r="21" spans="1:26" ht="15.75" customHeight="1">
      <c r="A21" s="1"/>
      <c r="B21" s="84" t="s">
        <v>779</v>
      </c>
      <c r="C21" s="924">
        <v>9036100</v>
      </c>
      <c r="D21" s="924">
        <v>10663950</v>
      </c>
      <c r="E21" s="924">
        <v>12300816</v>
      </c>
      <c r="F21" s="924">
        <v>11235408</v>
      </c>
      <c r="G21" s="924">
        <v>12937971</v>
      </c>
      <c r="H21" s="924">
        <v>12092768</v>
      </c>
      <c r="I21" s="924">
        <v>13212967</v>
      </c>
      <c r="J21" s="924">
        <v>13330598</v>
      </c>
      <c r="K21" s="924">
        <v>13312335</v>
      </c>
      <c r="L21" s="924">
        <v>13827243</v>
      </c>
      <c r="M21" s="924">
        <v>13656267</v>
      </c>
      <c r="N21" s="924">
        <v>12128005</v>
      </c>
      <c r="O21" s="924">
        <v>13690713</v>
      </c>
      <c r="P21" s="924">
        <v>14580260</v>
      </c>
      <c r="Q21" s="924">
        <v>14703221</v>
      </c>
      <c r="R21" s="924">
        <v>13830411</v>
      </c>
      <c r="S21" s="924">
        <v>14353192</v>
      </c>
      <c r="T21" s="925">
        <v>14678695</v>
      </c>
      <c r="U21" s="924">
        <v>14550119</v>
      </c>
      <c r="V21" s="924">
        <v>13993948</v>
      </c>
      <c r="W21" s="937">
        <v>14397437</v>
      </c>
      <c r="X21" s="1"/>
      <c r="Y21" s="1"/>
      <c r="Z21" s="1"/>
    </row>
    <row r="22" spans="1:26" ht="15.75" customHeight="1">
      <c r="A22" s="1"/>
      <c r="B22" s="84" t="s">
        <v>780</v>
      </c>
      <c r="C22" s="924">
        <v>1407287</v>
      </c>
      <c r="D22" s="924">
        <v>1824659</v>
      </c>
      <c r="E22" s="924">
        <v>1658271</v>
      </c>
      <c r="F22" s="924">
        <v>2009536</v>
      </c>
      <c r="G22" s="924">
        <v>1442006</v>
      </c>
      <c r="H22" s="924">
        <v>2457463</v>
      </c>
      <c r="I22" s="924">
        <v>1588375</v>
      </c>
      <c r="J22" s="924">
        <v>1739737</v>
      </c>
      <c r="K22" s="924">
        <v>1424197</v>
      </c>
      <c r="L22" s="924">
        <v>1732619</v>
      </c>
      <c r="M22" s="924">
        <v>1183518</v>
      </c>
      <c r="N22" s="924">
        <v>1660989</v>
      </c>
      <c r="O22" s="924">
        <v>2646984</v>
      </c>
      <c r="P22" s="924">
        <v>2507521</v>
      </c>
      <c r="Q22" s="924">
        <v>1703639</v>
      </c>
      <c r="R22" s="924">
        <v>2104275</v>
      </c>
      <c r="S22" s="924">
        <v>1652216</v>
      </c>
      <c r="T22" s="925">
        <v>1974078</v>
      </c>
      <c r="U22" s="924">
        <v>1888769</v>
      </c>
      <c r="V22" s="924">
        <v>1667397</v>
      </c>
      <c r="W22" s="937">
        <v>2540908</v>
      </c>
      <c r="X22" s="1"/>
      <c r="Y22" s="1"/>
      <c r="Z22" s="1"/>
    </row>
    <row r="23" spans="1:26" ht="15.75" customHeight="1">
      <c r="A23" s="1"/>
      <c r="B23" s="84" t="s">
        <v>781</v>
      </c>
      <c r="C23" s="924"/>
      <c r="D23" s="924"/>
      <c r="E23" s="924"/>
      <c r="F23" s="924"/>
      <c r="G23" s="924"/>
      <c r="H23" s="924"/>
      <c r="I23" s="924"/>
      <c r="J23" s="924"/>
      <c r="K23" s="924"/>
      <c r="L23" s="924"/>
      <c r="M23" s="924"/>
      <c r="N23" s="924"/>
      <c r="O23" s="924"/>
      <c r="P23" s="924"/>
      <c r="Q23" s="924"/>
      <c r="R23" s="924"/>
      <c r="S23" s="924"/>
      <c r="T23" s="925"/>
      <c r="U23" s="924"/>
      <c r="V23" s="924">
        <v>1494</v>
      </c>
      <c r="W23" s="937">
        <v>319254</v>
      </c>
      <c r="X23" s="1"/>
      <c r="Y23" s="1"/>
      <c r="Z23" s="1"/>
    </row>
    <row r="24" spans="1:26" ht="15.75" customHeight="1">
      <c r="A24" s="1"/>
      <c r="B24" s="84" t="s">
        <v>782</v>
      </c>
      <c r="C24" s="924"/>
      <c r="D24" s="924"/>
      <c r="E24" s="924"/>
      <c r="F24" s="924"/>
      <c r="G24" s="924"/>
      <c r="H24" s="924"/>
      <c r="I24" s="924"/>
      <c r="J24" s="924"/>
      <c r="K24" s="924"/>
      <c r="L24" s="924"/>
      <c r="M24" s="924"/>
      <c r="N24" s="924"/>
      <c r="O24" s="924"/>
      <c r="P24" s="924"/>
      <c r="Q24" s="924"/>
      <c r="R24" s="924"/>
      <c r="S24" s="924"/>
      <c r="T24" s="925"/>
      <c r="U24" s="924"/>
      <c r="V24" s="924">
        <v>80</v>
      </c>
      <c r="W24" s="937">
        <v>2070</v>
      </c>
      <c r="X24" s="1"/>
      <c r="Y24" s="1"/>
      <c r="Z24" s="1"/>
    </row>
    <row r="25" spans="1:26" ht="15.75" customHeight="1">
      <c r="A25" s="1"/>
      <c r="B25" s="84" t="s">
        <v>783</v>
      </c>
      <c r="C25" s="924">
        <v>160602</v>
      </c>
      <c r="D25" s="924">
        <v>174801</v>
      </c>
      <c r="E25" s="924">
        <v>175122</v>
      </c>
      <c r="F25" s="924">
        <v>168822</v>
      </c>
      <c r="G25" s="924">
        <v>175144</v>
      </c>
      <c r="H25" s="924">
        <v>167554</v>
      </c>
      <c r="I25" s="924">
        <v>155906</v>
      </c>
      <c r="J25" s="924">
        <v>155647</v>
      </c>
      <c r="K25" s="924">
        <v>171088</v>
      </c>
      <c r="L25" s="924">
        <v>179580</v>
      </c>
      <c r="M25" s="924">
        <v>11939</v>
      </c>
      <c r="N25" s="924">
        <v>182904</v>
      </c>
      <c r="O25" s="924">
        <v>225240</v>
      </c>
      <c r="P25" s="924">
        <v>192384</v>
      </c>
      <c r="Q25" s="924">
        <v>205985</v>
      </c>
      <c r="R25" s="924">
        <v>218066</v>
      </c>
      <c r="S25" s="924">
        <v>203097</v>
      </c>
      <c r="T25" s="925">
        <v>197704</v>
      </c>
      <c r="U25" s="924">
        <v>175058</v>
      </c>
      <c r="V25" s="924">
        <v>164688</v>
      </c>
      <c r="W25" s="937">
        <v>167437</v>
      </c>
      <c r="X25" s="1"/>
      <c r="Y25" s="1"/>
      <c r="Z25" s="1"/>
    </row>
    <row r="26" spans="1:26" ht="15.75" customHeight="1">
      <c r="A26" s="1"/>
      <c r="B26" s="84" t="s">
        <v>784</v>
      </c>
      <c r="C26" s="924">
        <v>336551</v>
      </c>
      <c r="D26" s="924">
        <v>329854</v>
      </c>
      <c r="E26" s="924">
        <v>303818</v>
      </c>
      <c r="F26" s="924">
        <v>352064</v>
      </c>
      <c r="G26" s="924">
        <v>501192</v>
      </c>
      <c r="H26" s="924">
        <v>565838</v>
      </c>
      <c r="I26" s="924">
        <v>587592</v>
      </c>
      <c r="J26" s="924">
        <v>605046</v>
      </c>
      <c r="K26" s="924">
        <v>614474</v>
      </c>
      <c r="L26" s="924">
        <v>638830</v>
      </c>
      <c r="M26" s="924">
        <v>361076</v>
      </c>
      <c r="N26" s="924">
        <v>338727</v>
      </c>
      <c r="O26" s="924">
        <v>370811</v>
      </c>
      <c r="P26" s="924">
        <v>396824</v>
      </c>
      <c r="Q26" s="924">
        <v>417380</v>
      </c>
      <c r="R26" s="924">
        <v>408095</v>
      </c>
      <c r="S26" s="924">
        <v>400364</v>
      </c>
      <c r="T26" s="925">
        <v>414781</v>
      </c>
      <c r="U26" s="924">
        <v>375721</v>
      </c>
      <c r="V26" s="924">
        <v>407402</v>
      </c>
      <c r="W26" s="937">
        <v>420114</v>
      </c>
      <c r="X26" s="1"/>
      <c r="Y26" s="1"/>
      <c r="Z26" s="1"/>
    </row>
    <row r="27" spans="1:26" ht="15.75" customHeight="1">
      <c r="A27" s="1"/>
      <c r="B27" s="938" t="s">
        <v>785</v>
      </c>
      <c r="C27" s="939"/>
      <c r="D27" s="939"/>
      <c r="E27" s="939"/>
      <c r="F27" s="939"/>
      <c r="G27" s="939"/>
      <c r="H27" s="939"/>
      <c r="I27" s="939"/>
      <c r="J27" s="939"/>
      <c r="K27" s="939"/>
      <c r="L27" s="939"/>
      <c r="M27" s="940">
        <v>247700</v>
      </c>
      <c r="N27" s="940">
        <v>255034</v>
      </c>
      <c r="O27" s="940">
        <v>278224</v>
      </c>
      <c r="P27" s="940">
        <v>288616</v>
      </c>
      <c r="Q27" s="940">
        <v>293561</v>
      </c>
      <c r="R27" s="940">
        <v>304635</v>
      </c>
      <c r="S27" s="940">
        <v>286550</v>
      </c>
      <c r="T27" s="941">
        <v>285645</v>
      </c>
      <c r="U27" s="924">
        <v>255893</v>
      </c>
      <c r="V27" s="924">
        <v>269907</v>
      </c>
      <c r="W27" s="937">
        <v>267727</v>
      </c>
      <c r="X27" s="1"/>
      <c r="Y27" s="1"/>
      <c r="Z27" s="1"/>
    </row>
    <row r="28" spans="1:26" ht="15.75" customHeight="1">
      <c r="A28" s="1"/>
      <c r="B28" s="942" t="s">
        <v>177</v>
      </c>
      <c r="C28" s="943">
        <v>39850884</v>
      </c>
      <c r="D28" s="943">
        <v>41177359</v>
      </c>
      <c r="E28" s="943">
        <v>44977888</v>
      </c>
      <c r="F28" s="943">
        <v>45339618</v>
      </c>
      <c r="G28" s="943">
        <v>46365643</v>
      </c>
      <c r="H28" s="943">
        <v>46274617</v>
      </c>
      <c r="I28" s="944">
        <v>46707396</v>
      </c>
      <c r="J28" s="943">
        <v>50653017</v>
      </c>
      <c r="K28" s="943">
        <v>51685621</v>
      </c>
      <c r="L28" s="943">
        <v>51145380</v>
      </c>
      <c r="M28" s="943">
        <v>49062340</v>
      </c>
      <c r="N28" s="943">
        <v>48279088</v>
      </c>
      <c r="O28" s="943">
        <v>52244237</v>
      </c>
      <c r="P28" s="943">
        <v>52052770</v>
      </c>
      <c r="Q28" s="943">
        <v>52661600</v>
      </c>
      <c r="R28" s="943">
        <v>48956880</v>
      </c>
      <c r="S28" s="943">
        <v>50197924</v>
      </c>
      <c r="T28" s="945">
        <v>47360953</v>
      </c>
      <c r="U28" s="946">
        <f>SUM(U17:U27)</f>
        <v>43774832</v>
      </c>
      <c r="V28" s="947">
        <v>43607266</v>
      </c>
      <c r="W28" s="948">
        <f>SUM(W17:W27)</f>
        <v>41913287</v>
      </c>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913" t="s">
        <v>786</v>
      </c>
      <c r="D30" s="914"/>
      <c r="E30" s="914"/>
      <c r="F30" s="914"/>
      <c r="G30" s="915"/>
      <c r="H30" s="408"/>
      <c r="I30" s="408"/>
      <c r="J30" s="1"/>
      <c r="K30" s="1"/>
      <c r="L30" s="1"/>
      <c r="M30" s="1"/>
      <c r="N30" s="1"/>
      <c r="O30" s="1"/>
      <c r="P30" s="1"/>
      <c r="Q30" s="1"/>
      <c r="R30" s="1"/>
      <c r="S30" s="1"/>
      <c r="T30" s="1"/>
      <c r="U30" s="1"/>
      <c r="V30" s="949"/>
      <c r="W30" s="1"/>
      <c r="X30" s="1"/>
      <c r="Y30" s="1"/>
      <c r="Z30" s="1"/>
    </row>
    <row r="31" spans="1:26" ht="15.75" customHeight="1">
      <c r="A31" s="1"/>
      <c r="B31" s="1"/>
      <c r="C31" s="950"/>
      <c r="D31" s="408"/>
      <c r="E31" s="408"/>
      <c r="F31" s="408"/>
      <c r="G31" s="408"/>
      <c r="H31" s="408"/>
      <c r="I31" s="408"/>
      <c r="J31" s="1"/>
      <c r="K31" s="1"/>
      <c r="L31" s="1"/>
      <c r="M31" s="1"/>
      <c r="N31" s="1"/>
      <c r="O31" s="1"/>
      <c r="P31" s="1"/>
      <c r="Q31" s="1"/>
      <c r="R31" s="1"/>
      <c r="S31" s="1"/>
      <c r="T31" s="1"/>
      <c r="U31" s="1"/>
      <c r="V31" s="1"/>
      <c r="W31" s="1"/>
      <c r="X31" s="1"/>
      <c r="Y31" s="1"/>
      <c r="Z31" s="1"/>
    </row>
    <row r="32" spans="1:26" ht="15.75" customHeight="1">
      <c r="A32" s="1"/>
      <c r="B32" s="951"/>
      <c r="C32" s="916">
        <v>1991</v>
      </c>
      <c r="D32" s="916">
        <v>1992</v>
      </c>
      <c r="E32" s="916">
        <v>1993</v>
      </c>
      <c r="F32" s="916">
        <v>1994</v>
      </c>
      <c r="G32" s="916">
        <v>1995</v>
      </c>
      <c r="H32" s="916">
        <v>1996</v>
      </c>
      <c r="I32" s="916">
        <v>1997</v>
      </c>
      <c r="J32" s="916">
        <v>1998</v>
      </c>
      <c r="K32" s="917">
        <v>1999</v>
      </c>
      <c r="L32" s="918">
        <v>2000</v>
      </c>
      <c r="M32" s="918">
        <v>2001</v>
      </c>
      <c r="N32" s="918">
        <v>2002</v>
      </c>
      <c r="O32" s="918">
        <v>2003</v>
      </c>
      <c r="P32" s="918">
        <v>2004</v>
      </c>
      <c r="Q32" s="918">
        <v>2005</v>
      </c>
      <c r="R32" s="918">
        <v>2006</v>
      </c>
      <c r="S32" s="918">
        <v>2007</v>
      </c>
      <c r="T32" s="952">
        <v>2008</v>
      </c>
      <c r="U32" s="916">
        <v>2009</v>
      </c>
      <c r="V32" s="916">
        <v>2010</v>
      </c>
      <c r="W32" s="919">
        <v>2011</v>
      </c>
      <c r="X32" s="1"/>
      <c r="Y32" s="1"/>
      <c r="Z32" s="1"/>
    </row>
    <row r="33" spans="1:26" ht="15.75" customHeight="1">
      <c r="A33" s="1"/>
      <c r="B33" s="953" t="s">
        <v>787</v>
      </c>
      <c r="C33" s="954">
        <f t="shared" ref="C33:W33" si="0">C28*0.0625</f>
        <v>2490680.25</v>
      </c>
      <c r="D33" s="954">
        <f t="shared" si="0"/>
        <v>2573584.9375</v>
      </c>
      <c r="E33" s="954">
        <f t="shared" si="0"/>
        <v>2811118</v>
      </c>
      <c r="F33" s="954">
        <f t="shared" si="0"/>
        <v>2833726.125</v>
      </c>
      <c r="G33" s="954">
        <f t="shared" si="0"/>
        <v>2897852.6875</v>
      </c>
      <c r="H33" s="954">
        <f t="shared" si="0"/>
        <v>2892163.5625</v>
      </c>
      <c r="I33" s="954">
        <f t="shared" si="0"/>
        <v>2919212.25</v>
      </c>
      <c r="J33" s="954">
        <f t="shared" si="0"/>
        <v>3165813.5625</v>
      </c>
      <c r="K33" s="954">
        <f t="shared" si="0"/>
        <v>3230351.3125</v>
      </c>
      <c r="L33" s="954">
        <f t="shared" si="0"/>
        <v>3196586.25</v>
      </c>
      <c r="M33" s="954">
        <f t="shared" si="0"/>
        <v>3066396.25</v>
      </c>
      <c r="N33" s="954">
        <f t="shared" si="0"/>
        <v>3017443</v>
      </c>
      <c r="O33" s="954">
        <f t="shared" si="0"/>
        <v>3265264.8125</v>
      </c>
      <c r="P33" s="954">
        <f t="shared" si="0"/>
        <v>3253298.125</v>
      </c>
      <c r="Q33" s="954">
        <f t="shared" si="0"/>
        <v>3291350</v>
      </c>
      <c r="R33" s="954">
        <f t="shared" si="0"/>
        <v>3059805</v>
      </c>
      <c r="S33" s="954">
        <f t="shared" si="0"/>
        <v>3137370.25</v>
      </c>
      <c r="T33" s="954">
        <f t="shared" si="0"/>
        <v>2960059.5625</v>
      </c>
      <c r="U33" s="954">
        <f t="shared" si="0"/>
        <v>2735927</v>
      </c>
      <c r="V33" s="954">
        <f t="shared" si="0"/>
        <v>2725454.125</v>
      </c>
      <c r="W33" s="954">
        <f t="shared" si="0"/>
        <v>2619580.4375</v>
      </c>
      <c r="X33" s="1"/>
      <c r="Y33" s="1"/>
      <c r="Z33" s="1"/>
    </row>
    <row r="34" spans="1:26" ht="15.75" customHeight="1">
      <c r="A34" s="1"/>
      <c r="B34" s="1"/>
      <c r="C34" s="950"/>
      <c r="D34" s="408"/>
      <c r="E34" s="408"/>
      <c r="F34" s="408"/>
      <c r="G34" s="408"/>
      <c r="H34" s="408"/>
      <c r="I34" s="408"/>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913" t="s">
        <v>788</v>
      </c>
      <c r="D36" s="955"/>
      <c r="E36" s="955"/>
      <c r="F36" s="955"/>
      <c r="G36" s="955"/>
      <c r="H36" s="936"/>
      <c r="I36" s="1"/>
      <c r="J36" s="1"/>
      <c r="K36" s="1"/>
      <c r="L36" s="1"/>
      <c r="M36" s="1"/>
      <c r="N36" s="1"/>
      <c r="O36" s="1"/>
      <c r="P36" s="1"/>
      <c r="Q36" s="1"/>
      <c r="R36" s="1"/>
      <c r="S36" s="1"/>
      <c r="T36" s="1"/>
      <c r="U36" s="1"/>
      <c r="V36" s="1"/>
      <c r="W36" s="1"/>
      <c r="X36" s="1"/>
      <c r="Y36" s="1"/>
      <c r="Z36" s="1"/>
    </row>
    <row r="37" spans="1:26" ht="15.75" customHeight="1">
      <c r="A37" s="1"/>
      <c r="B37" s="1"/>
      <c r="C37" s="4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255"/>
      <c r="C39" s="916">
        <v>1991</v>
      </c>
      <c r="D39" s="916">
        <v>1992</v>
      </c>
      <c r="E39" s="916">
        <v>1993</v>
      </c>
      <c r="F39" s="916">
        <v>1994</v>
      </c>
      <c r="G39" s="916">
        <v>1995</v>
      </c>
      <c r="H39" s="916">
        <v>1996</v>
      </c>
      <c r="I39" s="916">
        <v>1997</v>
      </c>
      <c r="J39" s="916">
        <v>1998</v>
      </c>
      <c r="K39" s="917">
        <v>1999</v>
      </c>
      <c r="L39" s="918">
        <v>2000</v>
      </c>
      <c r="M39" s="918">
        <v>2001</v>
      </c>
      <c r="N39" s="918">
        <v>2002</v>
      </c>
      <c r="O39" s="918">
        <v>2003</v>
      </c>
      <c r="P39" s="918">
        <v>2004</v>
      </c>
      <c r="Q39" s="918">
        <v>2005</v>
      </c>
      <c r="R39" s="918">
        <v>2006</v>
      </c>
      <c r="S39" s="918">
        <v>2007</v>
      </c>
      <c r="T39" s="952">
        <v>2008</v>
      </c>
      <c r="U39" s="916">
        <v>2009</v>
      </c>
      <c r="V39" s="916">
        <v>2010</v>
      </c>
      <c r="W39" s="919">
        <v>2011</v>
      </c>
      <c r="X39" s="1"/>
      <c r="Y39" s="1"/>
      <c r="Z39" s="1"/>
    </row>
    <row r="40" spans="1:26" ht="15.75" customHeight="1">
      <c r="A40" s="1"/>
      <c r="B40" s="956" t="s">
        <v>789</v>
      </c>
      <c r="C40" s="957">
        <f t="shared" ref="C40:W40" si="1">C28-C33</f>
        <v>37360203.75</v>
      </c>
      <c r="D40" s="957">
        <f t="shared" si="1"/>
        <v>38603774.0625</v>
      </c>
      <c r="E40" s="957">
        <f t="shared" si="1"/>
        <v>42166770</v>
      </c>
      <c r="F40" s="957">
        <f t="shared" si="1"/>
        <v>42505891.875</v>
      </c>
      <c r="G40" s="957">
        <f t="shared" si="1"/>
        <v>43467790.3125</v>
      </c>
      <c r="H40" s="957">
        <f t="shared" si="1"/>
        <v>43382453.4375</v>
      </c>
      <c r="I40" s="957">
        <f t="shared" si="1"/>
        <v>43788183.75</v>
      </c>
      <c r="J40" s="957">
        <f t="shared" si="1"/>
        <v>47487203.4375</v>
      </c>
      <c r="K40" s="957">
        <f t="shared" si="1"/>
        <v>48455269.6875</v>
      </c>
      <c r="L40" s="957">
        <f t="shared" si="1"/>
        <v>47948793.75</v>
      </c>
      <c r="M40" s="957">
        <f t="shared" si="1"/>
        <v>45995943.75</v>
      </c>
      <c r="N40" s="957">
        <f t="shared" si="1"/>
        <v>45261645</v>
      </c>
      <c r="O40" s="957">
        <f t="shared" si="1"/>
        <v>48978972.1875</v>
      </c>
      <c r="P40" s="957">
        <f t="shared" si="1"/>
        <v>48799471.875</v>
      </c>
      <c r="Q40" s="957">
        <f t="shared" si="1"/>
        <v>49370250</v>
      </c>
      <c r="R40" s="957">
        <f t="shared" si="1"/>
        <v>45897075</v>
      </c>
      <c r="S40" s="957">
        <f t="shared" si="1"/>
        <v>47060553.75</v>
      </c>
      <c r="T40" s="957">
        <f t="shared" si="1"/>
        <v>44400893.4375</v>
      </c>
      <c r="U40" s="957">
        <f t="shared" si="1"/>
        <v>41038905</v>
      </c>
      <c r="V40" s="957">
        <f t="shared" si="1"/>
        <v>40881811.875</v>
      </c>
      <c r="W40" s="957">
        <f t="shared" si="1"/>
        <v>39293706.5625</v>
      </c>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22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913" t="s">
        <v>790</v>
      </c>
      <c r="D43" s="955"/>
      <c r="E43" s="958"/>
      <c r="F43" s="959"/>
      <c r="G43" s="959"/>
      <c r="H43" s="959"/>
      <c r="I43" s="959"/>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255"/>
      <c r="C45" s="916">
        <v>1991</v>
      </c>
      <c r="D45" s="916">
        <v>1992</v>
      </c>
      <c r="E45" s="916">
        <v>1993</v>
      </c>
      <c r="F45" s="916">
        <v>1994</v>
      </c>
      <c r="G45" s="916">
        <v>1995</v>
      </c>
      <c r="H45" s="916">
        <v>1996</v>
      </c>
      <c r="I45" s="916">
        <v>1997</v>
      </c>
      <c r="J45" s="916">
        <v>1998</v>
      </c>
      <c r="K45" s="916">
        <v>1999</v>
      </c>
      <c r="L45" s="916">
        <v>2000</v>
      </c>
      <c r="M45" s="916">
        <v>2001</v>
      </c>
      <c r="N45" s="916">
        <v>2002</v>
      </c>
      <c r="O45" s="916">
        <v>2003</v>
      </c>
      <c r="P45" s="916">
        <v>2004</v>
      </c>
      <c r="Q45" s="916">
        <v>2005</v>
      </c>
      <c r="R45" s="916">
        <v>2006</v>
      </c>
      <c r="S45" s="916">
        <v>2007</v>
      </c>
      <c r="T45" s="917">
        <v>2008</v>
      </c>
      <c r="U45" s="916">
        <v>2009</v>
      </c>
      <c r="V45" s="916">
        <v>2010</v>
      </c>
      <c r="W45" s="919">
        <v>2011</v>
      </c>
      <c r="X45" s="1"/>
      <c r="Y45" s="1"/>
      <c r="Z45" s="1"/>
    </row>
    <row r="46" spans="1:26" ht="15.75" customHeight="1">
      <c r="A46" s="1"/>
      <c r="B46" s="84" t="s">
        <v>791</v>
      </c>
      <c r="C46" s="49">
        <v>20295448</v>
      </c>
      <c r="D46" s="960">
        <v>19762032</v>
      </c>
      <c r="E46" s="960">
        <v>21546122</v>
      </c>
      <c r="F46" s="960">
        <v>21666119</v>
      </c>
      <c r="G46" s="960">
        <v>22233807</v>
      </c>
      <c r="H46" s="960">
        <v>22985772</v>
      </c>
      <c r="I46" s="960">
        <v>21936662</v>
      </c>
      <c r="J46" s="960">
        <v>22406855</v>
      </c>
      <c r="K46" s="960">
        <v>23342423</v>
      </c>
      <c r="L46" s="49">
        <v>24294096</v>
      </c>
      <c r="M46" s="49">
        <v>25489053</v>
      </c>
      <c r="N46" s="49">
        <v>26671274</v>
      </c>
      <c r="O46" s="49">
        <v>27951978</v>
      </c>
      <c r="P46" s="49">
        <v>28439645</v>
      </c>
      <c r="Q46" s="49">
        <v>26905386</v>
      </c>
      <c r="R46" s="49">
        <v>28194802</v>
      </c>
      <c r="S46" s="924">
        <v>27144255</v>
      </c>
      <c r="T46" s="925">
        <v>26839241</v>
      </c>
      <c r="U46" s="49">
        <v>26944566</v>
      </c>
      <c r="V46" s="49">
        <v>28934074</v>
      </c>
      <c r="W46" s="67">
        <v>27296000</v>
      </c>
      <c r="X46" s="1"/>
      <c r="Y46" s="1"/>
      <c r="Z46" s="1"/>
    </row>
    <row r="47" spans="1:26" ht="15.75" customHeight="1">
      <c r="A47" s="1"/>
      <c r="B47" s="84" t="s">
        <v>792</v>
      </c>
      <c r="C47" s="49">
        <v>10667414</v>
      </c>
      <c r="D47" s="49">
        <v>10769686</v>
      </c>
      <c r="E47" s="49">
        <v>11316964</v>
      </c>
      <c r="F47" s="49">
        <v>13253588</v>
      </c>
      <c r="G47" s="49">
        <v>23096405</v>
      </c>
      <c r="H47" s="49">
        <v>23126094</v>
      </c>
      <c r="I47" s="49">
        <v>23418552</v>
      </c>
      <c r="J47" s="49">
        <v>24284167</v>
      </c>
      <c r="K47" s="49">
        <v>24988489</v>
      </c>
      <c r="L47" s="49">
        <v>26243614</v>
      </c>
      <c r="M47" s="49">
        <v>21044289</v>
      </c>
      <c r="N47" s="49">
        <v>16950347</v>
      </c>
      <c r="O47" s="49">
        <v>17264135</v>
      </c>
      <c r="P47" s="49">
        <v>17931771</v>
      </c>
      <c r="Q47" s="49">
        <v>29729030</v>
      </c>
      <c r="R47" s="49">
        <v>30691159</v>
      </c>
      <c r="S47" s="924">
        <v>30002993</v>
      </c>
      <c r="T47" s="925">
        <v>29755144</v>
      </c>
      <c r="U47" s="49">
        <v>29806001</v>
      </c>
      <c r="V47" s="49">
        <v>30771317</v>
      </c>
      <c r="W47" s="67">
        <v>30750000</v>
      </c>
      <c r="X47" s="1"/>
      <c r="Y47" s="1"/>
      <c r="Z47" s="1"/>
    </row>
    <row r="48" spans="1:26" ht="15.75" customHeight="1">
      <c r="A48" s="1"/>
      <c r="B48" s="84" t="s">
        <v>793</v>
      </c>
      <c r="C48" s="49">
        <v>19448114</v>
      </c>
      <c r="D48" s="49">
        <v>19768026</v>
      </c>
      <c r="E48" s="49">
        <v>20200630</v>
      </c>
      <c r="F48" s="49">
        <v>19037490</v>
      </c>
      <c r="G48" s="49">
        <v>10057219</v>
      </c>
      <c r="H48" s="49">
        <v>10098447</v>
      </c>
      <c r="I48" s="49">
        <v>10127852</v>
      </c>
      <c r="J48" s="49">
        <v>10343675</v>
      </c>
      <c r="K48" s="49">
        <v>9936115</v>
      </c>
      <c r="L48" s="49">
        <v>10176724</v>
      </c>
      <c r="M48" s="49">
        <v>20874507</v>
      </c>
      <c r="N48" s="49">
        <v>27175526</v>
      </c>
      <c r="O48" s="49">
        <v>21194572</v>
      </c>
      <c r="P48" s="49">
        <v>21516638</v>
      </c>
      <c r="Q48" s="49">
        <v>6057030</v>
      </c>
      <c r="R48" s="49">
        <v>5980358</v>
      </c>
      <c r="S48" s="924">
        <v>5649943</v>
      </c>
      <c r="T48" s="925">
        <v>5255976</v>
      </c>
      <c r="U48" s="49">
        <v>5285833</v>
      </c>
      <c r="V48" s="49">
        <v>5083115</v>
      </c>
      <c r="W48" s="67">
        <v>5007000</v>
      </c>
      <c r="X48" s="1"/>
      <c r="Y48" s="1"/>
      <c r="Z48" s="1"/>
    </row>
    <row r="49" spans="1:26" ht="15.75" customHeight="1">
      <c r="A49" s="1"/>
      <c r="B49" s="84" t="s">
        <v>794</v>
      </c>
      <c r="C49" s="49">
        <v>0</v>
      </c>
      <c r="D49" s="49">
        <v>0</v>
      </c>
      <c r="E49" s="49">
        <v>0</v>
      </c>
      <c r="F49" s="49">
        <v>0</v>
      </c>
      <c r="G49" s="49">
        <v>0</v>
      </c>
      <c r="H49" s="49">
        <v>0</v>
      </c>
      <c r="I49" s="49">
        <v>0</v>
      </c>
      <c r="J49" s="49">
        <v>0</v>
      </c>
      <c r="K49" s="49">
        <v>0</v>
      </c>
      <c r="L49" s="49">
        <v>0</v>
      </c>
      <c r="M49" s="49">
        <v>0</v>
      </c>
      <c r="N49" s="49">
        <v>461436</v>
      </c>
      <c r="O49" s="49">
        <v>481015</v>
      </c>
      <c r="P49" s="49">
        <v>477331</v>
      </c>
      <c r="Q49" s="49">
        <v>481697</v>
      </c>
      <c r="R49" s="49">
        <v>524341</v>
      </c>
      <c r="S49" s="924">
        <v>528586</v>
      </c>
      <c r="T49" s="925">
        <v>552743</v>
      </c>
      <c r="U49" s="793">
        <v>552743</v>
      </c>
      <c r="V49" s="49">
        <v>546992</v>
      </c>
      <c r="W49" s="67">
        <v>547000</v>
      </c>
      <c r="X49" s="1"/>
      <c r="Y49" s="1"/>
      <c r="Z49" s="1"/>
    </row>
    <row r="50" spans="1:26" ht="15.75" customHeight="1">
      <c r="A50" s="1"/>
      <c r="B50" s="938" t="s">
        <v>795</v>
      </c>
      <c r="C50" s="961">
        <v>696831</v>
      </c>
      <c r="D50" s="961">
        <v>689042</v>
      </c>
      <c r="E50" s="961">
        <v>808686</v>
      </c>
      <c r="F50" s="961">
        <v>794428</v>
      </c>
      <c r="G50" s="961">
        <v>770615</v>
      </c>
      <c r="H50" s="961">
        <v>787207</v>
      </c>
      <c r="I50" s="961">
        <v>781420</v>
      </c>
      <c r="J50" s="961">
        <v>798935</v>
      </c>
      <c r="K50" s="961">
        <v>819198</v>
      </c>
      <c r="L50" s="961">
        <v>925586</v>
      </c>
      <c r="M50" s="961">
        <v>972057</v>
      </c>
      <c r="N50" s="961">
        <v>0</v>
      </c>
      <c r="O50" s="961">
        <v>0</v>
      </c>
      <c r="P50" s="961">
        <v>0</v>
      </c>
      <c r="Q50" s="961">
        <v>0</v>
      </c>
      <c r="R50" s="961">
        <v>0</v>
      </c>
      <c r="S50" s="940">
        <v>0</v>
      </c>
      <c r="T50" s="941">
        <v>0</v>
      </c>
      <c r="U50" s="793">
        <v>0</v>
      </c>
      <c r="V50" s="793">
        <v>0</v>
      </c>
      <c r="W50" s="67">
        <v>0</v>
      </c>
      <c r="X50" s="1"/>
      <c r="Y50" s="1"/>
      <c r="Z50" s="1"/>
    </row>
    <row r="51" spans="1:26" ht="15.75" customHeight="1">
      <c r="A51" s="1"/>
      <c r="B51" s="962" t="s">
        <v>796</v>
      </c>
      <c r="C51" s="963">
        <v>51107809</v>
      </c>
      <c r="D51" s="964">
        <v>50988788</v>
      </c>
      <c r="E51" s="964">
        <v>53872404</v>
      </c>
      <c r="F51" s="964">
        <v>54751623</v>
      </c>
      <c r="G51" s="964">
        <v>56158046</v>
      </c>
      <c r="H51" s="964">
        <v>56997520</v>
      </c>
      <c r="I51" s="964">
        <v>56264486</v>
      </c>
      <c r="J51" s="964">
        <v>57833638</v>
      </c>
      <c r="K51" s="964">
        <v>59086225</v>
      </c>
      <c r="L51" s="963">
        <v>60677801</v>
      </c>
      <c r="M51" s="963">
        <v>61640020</v>
      </c>
      <c r="N51" s="963">
        <v>68379906</v>
      </c>
      <c r="O51" s="963">
        <v>71258583</v>
      </c>
      <c r="P51" s="963">
        <v>66891700</v>
      </c>
      <c r="Q51" s="963">
        <v>68365385</v>
      </c>
      <c r="R51" s="963">
        <v>63173143</v>
      </c>
      <c r="S51" s="965">
        <v>65390660</v>
      </c>
      <c r="T51" s="966">
        <v>63325777</v>
      </c>
      <c r="U51" s="967">
        <f t="shared" ref="U51:V51" si="2">SUM(U46:U50)</f>
        <v>62589143</v>
      </c>
      <c r="V51" s="967">
        <f t="shared" si="2"/>
        <v>65335498</v>
      </c>
      <c r="W51" s="968">
        <v>63600000</v>
      </c>
      <c r="X51" s="1"/>
      <c r="Y51" s="1"/>
      <c r="Z51" s="1"/>
    </row>
    <row r="52" spans="1:26" ht="15.75" customHeight="1">
      <c r="A52" s="1"/>
      <c r="B52" s="969" t="s">
        <v>797</v>
      </c>
      <c r="C52" s="970">
        <f t="shared" ref="C52:W52" si="3">C51*1.0625</f>
        <v>54302047.0625</v>
      </c>
      <c r="D52" s="970">
        <f t="shared" si="3"/>
        <v>54175587.25</v>
      </c>
      <c r="E52" s="970">
        <f t="shared" si="3"/>
        <v>57239429.25</v>
      </c>
      <c r="F52" s="970">
        <f t="shared" si="3"/>
        <v>58173599.4375</v>
      </c>
      <c r="G52" s="970">
        <f t="shared" si="3"/>
        <v>59667923.875</v>
      </c>
      <c r="H52" s="970">
        <f t="shared" si="3"/>
        <v>60559865</v>
      </c>
      <c r="I52" s="970">
        <f t="shared" si="3"/>
        <v>59781016.375</v>
      </c>
      <c r="J52" s="970">
        <f t="shared" si="3"/>
        <v>61448240.375</v>
      </c>
      <c r="K52" s="970">
        <f t="shared" si="3"/>
        <v>62779114.0625</v>
      </c>
      <c r="L52" s="970">
        <f t="shared" si="3"/>
        <v>64470163.5625</v>
      </c>
      <c r="M52" s="970">
        <f t="shared" si="3"/>
        <v>65492521.25</v>
      </c>
      <c r="N52" s="970">
        <f t="shared" si="3"/>
        <v>72653650.125</v>
      </c>
      <c r="O52" s="970">
        <f t="shared" si="3"/>
        <v>75712244.4375</v>
      </c>
      <c r="P52" s="970">
        <f t="shared" si="3"/>
        <v>71072431.25</v>
      </c>
      <c r="Q52" s="970">
        <f t="shared" si="3"/>
        <v>72638221.5625</v>
      </c>
      <c r="R52" s="970">
        <f t="shared" si="3"/>
        <v>67121464.4375</v>
      </c>
      <c r="S52" s="970">
        <f t="shared" si="3"/>
        <v>69477576.25</v>
      </c>
      <c r="T52" s="970">
        <f t="shared" si="3"/>
        <v>67283638.0625</v>
      </c>
      <c r="U52" s="970">
        <f t="shared" si="3"/>
        <v>66500964.4375</v>
      </c>
      <c r="V52" s="970">
        <f t="shared" si="3"/>
        <v>69418966.625</v>
      </c>
      <c r="W52" s="971">
        <f t="shared" si="3"/>
        <v>67575000</v>
      </c>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913" t="s">
        <v>798</v>
      </c>
      <c r="D56" s="955"/>
      <c r="E56" s="955"/>
      <c r="F56" s="936"/>
      <c r="G56" s="915"/>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255"/>
      <c r="C58" s="916">
        <v>1991</v>
      </c>
      <c r="D58" s="916">
        <v>1992</v>
      </c>
      <c r="E58" s="916">
        <v>1993</v>
      </c>
      <c r="F58" s="916">
        <v>1994</v>
      </c>
      <c r="G58" s="916">
        <v>1995</v>
      </c>
      <c r="H58" s="916">
        <v>1996</v>
      </c>
      <c r="I58" s="916">
        <v>1997</v>
      </c>
      <c r="J58" s="916">
        <v>1998</v>
      </c>
      <c r="K58" s="916">
        <v>1999</v>
      </c>
      <c r="L58" s="916">
        <v>2000</v>
      </c>
      <c r="M58" s="916">
        <v>2001</v>
      </c>
      <c r="N58" s="916">
        <v>2002</v>
      </c>
      <c r="O58" s="916">
        <v>2003</v>
      </c>
      <c r="P58" s="916">
        <v>2004</v>
      </c>
      <c r="Q58" s="916">
        <v>2005</v>
      </c>
      <c r="R58" s="916">
        <v>2006</v>
      </c>
      <c r="S58" s="916">
        <v>2007</v>
      </c>
      <c r="T58" s="919">
        <v>2008</v>
      </c>
      <c r="U58" s="916">
        <v>2009</v>
      </c>
      <c r="V58" s="916">
        <v>2010</v>
      </c>
      <c r="W58" s="972">
        <v>2011</v>
      </c>
      <c r="X58" s="1"/>
      <c r="Y58" s="1"/>
      <c r="Z58" s="1"/>
    </row>
    <row r="59" spans="1:26" ht="30" customHeight="1">
      <c r="A59" s="1"/>
      <c r="B59" s="973" t="s">
        <v>799</v>
      </c>
      <c r="C59" s="974">
        <f t="shared" ref="C59:W59" si="4">C52-C28</f>
        <v>14451163.0625</v>
      </c>
      <c r="D59" s="974">
        <f t="shared" si="4"/>
        <v>12998228.25</v>
      </c>
      <c r="E59" s="974">
        <f t="shared" si="4"/>
        <v>12261541.25</v>
      </c>
      <c r="F59" s="974">
        <f t="shared" si="4"/>
        <v>12833981.4375</v>
      </c>
      <c r="G59" s="974">
        <f t="shared" si="4"/>
        <v>13302280.875</v>
      </c>
      <c r="H59" s="974">
        <f t="shared" si="4"/>
        <v>14285248</v>
      </c>
      <c r="I59" s="974">
        <f t="shared" si="4"/>
        <v>13073620.375</v>
      </c>
      <c r="J59" s="974">
        <f t="shared" si="4"/>
        <v>10795223.375</v>
      </c>
      <c r="K59" s="974">
        <f t="shared" si="4"/>
        <v>11093493.0625</v>
      </c>
      <c r="L59" s="974">
        <f t="shared" si="4"/>
        <v>13324783.5625</v>
      </c>
      <c r="M59" s="974">
        <f t="shared" si="4"/>
        <v>16430181.25</v>
      </c>
      <c r="N59" s="974">
        <f t="shared" si="4"/>
        <v>24374562.125</v>
      </c>
      <c r="O59" s="974">
        <f t="shared" si="4"/>
        <v>23468007.4375</v>
      </c>
      <c r="P59" s="974">
        <f t="shared" si="4"/>
        <v>19019661.25</v>
      </c>
      <c r="Q59" s="974">
        <f t="shared" si="4"/>
        <v>19976621.5625</v>
      </c>
      <c r="R59" s="974">
        <f t="shared" si="4"/>
        <v>18164584.4375</v>
      </c>
      <c r="S59" s="974">
        <f t="shared" si="4"/>
        <v>19279652.25</v>
      </c>
      <c r="T59" s="974">
        <f t="shared" si="4"/>
        <v>19922685.0625</v>
      </c>
      <c r="U59" s="974">
        <f t="shared" si="4"/>
        <v>22726132.4375</v>
      </c>
      <c r="V59" s="974">
        <f t="shared" si="4"/>
        <v>25811700.625</v>
      </c>
      <c r="W59" s="975">
        <f t="shared" si="4"/>
        <v>25661713</v>
      </c>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254"/>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976" t="s">
        <v>800</v>
      </c>
      <c r="F62" s="893"/>
      <c r="G62" s="893"/>
      <c r="H62" s="1"/>
      <c r="I62" s="1" t="s">
        <v>801</v>
      </c>
      <c r="J62" s="1"/>
      <c r="K62" s="1"/>
      <c r="L62" s="1"/>
      <c r="M62" s="1"/>
      <c r="N62" s="1"/>
      <c r="O62" s="1"/>
      <c r="P62" s="1"/>
      <c r="Q62" s="1"/>
      <c r="R62" s="1"/>
      <c r="S62" s="1"/>
      <c r="T62" s="1"/>
      <c r="U62" s="1"/>
      <c r="V62" s="1"/>
      <c r="W62" s="1"/>
      <c r="X62" s="1"/>
      <c r="Y62" s="1"/>
      <c r="Z62" s="1"/>
    </row>
    <row r="63" spans="1:26" ht="15.75" customHeight="1">
      <c r="A63" s="1"/>
      <c r="B63" s="1"/>
      <c r="C63" s="1"/>
      <c r="D63" s="1"/>
      <c r="E63" s="41"/>
      <c r="F63" s="1"/>
      <c r="G63" s="1"/>
      <c r="H63" s="1"/>
      <c r="I63" s="1" t="s">
        <v>263</v>
      </c>
      <c r="J63" s="1"/>
      <c r="K63" s="1"/>
      <c r="L63" s="1"/>
      <c r="M63" s="1"/>
      <c r="N63" s="1"/>
      <c r="O63" s="1"/>
      <c r="P63" s="1"/>
      <c r="Q63" s="1"/>
      <c r="R63" s="1"/>
      <c r="S63" s="1"/>
      <c r="T63" s="1"/>
      <c r="U63" s="1"/>
      <c r="V63" s="1"/>
      <c r="W63" s="1"/>
      <c r="X63" s="1"/>
      <c r="Y63" s="1"/>
      <c r="Z63" s="1"/>
    </row>
    <row r="64" spans="1:26" ht="15.75" customHeight="1">
      <c r="A64" s="1"/>
      <c r="B64" s="41" t="s">
        <v>802</v>
      </c>
      <c r="C64" s="1"/>
      <c r="D64" s="1"/>
      <c r="E64" s="41"/>
      <c r="F64" s="1"/>
      <c r="G64" s="1"/>
      <c r="H64" s="1"/>
      <c r="I64" s="254">
        <f>(B66*R59)/2000</f>
        <v>10408306.8826875</v>
      </c>
      <c r="J64" s="1"/>
      <c r="K64" s="1"/>
      <c r="L64" s="1"/>
      <c r="M64" s="1"/>
      <c r="N64" s="1"/>
      <c r="O64" s="1"/>
      <c r="P64" s="1"/>
      <c r="Q64" s="1"/>
      <c r="R64" s="1"/>
      <c r="S64" s="1"/>
      <c r="T64" s="1"/>
      <c r="U64" s="1"/>
      <c r="V64" s="1"/>
      <c r="W64" s="1"/>
      <c r="X64" s="1"/>
      <c r="Y64" s="1"/>
      <c r="Z64" s="1"/>
    </row>
    <row r="65" spans="1:26" ht="15.75" customHeight="1">
      <c r="A65" s="1"/>
      <c r="B65" s="1" t="s">
        <v>803</v>
      </c>
      <c r="C65" s="1"/>
      <c r="D65" s="1"/>
      <c r="E65" s="41"/>
      <c r="F65" s="1"/>
      <c r="G65" s="1"/>
      <c r="H65" s="1"/>
      <c r="I65" s="1"/>
      <c r="J65" s="1"/>
      <c r="K65" s="1"/>
      <c r="L65" s="1"/>
      <c r="M65" s="1"/>
      <c r="N65" s="1"/>
      <c r="O65" s="1"/>
      <c r="P65" s="1"/>
      <c r="Q65" s="1"/>
      <c r="R65" s="1"/>
      <c r="S65" s="1"/>
      <c r="T65" s="1"/>
      <c r="U65" s="1"/>
      <c r="V65" s="1"/>
      <c r="W65" s="1"/>
      <c r="X65" s="1"/>
      <c r="Y65" s="1"/>
      <c r="Z65" s="1"/>
    </row>
    <row r="66" spans="1:26" ht="15.75" customHeight="1">
      <c r="A66" s="1"/>
      <c r="B66" s="977">
        <v>1146</v>
      </c>
      <c r="C66" s="1"/>
      <c r="D66" s="1"/>
      <c r="E66" s="4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978" t="s">
        <v>348</v>
      </c>
      <c r="C68" s="979" t="s">
        <v>293</v>
      </c>
      <c r="D68" s="979" t="s">
        <v>779</v>
      </c>
      <c r="E68" s="979" t="s">
        <v>295</v>
      </c>
      <c r="F68" s="979" t="s">
        <v>495</v>
      </c>
      <c r="G68" s="979" t="s">
        <v>804</v>
      </c>
      <c r="H68" s="979" t="s">
        <v>805</v>
      </c>
      <c r="I68" s="979" t="s">
        <v>781</v>
      </c>
      <c r="J68" s="980" t="s">
        <v>806</v>
      </c>
      <c r="K68" s="981" t="s">
        <v>311</v>
      </c>
      <c r="L68" s="981" t="s">
        <v>807</v>
      </c>
      <c r="M68" s="981" t="s">
        <v>808</v>
      </c>
      <c r="N68" s="982" t="s">
        <v>809</v>
      </c>
      <c r="O68" s="1"/>
      <c r="P68" s="1"/>
      <c r="Q68" s="1"/>
      <c r="R68" s="1"/>
      <c r="S68" s="1"/>
      <c r="T68" s="1"/>
      <c r="U68" s="1"/>
      <c r="V68" s="1"/>
      <c r="W68" s="1"/>
      <c r="X68" s="1"/>
      <c r="Y68" s="1"/>
      <c r="Z68" s="1"/>
    </row>
    <row r="69" spans="1:26" ht="15.75" customHeight="1">
      <c r="A69" s="1"/>
      <c r="B69" s="84"/>
      <c r="C69" s="75"/>
      <c r="D69" s="75"/>
      <c r="E69" s="75"/>
      <c r="F69" s="75"/>
      <c r="G69" s="75"/>
      <c r="H69" s="75"/>
      <c r="I69" s="75"/>
      <c r="J69" s="920"/>
      <c r="K69" s="75"/>
      <c r="L69" s="75"/>
      <c r="M69" s="75"/>
      <c r="N69" s="321"/>
      <c r="O69" s="1"/>
      <c r="P69" s="1"/>
      <c r="Q69" s="1"/>
      <c r="R69" s="1"/>
      <c r="S69" s="1"/>
      <c r="T69" s="1"/>
      <c r="U69" s="1"/>
      <c r="V69" s="1"/>
      <c r="W69" s="1"/>
      <c r="X69" s="1"/>
      <c r="Y69" s="1"/>
      <c r="Z69" s="1"/>
    </row>
    <row r="70" spans="1:26" ht="30" customHeight="1">
      <c r="A70" s="1"/>
      <c r="B70" s="983" t="s">
        <v>810</v>
      </c>
      <c r="C70" s="984">
        <v>47.437899999999999</v>
      </c>
      <c r="D70" s="984">
        <v>34.840200000000003</v>
      </c>
      <c r="E70" s="984">
        <v>13.847899999999999</v>
      </c>
      <c r="F70" s="984">
        <v>0.38390000000000002</v>
      </c>
      <c r="G70" s="984">
        <v>1.0929</v>
      </c>
      <c r="H70" s="984">
        <v>0.53310000000000002</v>
      </c>
      <c r="I70" s="984">
        <v>1.4626999999999999</v>
      </c>
      <c r="J70" s="985">
        <v>0.25669999999999998</v>
      </c>
      <c r="K70" s="260">
        <v>2.0000000000000001E-4</v>
      </c>
      <c r="L70" s="260">
        <v>7.9000000000000008E-3</v>
      </c>
      <c r="M70" s="260">
        <v>0.13650000000000001</v>
      </c>
      <c r="N70" s="986">
        <f>SUM(C70:M70)</f>
        <v>99.999899999999997</v>
      </c>
      <c r="O70" s="1"/>
      <c r="P70" s="1"/>
      <c r="Q70" s="1"/>
      <c r="R70" s="1"/>
      <c r="S70" s="1"/>
      <c r="T70" s="1"/>
      <c r="U70" s="1"/>
      <c r="V70" s="1"/>
      <c r="W70" s="1"/>
      <c r="X70" s="1"/>
      <c r="Y70" s="1"/>
      <c r="Z70" s="1"/>
    </row>
    <row r="71" spans="1:26" ht="15.75" customHeight="1">
      <c r="A71" s="1"/>
      <c r="B71" s="84"/>
      <c r="C71" s="75"/>
      <c r="D71" s="75"/>
      <c r="E71" s="75"/>
      <c r="F71" s="75"/>
      <c r="G71" s="75"/>
      <c r="H71" s="75"/>
      <c r="I71" s="75"/>
      <c r="J71" s="920"/>
      <c r="K71" s="421"/>
      <c r="L71" s="421"/>
      <c r="M71" s="421"/>
      <c r="N71" s="987"/>
      <c r="O71" s="1"/>
      <c r="P71" s="1"/>
      <c r="Q71" s="1"/>
      <c r="R71" s="1"/>
      <c r="S71" s="1"/>
      <c r="T71" s="1"/>
      <c r="U71" s="1"/>
      <c r="V71" s="1"/>
      <c r="W71" s="1"/>
      <c r="X71" s="1"/>
      <c r="Y71" s="1"/>
      <c r="Z71" s="1"/>
    </row>
    <row r="72" spans="1:26" ht="15.75" customHeight="1">
      <c r="A72" s="1"/>
      <c r="B72" s="84" t="s">
        <v>811</v>
      </c>
      <c r="C72" s="49">
        <f t="shared" ref="C72:N72" si="5">(C70/100)*$W$59</f>
        <v>12173377.751227001</v>
      </c>
      <c r="D72" s="49">
        <f t="shared" si="5"/>
        <v>8940592.1326260008</v>
      </c>
      <c r="E72" s="49">
        <f t="shared" si="5"/>
        <v>3553608.3545269999</v>
      </c>
      <c r="F72" s="49">
        <f t="shared" si="5"/>
        <v>98515.316207000011</v>
      </c>
      <c r="G72" s="49">
        <f t="shared" si="5"/>
        <v>280456.86137699999</v>
      </c>
      <c r="H72" s="49">
        <f t="shared" si="5"/>
        <v>136802.592003</v>
      </c>
      <c r="I72" s="49">
        <f t="shared" si="5"/>
        <v>375353.87605099997</v>
      </c>
      <c r="J72" s="49">
        <f t="shared" si="5"/>
        <v>65873.617270999996</v>
      </c>
      <c r="K72" s="49">
        <f t="shared" si="5"/>
        <v>51.323425999999998</v>
      </c>
      <c r="L72" s="49">
        <f t="shared" si="5"/>
        <v>2027.2753270000003</v>
      </c>
      <c r="M72" s="49">
        <f t="shared" si="5"/>
        <v>35028.238245</v>
      </c>
      <c r="N72" s="49">
        <f t="shared" si="5"/>
        <v>25661687.338287</v>
      </c>
      <c r="O72" s="1"/>
      <c r="P72" s="1"/>
      <c r="Q72" s="1"/>
      <c r="R72" s="1"/>
      <c r="S72" s="1"/>
      <c r="T72" s="1"/>
      <c r="U72" s="1"/>
      <c r="V72" s="1"/>
      <c r="W72" s="1"/>
      <c r="X72" s="1"/>
      <c r="Y72" s="1"/>
      <c r="Z72" s="1"/>
    </row>
    <row r="73" spans="1:26" ht="15.75" customHeight="1">
      <c r="A73" s="1"/>
      <c r="B73" s="84"/>
      <c r="C73" s="75"/>
      <c r="D73" s="75"/>
      <c r="E73" s="75"/>
      <c r="F73" s="75"/>
      <c r="G73" s="75"/>
      <c r="H73" s="75"/>
      <c r="I73" s="75"/>
      <c r="J73" s="920"/>
      <c r="K73" s="421"/>
      <c r="L73" s="421"/>
      <c r="M73" s="421"/>
      <c r="N73" s="321"/>
      <c r="O73" s="1"/>
      <c r="P73" s="1"/>
      <c r="Q73" s="1"/>
      <c r="R73" s="1"/>
      <c r="S73" s="1"/>
      <c r="T73" s="1"/>
      <c r="U73" s="1"/>
      <c r="V73" s="1"/>
      <c r="W73" s="1"/>
      <c r="X73" s="1"/>
      <c r="Y73" s="1"/>
      <c r="Z73" s="1"/>
    </row>
    <row r="74" spans="1:26" ht="15.75" customHeight="1">
      <c r="A74" s="1"/>
      <c r="B74" s="84" t="s">
        <v>812</v>
      </c>
      <c r="C74" s="988">
        <v>0.94</v>
      </c>
      <c r="D74" s="989"/>
      <c r="E74" s="990">
        <v>0.44</v>
      </c>
      <c r="F74" s="990">
        <v>0.88599531833454104</v>
      </c>
      <c r="G74" s="989"/>
      <c r="H74" s="990">
        <v>1.52</v>
      </c>
      <c r="I74" s="989"/>
      <c r="J74" s="991">
        <v>0.11</v>
      </c>
      <c r="K74" s="992"/>
      <c r="L74" s="992"/>
      <c r="M74" s="992"/>
      <c r="N74" s="321"/>
      <c r="O74" s="1"/>
      <c r="P74" s="1"/>
      <c r="Q74" s="1"/>
      <c r="R74" s="1"/>
      <c r="S74" s="1"/>
      <c r="T74" s="1"/>
      <c r="U74" s="1"/>
      <c r="V74" s="1"/>
      <c r="W74" s="1"/>
      <c r="X74" s="1"/>
      <c r="Y74" s="1"/>
      <c r="Z74" s="1"/>
    </row>
    <row r="75" spans="1:26" ht="15.75" customHeight="1">
      <c r="A75" s="1"/>
      <c r="B75" s="84"/>
      <c r="C75" s="75"/>
      <c r="D75" s="75"/>
      <c r="E75" s="75"/>
      <c r="F75" s="75"/>
      <c r="G75" s="75"/>
      <c r="H75" s="75"/>
      <c r="I75" s="75"/>
      <c r="J75" s="920"/>
      <c r="K75" s="421"/>
      <c r="L75" s="421"/>
      <c r="M75" s="421"/>
      <c r="N75" s="321"/>
      <c r="O75" s="1"/>
      <c r="P75" s="1"/>
      <c r="Q75" s="1"/>
      <c r="R75" s="1"/>
      <c r="S75" s="1"/>
      <c r="T75" s="1"/>
      <c r="U75" s="1"/>
      <c r="V75" s="1"/>
      <c r="W75" s="1"/>
      <c r="X75" s="1"/>
      <c r="Y75" s="1"/>
      <c r="Z75" s="1"/>
    </row>
    <row r="76" spans="1:26" ht="15.75" customHeight="1">
      <c r="A76" s="1"/>
      <c r="B76" s="84" t="s">
        <v>813</v>
      </c>
      <c r="C76" s="49">
        <f>C72*C74</f>
        <v>11442975.086153381</v>
      </c>
      <c r="D76" s="989"/>
      <c r="E76" s="49">
        <f t="shared" ref="E76:F76" si="6">E72*E74</f>
        <v>1563587.67599188</v>
      </c>
      <c r="F76" s="49">
        <f t="shared" si="6"/>
        <v>87284.108943648942</v>
      </c>
      <c r="G76" s="989"/>
      <c r="H76" s="49">
        <f>H72*H74</f>
        <v>207939.93984455999</v>
      </c>
      <c r="I76" s="989"/>
      <c r="J76" s="993">
        <f>J72*J74</f>
        <v>7246.0978998099999</v>
      </c>
      <c r="K76" s="992"/>
      <c r="L76" s="992"/>
      <c r="M76" s="992"/>
      <c r="N76" s="994">
        <f>SUM(C76:M76)</f>
        <v>13309032.908833278</v>
      </c>
      <c r="O76" s="1"/>
      <c r="P76" s="1"/>
      <c r="Q76" s="1"/>
      <c r="R76" s="1"/>
      <c r="S76" s="1"/>
      <c r="T76" s="1"/>
      <c r="U76" s="1"/>
      <c r="V76" s="1"/>
      <c r="W76" s="1"/>
      <c r="X76" s="1"/>
      <c r="Y76" s="1"/>
      <c r="Z76" s="1"/>
    </row>
    <row r="77" spans="1:26" ht="15.75" customHeight="1">
      <c r="A77" s="1"/>
      <c r="B77" s="84"/>
      <c r="C77" s="75"/>
      <c r="D77" s="75"/>
      <c r="E77" s="75"/>
      <c r="F77" s="75"/>
      <c r="G77" s="75"/>
      <c r="H77" s="75"/>
      <c r="I77" s="75"/>
      <c r="J77" s="920"/>
      <c r="K77" s="421"/>
      <c r="L77" s="421"/>
      <c r="M77" s="421"/>
      <c r="N77" s="321"/>
      <c r="O77" s="1"/>
      <c r="P77" s="1"/>
      <c r="Q77" s="1"/>
      <c r="R77" s="1"/>
      <c r="S77" s="1"/>
      <c r="T77" s="1"/>
      <c r="U77" s="1"/>
      <c r="V77" s="1"/>
      <c r="W77" s="1"/>
      <c r="X77" s="1"/>
      <c r="Y77" s="1"/>
      <c r="Z77" s="1"/>
    </row>
    <row r="78" spans="1:26" ht="15.75" customHeight="1">
      <c r="A78" s="1"/>
      <c r="B78" s="938" t="s">
        <v>814</v>
      </c>
      <c r="C78" s="995">
        <f>C76/1000000</f>
        <v>11.44297508615338</v>
      </c>
      <c r="D78" s="996"/>
      <c r="E78" s="995">
        <f t="shared" ref="E78:F78" si="7">E76/1000000</f>
        <v>1.5635876759918801</v>
      </c>
      <c r="F78" s="995">
        <f t="shared" si="7"/>
        <v>8.7284108943648936E-2</v>
      </c>
      <c r="G78" s="996"/>
      <c r="H78" s="995">
        <f>H76/1000000</f>
        <v>0.20793993984456</v>
      </c>
      <c r="I78" s="996"/>
      <c r="J78" s="997">
        <f>J76/1000000</f>
        <v>7.2460978998099999E-3</v>
      </c>
      <c r="K78" s="992"/>
      <c r="L78" s="992"/>
      <c r="M78" s="992"/>
      <c r="N78" s="998">
        <f>SUM(C78:M78)</f>
        <v>13.309032908833277</v>
      </c>
      <c r="O78" s="1"/>
      <c r="P78" s="1"/>
      <c r="Q78" s="1"/>
      <c r="R78" s="1"/>
      <c r="S78" s="1"/>
      <c r="T78" s="1"/>
      <c r="U78" s="1"/>
      <c r="V78" s="1"/>
      <c r="W78" s="1"/>
      <c r="X78" s="1"/>
      <c r="Y78" s="1"/>
      <c r="Z78" s="1"/>
    </row>
    <row r="79" spans="1:26" ht="15.75" customHeight="1">
      <c r="A79" s="1"/>
      <c r="B79" s="38"/>
      <c r="C79" s="39"/>
      <c r="D79" s="39"/>
      <c r="E79" s="39"/>
      <c r="F79" s="39"/>
      <c r="G79" s="39"/>
      <c r="H79" s="39"/>
      <c r="I79" s="39"/>
      <c r="J79" s="39"/>
      <c r="K79" s="441"/>
      <c r="L79" s="441"/>
      <c r="M79" s="441"/>
      <c r="N79" s="56"/>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2244" t="s">
        <v>815</v>
      </c>
      <c r="F83" s="2243"/>
      <c r="G83" s="2243"/>
      <c r="H83" s="2243"/>
      <c r="I83" s="2243"/>
      <c r="J83" s="2243"/>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255"/>
      <c r="C85" s="916">
        <v>1991</v>
      </c>
      <c r="D85" s="916">
        <v>1992</v>
      </c>
      <c r="E85" s="916">
        <v>1993</v>
      </c>
      <c r="F85" s="916">
        <v>1994</v>
      </c>
      <c r="G85" s="916">
        <v>1995</v>
      </c>
      <c r="H85" s="916">
        <v>1996</v>
      </c>
      <c r="I85" s="916">
        <v>1997</v>
      </c>
      <c r="J85" s="916">
        <v>1998</v>
      </c>
      <c r="K85" s="916">
        <v>1999</v>
      </c>
      <c r="L85" s="916">
        <v>2000</v>
      </c>
      <c r="M85" s="916">
        <v>2001</v>
      </c>
      <c r="N85" s="916">
        <v>2002</v>
      </c>
      <c r="O85" s="916">
        <v>2003</v>
      </c>
      <c r="P85" s="916">
        <v>2004</v>
      </c>
      <c r="Q85" s="916">
        <v>2005</v>
      </c>
      <c r="R85" s="916">
        <v>2006</v>
      </c>
      <c r="S85" s="916">
        <v>2007</v>
      </c>
      <c r="T85" s="919">
        <v>2008</v>
      </c>
      <c r="U85" s="916">
        <v>2009</v>
      </c>
      <c r="V85" s="916">
        <v>2010</v>
      </c>
      <c r="W85" s="972">
        <v>2011</v>
      </c>
      <c r="X85" s="1"/>
      <c r="Y85" s="1"/>
      <c r="Z85" s="1"/>
    </row>
    <row r="86" spans="1:26" ht="30" customHeight="1">
      <c r="A86" s="1"/>
      <c r="B86" s="999" t="s">
        <v>799</v>
      </c>
      <c r="C86" s="1000">
        <f t="shared" ref="C86:W86" si="8">(C59*$B$66/2204.62)/1000000</f>
        <v>7.5119670825924647</v>
      </c>
      <c r="D86" s="1000">
        <f t="shared" si="8"/>
        <v>6.756706178162224</v>
      </c>
      <c r="E86" s="1000">
        <f t="shared" si="8"/>
        <v>6.3737634025364915</v>
      </c>
      <c r="F86" s="1000">
        <f t="shared" si="8"/>
        <v>6.6713278149408968</v>
      </c>
      <c r="G86" s="1000">
        <f t="shared" si="8"/>
        <v>6.9147580457176296</v>
      </c>
      <c r="H86" s="1000">
        <f t="shared" si="8"/>
        <v>7.4257215338697824</v>
      </c>
      <c r="I86" s="1000">
        <f t="shared" si="8"/>
        <v>6.7958963221552917</v>
      </c>
      <c r="J86" s="1000">
        <f t="shared" si="8"/>
        <v>5.6115457483602622</v>
      </c>
      <c r="K86" s="1000">
        <f t="shared" si="8"/>
        <v>5.7665915439508852</v>
      </c>
      <c r="L86" s="1000">
        <f t="shared" si="8"/>
        <v>6.9264553358968897</v>
      </c>
      <c r="M86" s="1000">
        <f t="shared" si="8"/>
        <v>8.5406953182407861</v>
      </c>
      <c r="N86" s="1000">
        <f t="shared" si="8"/>
        <v>12.670323318871279</v>
      </c>
      <c r="O86" s="1000">
        <f t="shared" si="8"/>
        <v>12.199080350978853</v>
      </c>
      <c r="P86" s="1000">
        <f t="shared" si="8"/>
        <v>9.8867522713664933</v>
      </c>
      <c r="Q86" s="1000">
        <f t="shared" si="8"/>
        <v>10.384196963932562</v>
      </c>
      <c r="R86" s="1001">
        <f t="shared" si="8"/>
        <v>9.4422684024344328</v>
      </c>
      <c r="S86" s="1000">
        <f t="shared" si="8"/>
        <v>10.021900136304669</v>
      </c>
      <c r="T86" s="1000">
        <f t="shared" si="8"/>
        <v>10.356159828734659</v>
      </c>
      <c r="U86" s="1001">
        <f t="shared" si="8"/>
        <v>11.813440762296905</v>
      </c>
      <c r="V86" s="1000">
        <f t="shared" si="8"/>
        <v>13.417373024035889</v>
      </c>
      <c r="W86" s="1002">
        <f t="shared" si="8"/>
        <v>13.339406835645146</v>
      </c>
      <c r="X86" s="1"/>
      <c r="Y86" s="1"/>
      <c r="Z86" s="1"/>
    </row>
    <row r="87" spans="1:26" ht="15.75" customHeight="1">
      <c r="A87" s="1"/>
      <c r="B87" s="1"/>
      <c r="C87" s="1"/>
      <c r="D87" s="1"/>
      <c r="E87" s="1"/>
      <c r="F87" s="1"/>
      <c r="G87" s="1"/>
      <c r="H87" s="1"/>
      <c r="I87" s="1"/>
      <c r="J87" s="1"/>
      <c r="K87" s="1"/>
      <c r="L87" s="1"/>
      <c r="M87" s="1"/>
      <c r="N87" s="1"/>
      <c r="O87" s="1"/>
      <c r="P87" s="1"/>
      <c r="Q87" s="1"/>
      <c r="R87" s="1003">
        <f>N78</f>
        <v>13.309032908833277</v>
      </c>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E83:J83"/>
  </mergeCells>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6.85546875" defaultRowHeight="15" customHeight="1"/>
  <cols>
    <col min="1" max="1" width="9.28515625" customWidth="1"/>
    <col min="2" max="2" width="15.42578125" customWidth="1"/>
    <col min="3" max="3" width="16.85546875" customWidth="1"/>
    <col min="4" max="4" width="19.140625" customWidth="1"/>
    <col min="5" max="5" width="16" customWidth="1"/>
    <col min="6" max="6" width="19.42578125" customWidth="1"/>
    <col min="7" max="7" width="15.140625" customWidth="1"/>
    <col min="8" max="13" width="9.28515625" customWidth="1"/>
    <col min="14" max="26" width="8" customWidth="1"/>
  </cols>
  <sheetData>
    <row r="1" spans="1:26" ht="14.4">
      <c r="A1" s="1" t="s">
        <v>943</v>
      </c>
      <c r="B1" s="403"/>
      <c r="C1" s="1"/>
      <c r="D1" s="1"/>
      <c r="E1" s="1"/>
      <c r="F1" s="1"/>
      <c r="G1" s="42"/>
      <c r="H1" s="1"/>
      <c r="I1" s="1"/>
      <c r="J1" s="1"/>
      <c r="K1" s="1"/>
      <c r="L1" s="1"/>
      <c r="M1" s="1"/>
      <c r="N1" s="1"/>
      <c r="O1" s="1"/>
      <c r="P1" s="1"/>
      <c r="Q1" s="1"/>
      <c r="R1" s="1"/>
      <c r="S1" s="1"/>
      <c r="T1" s="1"/>
      <c r="U1" s="1"/>
      <c r="V1" s="1"/>
      <c r="W1" s="1"/>
      <c r="X1" s="1"/>
      <c r="Y1" s="1"/>
      <c r="Z1" s="1"/>
    </row>
    <row r="2" spans="1:26" ht="123.75" customHeight="1">
      <c r="A2" s="1"/>
      <c r="B2" s="1"/>
      <c r="C2" s="1"/>
      <c r="D2" s="1"/>
      <c r="E2" s="1"/>
      <c r="F2" s="1"/>
      <c r="G2" s="1"/>
      <c r="H2" s="1"/>
      <c r="I2" s="1"/>
      <c r="J2" s="1"/>
      <c r="K2" s="1"/>
      <c r="L2" s="1"/>
      <c r="M2" s="1"/>
      <c r="N2" s="1"/>
      <c r="O2" s="1"/>
      <c r="P2" s="1"/>
      <c r="Q2" s="1"/>
      <c r="R2" s="1"/>
      <c r="S2" s="1"/>
      <c r="T2" s="1"/>
      <c r="U2" s="1"/>
      <c r="V2" s="1"/>
      <c r="W2" s="1"/>
      <c r="X2" s="1"/>
      <c r="Y2" s="1"/>
      <c r="Z2" s="1"/>
    </row>
    <row r="3" spans="1:26" ht="21" customHeight="1">
      <c r="A3" s="1"/>
      <c r="B3" s="1162" t="s">
        <v>944</v>
      </c>
      <c r="C3" s="1162"/>
      <c r="D3" s="1162"/>
      <c r="E3" s="1">
        <v>2011</v>
      </c>
      <c r="F3" s="1"/>
      <c r="G3" s="1"/>
      <c r="H3" s="1"/>
      <c r="I3" s="1"/>
      <c r="J3" s="1"/>
      <c r="K3" s="1"/>
      <c r="L3" s="1"/>
      <c r="M3" s="1"/>
      <c r="N3" s="1"/>
      <c r="O3" s="1"/>
      <c r="P3" s="1"/>
      <c r="Q3" s="1"/>
      <c r="R3" s="1"/>
      <c r="S3" s="1"/>
      <c r="T3" s="1"/>
      <c r="U3" s="1"/>
      <c r="V3" s="1"/>
      <c r="W3" s="1"/>
      <c r="X3" s="1"/>
      <c r="Y3" s="1"/>
      <c r="Z3" s="1"/>
    </row>
    <row r="4" spans="1:26" ht="14.4">
      <c r="A4" s="1"/>
      <c r="B4" s="1"/>
      <c r="C4" s="1"/>
      <c r="D4" s="404"/>
      <c r="E4" s="1"/>
      <c r="F4" s="1"/>
      <c r="G4" s="1"/>
      <c r="H4" s="1"/>
      <c r="I4" s="1"/>
      <c r="J4" s="1"/>
      <c r="K4" s="1"/>
      <c r="L4" s="1"/>
      <c r="M4" s="1"/>
      <c r="N4" s="1"/>
      <c r="O4" s="1"/>
      <c r="P4" s="1"/>
      <c r="Q4" s="1"/>
      <c r="R4" s="1"/>
      <c r="S4" s="1"/>
      <c r="T4" s="1"/>
      <c r="U4" s="1"/>
      <c r="V4" s="1"/>
      <c r="W4" s="1"/>
      <c r="X4" s="1"/>
      <c r="Y4" s="1"/>
      <c r="Z4" s="1"/>
    </row>
    <row r="5" spans="1:26" ht="14.4">
      <c r="A5" s="1"/>
      <c r="B5" s="1163"/>
      <c r="C5" s="802" t="s">
        <v>90</v>
      </c>
      <c r="D5" s="802" t="s">
        <v>881</v>
      </c>
      <c r="E5" s="802" t="s">
        <v>882</v>
      </c>
      <c r="F5" s="802" t="s">
        <v>118</v>
      </c>
      <c r="G5" s="803" t="s">
        <v>118</v>
      </c>
      <c r="H5" s="1"/>
      <c r="I5" s="2237" t="s">
        <v>1</v>
      </c>
      <c r="J5" s="2238"/>
      <c r="K5" s="46"/>
      <c r="L5" s="1"/>
      <c r="M5" s="46"/>
      <c r="N5" s="1"/>
      <c r="O5" s="1"/>
      <c r="P5" s="1"/>
      <c r="Q5" s="1"/>
      <c r="R5" s="1"/>
      <c r="S5" s="1"/>
      <c r="T5" s="1"/>
      <c r="U5" s="1"/>
      <c r="V5" s="1"/>
      <c r="W5" s="1"/>
      <c r="X5" s="1"/>
      <c r="Y5" s="1"/>
      <c r="Z5" s="1"/>
    </row>
    <row r="6" spans="1:26" ht="14.4">
      <c r="A6" s="1"/>
      <c r="B6" s="1164" t="s">
        <v>348</v>
      </c>
      <c r="C6" s="1165" t="s">
        <v>699</v>
      </c>
      <c r="D6" s="1165" t="s">
        <v>885</v>
      </c>
      <c r="E6" s="1165" t="s">
        <v>886</v>
      </c>
      <c r="F6" s="1165" t="s">
        <v>887</v>
      </c>
      <c r="G6" s="1166" t="s">
        <v>945</v>
      </c>
      <c r="H6" s="46"/>
      <c r="I6" s="52"/>
      <c r="J6" s="52"/>
      <c r="K6" s="46"/>
      <c r="L6" s="1"/>
      <c r="M6" s="46"/>
      <c r="N6" s="1"/>
      <c r="O6" s="1"/>
      <c r="P6" s="1"/>
      <c r="Q6" s="1"/>
      <c r="R6" s="1"/>
      <c r="S6" s="1"/>
      <c r="T6" s="1"/>
      <c r="U6" s="1"/>
      <c r="V6" s="1"/>
      <c r="W6" s="1"/>
      <c r="X6" s="1"/>
      <c r="Y6" s="1"/>
      <c r="Z6" s="1"/>
    </row>
    <row r="7" spans="1:26" ht="14.4">
      <c r="A7" s="1"/>
      <c r="B7" s="376" t="s">
        <v>293</v>
      </c>
      <c r="C7" s="49">
        <v>0</v>
      </c>
      <c r="D7" s="793">
        <v>56.672727272727272</v>
      </c>
      <c r="E7" s="1167">
        <v>1</v>
      </c>
      <c r="F7" s="71">
        <f t="shared" ref="F7:F11" si="0">C7*1000*D7*E7/2000</f>
        <v>0</v>
      </c>
      <c r="G7" s="1168">
        <f t="shared" ref="G7:G11" si="1">F7*(44/12)*0.90718474/1000000</f>
        <v>0</v>
      </c>
      <c r="H7" s="50"/>
      <c r="I7" s="53" t="s">
        <v>80</v>
      </c>
      <c r="J7" s="54">
        <f>Summary!E4</f>
        <v>1</v>
      </c>
      <c r="K7" s="1086"/>
      <c r="L7" s="50"/>
      <c r="M7" s="1086"/>
      <c r="N7" s="1"/>
      <c r="O7" s="1"/>
      <c r="P7" s="1"/>
      <c r="Q7" s="1"/>
      <c r="R7" s="1"/>
      <c r="S7" s="1"/>
      <c r="T7" s="1"/>
      <c r="U7" s="1"/>
      <c r="V7" s="1"/>
      <c r="W7" s="1"/>
      <c r="X7" s="1"/>
      <c r="Y7" s="1"/>
      <c r="Z7" s="1"/>
    </row>
    <row r="8" spans="1:26" ht="14.4">
      <c r="A8" s="1"/>
      <c r="B8" s="376" t="s">
        <v>703</v>
      </c>
      <c r="C8" s="49">
        <v>15596</v>
      </c>
      <c r="D8" s="793">
        <v>44.43</v>
      </c>
      <c r="E8" s="1167">
        <v>1</v>
      </c>
      <c r="F8" s="71">
        <f t="shared" si="0"/>
        <v>346465.14</v>
      </c>
      <c r="G8" s="1168">
        <f t="shared" si="1"/>
        <v>1.1524622558165332</v>
      </c>
      <c r="H8" s="50"/>
      <c r="I8" s="53" t="s">
        <v>82</v>
      </c>
      <c r="J8" s="54">
        <f>Summary!E5</f>
        <v>28</v>
      </c>
      <c r="K8" s="1086"/>
      <c r="L8" s="50"/>
      <c r="M8" s="1086"/>
      <c r="N8" s="1"/>
      <c r="O8" s="1"/>
      <c r="P8" s="1"/>
      <c r="Q8" s="1"/>
      <c r="R8" s="1"/>
      <c r="S8" s="1"/>
      <c r="T8" s="1"/>
      <c r="U8" s="1"/>
      <c r="V8" s="1"/>
      <c r="W8" s="1"/>
      <c r="X8" s="1"/>
      <c r="Y8" s="1"/>
      <c r="Z8" s="1"/>
    </row>
    <row r="9" spans="1:26" ht="14.4">
      <c r="A9" s="1"/>
      <c r="B9" s="376" t="s">
        <v>946</v>
      </c>
      <c r="C9" s="49">
        <v>436</v>
      </c>
      <c r="D9" s="793">
        <v>43.97</v>
      </c>
      <c r="E9" s="1167">
        <v>1</v>
      </c>
      <c r="F9" s="71">
        <f t="shared" si="0"/>
        <v>9585.4599999999991</v>
      </c>
      <c r="G9" s="1168">
        <f t="shared" si="1"/>
        <v>3.1884537805561462E-2</v>
      </c>
      <c r="H9" s="50"/>
      <c r="I9" s="53" t="s">
        <v>83</v>
      </c>
      <c r="J9" s="54">
        <f>Summary!E6</f>
        <v>265</v>
      </c>
      <c r="K9" s="1086"/>
      <c r="L9" s="50"/>
      <c r="M9" s="1086"/>
      <c r="N9" s="1"/>
      <c r="O9" s="1"/>
      <c r="P9" s="1"/>
      <c r="Q9" s="1"/>
      <c r="R9" s="1"/>
      <c r="S9" s="1"/>
      <c r="T9" s="1"/>
      <c r="U9" s="1"/>
      <c r="V9" s="1"/>
      <c r="W9" s="1"/>
      <c r="X9" s="1"/>
      <c r="Y9" s="1"/>
      <c r="Z9" s="1"/>
    </row>
    <row r="10" spans="1:26" ht="14.4">
      <c r="A10" s="1"/>
      <c r="B10" s="376" t="s">
        <v>909</v>
      </c>
      <c r="C10" s="49">
        <v>8139</v>
      </c>
      <c r="D10" s="793">
        <v>37.110283550140529</v>
      </c>
      <c r="E10" s="1167">
        <v>1</v>
      </c>
      <c r="F10" s="71">
        <f t="shared" si="0"/>
        <v>151020.29890729691</v>
      </c>
      <c r="G10" s="1168">
        <f t="shared" si="1"/>
        <v>0.50234547219610759</v>
      </c>
      <c r="H10" s="50"/>
      <c r="I10" s="53" t="s">
        <v>85</v>
      </c>
      <c r="J10" s="54">
        <f>Summary!E7</f>
        <v>23500</v>
      </c>
      <c r="K10" s="1086"/>
      <c r="L10" s="50"/>
      <c r="M10" s="1086"/>
      <c r="N10" s="1"/>
      <c r="O10" s="1"/>
      <c r="P10" s="1"/>
      <c r="Q10" s="1"/>
      <c r="R10" s="1"/>
      <c r="S10" s="1"/>
      <c r="T10" s="1"/>
      <c r="U10" s="1"/>
      <c r="V10" s="1"/>
      <c r="W10" s="1"/>
      <c r="X10" s="1"/>
      <c r="Y10" s="1"/>
      <c r="Z10" s="1"/>
    </row>
    <row r="11" spans="1:26" ht="14.4">
      <c r="A11" s="1"/>
      <c r="B11" s="376" t="s">
        <v>295</v>
      </c>
      <c r="C11" s="49">
        <v>79993</v>
      </c>
      <c r="D11" s="793">
        <v>31.87</v>
      </c>
      <c r="E11" s="1167">
        <v>1</v>
      </c>
      <c r="F11" s="71">
        <f t="shared" si="0"/>
        <v>1274688.4550000001</v>
      </c>
      <c r="G11" s="1168">
        <f t="shared" si="1"/>
        <v>4.2400523536439811</v>
      </c>
      <c r="H11" s="50"/>
      <c r="I11" s="53"/>
      <c r="J11" s="54"/>
      <c r="K11" s="1086"/>
      <c r="L11" s="50"/>
      <c r="M11" s="1086"/>
      <c r="N11" s="1"/>
      <c r="O11" s="1"/>
      <c r="P11" s="1"/>
      <c r="Q11" s="1"/>
      <c r="R11" s="1"/>
      <c r="S11" s="1"/>
      <c r="T11" s="1"/>
      <c r="U11" s="1"/>
      <c r="V11" s="1"/>
      <c r="W11" s="1"/>
      <c r="X11" s="1"/>
      <c r="Y11" s="1"/>
      <c r="Z11" s="1"/>
    </row>
    <row r="12" spans="1:26" ht="14.4">
      <c r="A12" s="1"/>
      <c r="B12" s="301"/>
      <c r="C12" s="388"/>
      <c r="D12" s="388"/>
      <c r="E12" s="677" t="s">
        <v>177</v>
      </c>
      <c r="F12" s="1169"/>
      <c r="G12" s="1170">
        <f>SUM(G7:G11)</f>
        <v>5.9267446194621831</v>
      </c>
      <c r="H12" s="1"/>
      <c r="I12" s="1"/>
      <c r="J12" s="1"/>
      <c r="K12" s="1"/>
      <c r="L12" s="1"/>
      <c r="M12" s="1"/>
      <c r="N12" s="1"/>
      <c r="O12" s="1"/>
      <c r="P12" s="1"/>
      <c r="Q12" s="1"/>
      <c r="R12" s="1"/>
      <c r="S12" s="1"/>
      <c r="T12" s="1"/>
      <c r="U12" s="1"/>
      <c r="V12" s="1"/>
      <c r="W12" s="1"/>
      <c r="X12" s="1"/>
      <c r="Y12" s="1"/>
      <c r="Z12" s="1"/>
    </row>
    <row r="13" spans="1:26" ht="14.4">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8" customHeight="1">
      <c r="A14" s="1"/>
      <c r="B14" s="1162" t="s">
        <v>947</v>
      </c>
      <c r="C14" s="1162"/>
      <c r="D14" s="1171"/>
      <c r="E14" s="1">
        <v>2011</v>
      </c>
      <c r="F14" s="1"/>
      <c r="G14" s="1"/>
      <c r="H14" s="1"/>
      <c r="I14" s="1"/>
      <c r="J14" s="1"/>
      <c r="K14" s="1"/>
      <c r="L14" s="1"/>
      <c r="M14" s="1"/>
      <c r="N14" s="1"/>
      <c r="O14" s="1"/>
      <c r="P14" s="1"/>
      <c r="Q14" s="1"/>
      <c r="R14" s="1"/>
      <c r="S14" s="1"/>
      <c r="T14" s="1"/>
      <c r="U14" s="1"/>
      <c r="V14" s="1"/>
      <c r="W14" s="1"/>
      <c r="X14" s="1"/>
      <c r="Y14" s="1"/>
      <c r="Z14" s="1"/>
    </row>
    <row r="15" spans="1:26" ht="14.4">
      <c r="A15" s="1"/>
      <c r="B15" s="1"/>
      <c r="C15" s="1"/>
      <c r="D15" s="404"/>
      <c r="E15" s="1"/>
      <c r="F15" s="1"/>
      <c r="G15" s="1"/>
      <c r="H15" s="1"/>
      <c r="I15" s="1"/>
      <c r="J15" s="1"/>
      <c r="K15" s="1"/>
      <c r="L15" s="1"/>
      <c r="M15" s="1"/>
      <c r="N15" s="1"/>
      <c r="O15" s="1"/>
      <c r="P15" s="1"/>
      <c r="Q15" s="1"/>
      <c r="R15" s="1"/>
      <c r="S15" s="1"/>
      <c r="T15" s="1"/>
      <c r="U15" s="1"/>
      <c r="V15" s="1"/>
      <c r="W15" s="1"/>
      <c r="X15" s="1"/>
      <c r="Y15" s="1"/>
      <c r="Z15" s="1"/>
    </row>
    <row r="16" spans="1:26" ht="14.4">
      <c r="A16" s="1"/>
      <c r="B16" s="817"/>
      <c r="C16" s="819" t="s">
        <v>90</v>
      </c>
      <c r="D16" s="819" t="s">
        <v>881</v>
      </c>
      <c r="E16" s="819" t="s">
        <v>118</v>
      </c>
      <c r="F16" s="819" t="s">
        <v>698</v>
      </c>
      <c r="G16" s="820" t="s">
        <v>118</v>
      </c>
      <c r="H16" s="46"/>
      <c r="I16" s="1"/>
      <c r="J16" s="1"/>
      <c r="K16" s="46"/>
      <c r="L16" s="1"/>
      <c r="M16" s="46"/>
      <c r="N16" s="1"/>
      <c r="O16" s="1"/>
      <c r="P16" s="1"/>
      <c r="Q16" s="1"/>
      <c r="R16" s="1"/>
      <c r="S16" s="1"/>
      <c r="T16" s="1"/>
      <c r="U16" s="1"/>
      <c r="V16" s="1"/>
      <c r="W16" s="1"/>
      <c r="X16" s="1"/>
      <c r="Y16" s="1"/>
      <c r="Z16" s="1"/>
    </row>
    <row r="17" spans="1:26" ht="14.4">
      <c r="A17" s="1"/>
      <c r="B17" s="269" t="s">
        <v>348</v>
      </c>
      <c r="C17" s="46" t="s">
        <v>699</v>
      </c>
      <c r="D17" s="46" t="s">
        <v>948</v>
      </c>
      <c r="E17" s="46" t="s">
        <v>949</v>
      </c>
      <c r="F17" s="46"/>
      <c r="G17" s="1172" t="s">
        <v>950</v>
      </c>
      <c r="H17" s="46"/>
      <c r="I17" s="1"/>
      <c r="J17" s="46"/>
      <c r="K17" s="46"/>
      <c r="L17" s="1"/>
      <c r="M17" s="46"/>
      <c r="N17" s="1"/>
      <c r="O17" s="1"/>
      <c r="P17" s="1"/>
      <c r="Q17" s="1"/>
      <c r="R17" s="1"/>
      <c r="S17" s="1"/>
      <c r="T17" s="1"/>
      <c r="U17" s="1"/>
      <c r="V17" s="1"/>
      <c r="W17" s="1"/>
      <c r="X17" s="1"/>
      <c r="Y17" s="1"/>
      <c r="Z17" s="1"/>
    </row>
    <row r="18" spans="1:26" ht="14.4">
      <c r="A18" s="1"/>
      <c r="B18" s="376" t="s">
        <v>293</v>
      </c>
      <c r="C18" s="49">
        <v>0</v>
      </c>
      <c r="D18" s="1173">
        <v>1.5034545899835E-3</v>
      </c>
      <c r="E18" s="391">
        <f t="shared" ref="E18:E23" si="2">C18*D18</f>
        <v>0</v>
      </c>
      <c r="F18" s="49">
        <f t="shared" ref="F18:F23" si="3">$J$9</f>
        <v>265</v>
      </c>
      <c r="G18" s="1174">
        <f t="shared" ref="G18:G23" si="4">E18*F18/1000000</f>
        <v>0</v>
      </c>
      <c r="H18" s="1175"/>
      <c r="I18" s="1"/>
      <c r="J18" s="50"/>
      <c r="K18" s="1176"/>
      <c r="L18" s="50"/>
      <c r="M18" s="1176"/>
      <c r="N18" s="1"/>
      <c r="O18" s="1"/>
      <c r="P18" s="1"/>
      <c r="Q18" s="1"/>
      <c r="R18" s="1"/>
      <c r="S18" s="1"/>
      <c r="T18" s="1"/>
      <c r="U18" s="1"/>
      <c r="V18" s="1"/>
      <c r="W18" s="1"/>
      <c r="X18" s="1"/>
      <c r="Y18" s="1"/>
      <c r="Z18" s="1"/>
    </row>
    <row r="19" spans="1:26" ht="14.4">
      <c r="A19" s="1"/>
      <c r="B19" s="376" t="s">
        <v>703</v>
      </c>
      <c r="C19" s="49">
        <v>15596</v>
      </c>
      <c r="D19" s="1173">
        <v>6.0138183599339984E-4</v>
      </c>
      <c r="E19" s="391">
        <f t="shared" si="2"/>
        <v>9.3791511141530641</v>
      </c>
      <c r="F19" s="49">
        <f t="shared" si="3"/>
        <v>265</v>
      </c>
      <c r="G19" s="1174">
        <f t="shared" si="4"/>
        <v>2.485475045250562E-3</v>
      </c>
      <c r="H19" s="1175"/>
      <c r="I19" s="1"/>
      <c r="J19" s="50"/>
      <c r="K19" s="1176"/>
      <c r="L19" s="50"/>
      <c r="M19" s="1176"/>
      <c r="N19" s="1"/>
      <c r="O19" s="1"/>
      <c r="P19" s="1"/>
      <c r="Q19" s="1"/>
      <c r="R19" s="1"/>
      <c r="S19" s="1"/>
      <c r="T19" s="1"/>
      <c r="U19" s="1"/>
      <c r="V19" s="1"/>
      <c r="W19" s="1"/>
      <c r="X19" s="1"/>
      <c r="Y19" s="1"/>
      <c r="Z19" s="1"/>
    </row>
    <row r="20" spans="1:26" ht="14.4">
      <c r="A20" s="1"/>
      <c r="B20" s="376" t="s">
        <v>946</v>
      </c>
      <c r="C20" s="49">
        <v>436</v>
      </c>
      <c r="D20" s="1173">
        <v>6.0138183599339984E-4</v>
      </c>
      <c r="E20" s="391">
        <f t="shared" si="2"/>
        <v>0.26220248049312234</v>
      </c>
      <c r="F20" s="49">
        <f t="shared" si="3"/>
        <v>265</v>
      </c>
      <c r="G20" s="1174">
        <f t="shared" si="4"/>
        <v>6.9483657330677423E-5</v>
      </c>
      <c r="H20" s="1175"/>
      <c r="I20" s="1"/>
      <c r="J20" s="50"/>
      <c r="K20" s="1176"/>
      <c r="L20" s="50"/>
      <c r="M20" s="1176"/>
      <c r="N20" s="1"/>
      <c r="O20" s="1"/>
      <c r="P20" s="1"/>
      <c r="Q20" s="1"/>
      <c r="R20" s="1"/>
      <c r="S20" s="1"/>
      <c r="T20" s="1"/>
      <c r="U20" s="1"/>
      <c r="V20" s="1"/>
      <c r="W20" s="1"/>
      <c r="X20" s="1"/>
      <c r="Y20" s="1"/>
      <c r="Z20" s="1"/>
    </row>
    <row r="21" spans="1:26" ht="15.75" customHeight="1">
      <c r="A21" s="1"/>
      <c r="B21" s="376" t="s">
        <v>909</v>
      </c>
      <c r="C21" s="49">
        <v>8139</v>
      </c>
      <c r="D21" s="1173">
        <v>6.0138183599339984E-4</v>
      </c>
      <c r="E21" s="391">
        <f t="shared" si="2"/>
        <v>4.8946467631502815</v>
      </c>
      <c r="F21" s="49">
        <f t="shared" si="3"/>
        <v>265</v>
      </c>
      <c r="G21" s="1174">
        <f t="shared" si="4"/>
        <v>1.2970813922348245E-3</v>
      </c>
      <c r="H21" s="1175"/>
      <c r="I21" s="1"/>
      <c r="J21" s="50"/>
      <c r="K21" s="1176"/>
      <c r="L21" s="50"/>
      <c r="M21" s="1176"/>
      <c r="N21" s="1"/>
      <c r="O21" s="1"/>
      <c r="P21" s="1"/>
      <c r="Q21" s="1"/>
      <c r="R21" s="1"/>
      <c r="S21" s="1"/>
      <c r="T21" s="1"/>
      <c r="U21" s="1"/>
      <c r="V21" s="1"/>
      <c r="W21" s="1"/>
      <c r="X21" s="1"/>
      <c r="Y21" s="1"/>
      <c r="Z21" s="1"/>
    </row>
    <row r="22" spans="1:26" ht="15.75" customHeight="1">
      <c r="A22" s="1"/>
      <c r="B22" s="376" t="s">
        <v>295</v>
      </c>
      <c r="C22" s="49">
        <v>79993</v>
      </c>
      <c r="D22" s="1173">
        <v>9.4955026735800017E-5</v>
      </c>
      <c r="E22" s="391">
        <f t="shared" si="2"/>
        <v>7.5957374536768505</v>
      </c>
      <c r="F22" s="49">
        <f t="shared" si="3"/>
        <v>265</v>
      </c>
      <c r="G22" s="1174">
        <f t="shared" si="4"/>
        <v>2.0128704252243652E-3</v>
      </c>
      <c r="H22" s="1175"/>
      <c r="I22" s="1"/>
      <c r="J22" s="50"/>
      <c r="K22" s="1176"/>
      <c r="L22" s="50"/>
      <c r="M22" s="1176"/>
      <c r="N22" s="1"/>
      <c r="O22" s="1"/>
      <c r="P22" s="1"/>
      <c r="Q22" s="1"/>
      <c r="R22" s="1"/>
      <c r="S22" s="1"/>
      <c r="T22" s="1"/>
      <c r="U22" s="1"/>
      <c r="V22" s="1"/>
      <c r="W22" s="1"/>
      <c r="X22" s="1"/>
      <c r="Y22" s="1"/>
      <c r="Z22" s="1"/>
    </row>
    <row r="23" spans="1:26" ht="15.75" customHeight="1">
      <c r="A23" s="1"/>
      <c r="B23" s="379" t="s">
        <v>808</v>
      </c>
      <c r="C23" s="961">
        <v>8913</v>
      </c>
      <c r="D23" s="1177">
        <v>3.7982010694320003E-3</v>
      </c>
      <c r="E23" s="1178">
        <f t="shared" si="2"/>
        <v>33.853366131847416</v>
      </c>
      <c r="F23" s="961">
        <f t="shared" si="3"/>
        <v>265</v>
      </c>
      <c r="G23" s="1179">
        <f t="shared" si="4"/>
        <v>8.9711420249395657E-3</v>
      </c>
      <c r="H23" s="1175"/>
      <c r="I23" s="1"/>
      <c r="J23" s="50"/>
      <c r="K23" s="1176"/>
      <c r="L23" s="50"/>
      <c r="M23" s="1176"/>
      <c r="N23" s="1"/>
      <c r="O23" s="1"/>
      <c r="P23" s="1"/>
      <c r="Q23" s="1"/>
      <c r="R23" s="1"/>
      <c r="S23" s="1"/>
      <c r="T23" s="1"/>
      <c r="U23" s="1"/>
      <c r="V23" s="1"/>
      <c r="W23" s="1"/>
      <c r="X23" s="1"/>
      <c r="Y23" s="1"/>
      <c r="Z23" s="1"/>
    </row>
    <row r="24" spans="1:26" ht="15.75" customHeight="1">
      <c r="A24" s="1"/>
      <c r="B24" s="1180"/>
      <c r="C24" s="1169"/>
      <c r="D24" s="1169"/>
      <c r="E24" s="1169"/>
      <c r="F24" s="1181" t="s">
        <v>177</v>
      </c>
      <c r="G24" s="1182">
        <f>SUM(G18:G23)</f>
        <v>1.4836052544979994E-2</v>
      </c>
      <c r="H24" s="1"/>
      <c r="I24" s="46"/>
      <c r="J24" s="50"/>
      <c r="K24" s="1183"/>
      <c r="L24" s="50"/>
      <c r="M24" s="1184"/>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21" customHeight="1">
      <c r="A27" s="1"/>
      <c r="B27" s="1162" t="s">
        <v>951</v>
      </c>
      <c r="C27" s="1162"/>
      <c r="D27" s="1171"/>
      <c r="E27" s="1">
        <v>2011</v>
      </c>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404"/>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817"/>
      <c r="C29" s="819" t="s">
        <v>90</v>
      </c>
      <c r="D29" s="819" t="s">
        <v>881</v>
      </c>
      <c r="E29" s="819" t="s">
        <v>118</v>
      </c>
      <c r="F29" s="819" t="s">
        <v>698</v>
      </c>
      <c r="G29" s="820" t="s">
        <v>118</v>
      </c>
      <c r="H29" s="46"/>
      <c r="I29" s="1"/>
      <c r="J29" s="1"/>
      <c r="K29" s="46"/>
      <c r="L29" s="1"/>
      <c r="M29" s="1"/>
      <c r="N29" s="1"/>
      <c r="O29" s="1"/>
      <c r="P29" s="1"/>
      <c r="Q29" s="1"/>
      <c r="R29" s="1"/>
      <c r="S29" s="1"/>
      <c r="T29" s="1"/>
      <c r="U29" s="1"/>
      <c r="V29" s="1"/>
      <c r="W29" s="1"/>
      <c r="X29" s="1"/>
      <c r="Y29" s="1"/>
      <c r="Z29" s="1"/>
    </row>
    <row r="30" spans="1:26" ht="15.75" customHeight="1">
      <c r="A30" s="1"/>
      <c r="B30" s="269" t="s">
        <v>348</v>
      </c>
      <c r="C30" s="46" t="s">
        <v>699</v>
      </c>
      <c r="D30" s="46" t="s">
        <v>952</v>
      </c>
      <c r="E30" s="46" t="s">
        <v>953</v>
      </c>
      <c r="F30" s="46"/>
      <c r="G30" s="1172" t="s">
        <v>954</v>
      </c>
      <c r="H30" s="46"/>
      <c r="I30" s="1"/>
      <c r="J30" s="46"/>
      <c r="K30" s="46"/>
      <c r="L30" s="1"/>
      <c r="M30" s="1"/>
      <c r="N30" s="1"/>
      <c r="O30" s="1"/>
      <c r="P30" s="1"/>
      <c r="Q30" s="1"/>
      <c r="R30" s="1"/>
      <c r="S30" s="1"/>
      <c r="T30" s="1"/>
      <c r="U30" s="1"/>
      <c r="V30" s="1"/>
      <c r="W30" s="1"/>
      <c r="X30" s="1"/>
      <c r="Y30" s="1"/>
      <c r="Z30" s="1"/>
    </row>
    <row r="31" spans="1:26" ht="15.75" customHeight="1">
      <c r="A31" s="1"/>
      <c r="B31" s="376" t="s">
        <v>293</v>
      </c>
      <c r="C31" s="49">
        <v>0</v>
      </c>
      <c r="D31" s="1173">
        <v>0.3006909179967</v>
      </c>
      <c r="E31" s="389">
        <f t="shared" ref="E31:E36" si="5">C31*D31</f>
        <v>0</v>
      </c>
      <c r="F31" s="49">
        <f t="shared" ref="F31:F36" si="6">$J$8</f>
        <v>28</v>
      </c>
      <c r="G31" s="1185">
        <f t="shared" ref="G31:G36" si="7">E31*F31/1000000</f>
        <v>0</v>
      </c>
      <c r="H31" s="1175"/>
      <c r="I31" s="1"/>
      <c r="J31" s="50"/>
      <c r="K31" s="1086"/>
      <c r="L31" s="50"/>
      <c r="M31" s="1176"/>
      <c r="N31" s="1"/>
      <c r="O31" s="1"/>
      <c r="P31" s="1"/>
      <c r="Q31" s="1"/>
      <c r="R31" s="1"/>
      <c r="S31" s="1"/>
      <c r="T31" s="1"/>
      <c r="U31" s="1"/>
      <c r="V31" s="1"/>
      <c r="W31" s="1"/>
      <c r="X31" s="1"/>
      <c r="Y31" s="1"/>
      <c r="Z31" s="1"/>
    </row>
    <row r="32" spans="1:26" ht="15.75" customHeight="1">
      <c r="A32" s="1"/>
      <c r="B32" s="376" t="s">
        <v>703</v>
      </c>
      <c r="C32" s="49">
        <v>15596</v>
      </c>
      <c r="D32" s="1173">
        <v>1.0023030599889999E-2</v>
      </c>
      <c r="E32" s="389">
        <f t="shared" si="5"/>
        <v>156.31918523588442</v>
      </c>
      <c r="F32" s="49">
        <f t="shared" si="6"/>
        <v>28</v>
      </c>
      <c r="G32" s="1185">
        <f t="shared" si="7"/>
        <v>4.3769371866047638E-3</v>
      </c>
      <c r="H32" s="1175"/>
      <c r="I32" s="1"/>
      <c r="J32" s="50"/>
      <c r="K32" s="1086"/>
      <c r="L32" s="50"/>
      <c r="M32" s="1176"/>
      <c r="N32" s="1"/>
      <c r="O32" s="1"/>
      <c r="P32" s="1"/>
      <c r="Q32" s="1"/>
      <c r="R32" s="1"/>
      <c r="S32" s="1"/>
      <c r="T32" s="1"/>
      <c r="U32" s="1"/>
      <c r="V32" s="1"/>
      <c r="W32" s="1"/>
      <c r="X32" s="1"/>
      <c r="Y32" s="1"/>
      <c r="Z32" s="1"/>
    </row>
    <row r="33" spans="1:26" ht="15.75" customHeight="1">
      <c r="A33" s="1"/>
      <c r="B33" s="376" t="s">
        <v>946</v>
      </c>
      <c r="C33" s="49">
        <v>436</v>
      </c>
      <c r="D33" s="1173">
        <v>1.0023030599889999E-2</v>
      </c>
      <c r="E33" s="389">
        <f t="shared" si="5"/>
        <v>4.3700413415520396</v>
      </c>
      <c r="F33" s="49">
        <f t="shared" si="6"/>
        <v>28</v>
      </c>
      <c r="G33" s="1185">
        <f t="shared" si="7"/>
        <v>1.223611575634571E-4</v>
      </c>
      <c r="H33" s="1175"/>
      <c r="I33" s="1"/>
      <c r="J33" s="50"/>
      <c r="K33" s="1086"/>
      <c r="L33" s="50"/>
      <c r="M33" s="1176"/>
      <c r="N33" s="1"/>
      <c r="O33" s="1"/>
      <c r="P33" s="1"/>
      <c r="Q33" s="1"/>
      <c r="R33" s="1"/>
      <c r="S33" s="1"/>
      <c r="T33" s="1"/>
      <c r="U33" s="1"/>
      <c r="V33" s="1"/>
      <c r="W33" s="1"/>
      <c r="X33" s="1"/>
      <c r="Y33" s="1"/>
      <c r="Z33" s="1"/>
    </row>
    <row r="34" spans="1:26" ht="15.75" customHeight="1">
      <c r="A34" s="1"/>
      <c r="B34" s="376" t="s">
        <v>909</v>
      </c>
      <c r="C34" s="49">
        <v>8139</v>
      </c>
      <c r="D34" s="1173">
        <v>1.0023030599889999E-2</v>
      </c>
      <c r="E34" s="389">
        <f t="shared" si="5"/>
        <v>81.577446052504698</v>
      </c>
      <c r="F34" s="49">
        <f t="shared" si="6"/>
        <v>28</v>
      </c>
      <c r="G34" s="1185">
        <f t="shared" si="7"/>
        <v>2.2841684894701316E-3</v>
      </c>
      <c r="H34" s="1175"/>
      <c r="I34" s="1"/>
      <c r="J34" s="50"/>
      <c r="K34" s="1086"/>
      <c r="L34" s="50"/>
      <c r="M34" s="1176"/>
      <c r="N34" s="1"/>
      <c r="O34" s="1"/>
      <c r="P34" s="1"/>
      <c r="Q34" s="1"/>
      <c r="R34" s="1"/>
      <c r="S34" s="1"/>
      <c r="T34" s="1"/>
      <c r="U34" s="1"/>
      <c r="V34" s="1"/>
      <c r="W34" s="1"/>
      <c r="X34" s="1"/>
      <c r="Y34" s="1"/>
      <c r="Z34" s="1"/>
    </row>
    <row r="35" spans="1:26" ht="15.75" customHeight="1">
      <c r="A35" s="1"/>
      <c r="B35" s="376" t="s">
        <v>295</v>
      </c>
      <c r="C35" s="49">
        <v>79993</v>
      </c>
      <c r="D35" s="1173">
        <v>4.7477513367900001E-3</v>
      </c>
      <c r="E35" s="389">
        <f t="shared" si="5"/>
        <v>379.78687268384249</v>
      </c>
      <c r="F35" s="49">
        <f t="shared" si="6"/>
        <v>28</v>
      </c>
      <c r="G35" s="1185">
        <f t="shared" si="7"/>
        <v>1.063403243514759E-2</v>
      </c>
      <c r="H35" s="1175"/>
      <c r="I35" s="1"/>
      <c r="J35" s="50"/>
      <c r="K35" s="1086"/>
      <c r="L35" s="50"/>
      <c r="M35" s="1176"/>
      <c r="N35" s="1"/>
      <c r="O35" s="1"/>
      <c r="P35" s="1"/>
      <c r="Q35" s="1"/>
      <c r="R35" s="1"/>
      <c r="S35" s="1"/>
      <c r="T35" s="1"/>
      <c r="U35" s="1"/>
      <c r="V35" s="1"/>
      <c r="W35" s="1"/>
      <c r="X35" s="1"/>
      <c r="Y35" s="1"/>
      <c r="Z35" s="1"/>
    </row>
    <row r="36" spans="1:26" ht="15.75" customHeight="1">
      <c r="A36" s="1"/>
      <c r="B36" s="376" t="s">
        <v>808</v>
      </c>
      <c r="C36" s="49">
        <v>8913</v>
      </c>
      <c r="D36" s="1173">
        <v>0.28486508020740003</v>
      </c>
      <c r="E36" s="389">
        <f t="shared" si="5"/>
        <v>2539.0024598885566</v>
      </c>
      <c r="F36" s="49">
        <f t="shared" si="6"/>
        <v>28</v>
      </c>
      <c r="G36" s="1185">
        <f t="shared" si="7"/>
        <v>7.1092068876879577E-2</v>
      </c>
      <c r="H36" s="1175"/>
      <c r="I36" s="1"/>
      <c r="J36" s="50"/>
      <c r="K36" s="1086"/>
      <c r="L36" s="50"/>
      <c r="M36" s="1176"/>
      <c r="N36" s="1"/>
      <c r="O36" s="1"/>
      <c r="P36" s="1"/>
      <c r="Q36" s="1"/>
      <c r="R36" s="1"/>
      <c r="S36" s="1"/>
      <c r="T36" s="1"/>
      <c r="U36" s="1"/>
      <c r="V36" s="1"/>
      <c r="W36" s="1"/>
      <c r="X36" s="1"/>
      <c r="Y36" s="1"/>
      <c r="Z36" s="1"/>
    </row>
    <row r="37" spans="1:26" ht="15.75" customHeight="1">
      <c r="A37" s="1"/>
      <c r="B37" s="301"/>
      <c r="C37" s="388"/>
      <c r="D37" s="388"/>
      <c r="E37" s="388"/>
      <c r="F37" s="1186" t="s">
        <v>177</v>
      </c>
      <c r="G37" s="1187">
        <f>SUM(G31:G36)</f>
        <v>8.8509568145665518E-2</v>
      </c>
      <c r="H37" s="1"/>
      <c r="I37" s="1"/>
      <c r="J37" s="50"/>
      <c r="K37" s="1183"/>
      <c r="L37" s="1"/>
      <c r="M37" s="1184"/>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407" t="s">
        <v>955</v>
      </c>
      <c r="C41" s="407"/>
      <c r="D41" s="1188"/>
      <c r="E41" s="407"/>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404"/>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817"/>
      <c r="C43" s="803" t="s">
        <v>118</v>
      </c>
      <c r="D43" s="803" t="s">
        <v>118</v>
      </c>
      <c r="E43" s="803" t="s">
        <v>118</v>
      </c>
      <c r="F43" s="803" t="s">
        <v>118</v>
      </c>
      <c r="G43" s="46"/>
      <c r="H43" s="1"/>
      <c r="I43" s="1"/>
      <c r="J43" s="1"/>
      <c r="K43" s="1"/>
      <c r="L43" s="1"/>
      <c r="M43" s="1"/>
      <c r="N43" s="1"/>
      <c r="O43" s="1"/>
      <c r="P43" s="1"/>
      <c r="Q43" s="1"/>
      <c r="R43" s="1"/>
      <c r="S43" s="1"/>
      <c r="T43" s="1"/>
      <c r="U43" s="1"/>
      <c r="V43" s="1"/>
      <c r="W43" s="1"/>
      <c r="X43" s="1"/>
      <c r="Y43" s="1"/>
      <c r="Z43" s="1"/>
    </row>
    <row r="44" spans="1:26" ht="15.75" customHeight="1">
      <c r="A44" s="1"/>
      <c r="B44" s="292"/>
      <c r="C44" s="1166" t="s">
        <v>956</v>
      </c>
      <c r="D44" s="1166" t="s">
        <v>957</v>
      </c>
      <c r="E44" s="1166" t="s">
        <v>958</v>
      </c>
      <c r="F44" s="1166" t="s">
        <v>177</v>
      </c>
      <c r="G44" s="46"/>
      <c r="H44" s="1"/>
      <c r="I44" s="1"/>
      <c r="J44" s="1"/>
      <c r="K44" s="1"/>
      <c r="L44" s="1"/>
      <c r="M44" s="1"/>
      <c r="N44" s="1"/>
      <c r="O44" s="1"/>
      <c r="P44" s="1"/>
      <c r="Q44" s="1"/>
      <c r="R44" s="1"/>
      <c r="S44" s="1"/>
      <c r="T44" s="1"/>
      <c r="U44" s="1"/>
      <c r="V44" s="1"/>
      <c r="W44" s="1"/>
      <c r="X44" s="1"/>
      <c r="Y44" s="1"/>
      <c r="Z44" s="1"/>
    </row>
    <row r="45" spans="1:26" ht="15.75" customHeight="1">
      <c r="A45" s="1"/>
      <c r="B45" s="269" t="s">
        <v>348</v>
      </c>
      <c r="C45" s="1166" t="s">
        <v>959</v>
      </c>
      <c r="D45" s="1166" t="s">
        <v>960</v>
      </c>
      <c r="E45" s="1166" t="s">
        <v>961</v>
      </c>
      <c r="F45" s="1166" t="s">
        <v>962</v>
      </c>
      <c r="G45" s="46"/>
      <c r="H45" s="1"/>
      <c r="I45" s="1"/>
      <c r="J45" s="1"/>
      <c r="K45" s="1"/>
      <c r="L45" s="1"/>
      <c r="M45" s="1"/>
      <c r="N45" s="1"/>
      <c r="O45" s="1"/>
      <c r="P45" s="1"/>
      <c r="Q45" s="1"/>
      <c r="R45" s="1"/>
      <c r="S45" s="1"/>
      <c r="T45" s="1"/>
      <c r="U45" s="1"/>
      <c r="V45" s="1"/>
      <c r="W45" s="1"/>
      <c r="X45" s="1"/>
      <c r="Y45" s="1"/>
      <c r="Z45" s="1"/>
    </row>
    <row r="46" spans="1:26" ht="15.75" customHeight="1">
      <c r="A46" s="1"/>
      <c r="B46" s="376" t="s">
        <v>293</v>
      </c>
      <c r="C46" s="1189">
        <f t="shared" ref="C46:C50" si="8">G7</f>
        <v>0</v>
      </c>
      <c r="D46" s="1190">
        <f t="shared" ref="D46:D51" si="9">G18</f>
        <v>0</v>
      </c>
      <c r="E46" s="1190">
        <f t="shared" ref="E46:E51" si="10">G31</f>
        <v>0</v>
      </c>
      <c r="F46" s="1190">
        <f t="shared" ref="F46:F51" si="11">C46+D46+E46</f>
        <v>0</v>
      </c>
      <c r="G46" s="1191"/>
      <c r="H46" s="1"/>
      <c r="I46" s="1"/>
      <c r="J46" s="1"/>
      <c r="K46" s="1"/>
      <c r="L46" s="1"/>
      <c r="M46" s="1"/>
      <c r="N46" s="1"/>
      <c r="O46" s="1"/>
      <c r="P46" s="1"/>
      <c r="Q46" s="1"/>
      <c r="R46" s="1"/>
      <c r="S46" s="1"/>
      <c r="T46" s="1"/>
      <c r="U46" s="1"/>
      <c r="V46" s="1"/>
      <c r="W46" s="1"/>
      <c r="X46" s="1"/>
      <c r="Y46" s="1"/>
      <c r="Z46" s="1"/>
    </row>
    <row r="47" spans="1:26" ht="15.75" customHeight="1">
      <c r="A47" s="1"/>
      <c r="B47" s="376" t="s">
        <v>703</v>
      </c>
      <c r="C47" s="1189">
        <f t="shared" si="8"/>
        <v>1.1524622558165332</v>
      </c>
      <c r="D47" s="1190">
        <f t="shared" si="9"/>
        <v>2.485475045250562E-3</v>
      </c>
      <c r="E47" s="1190">
        <f t="shared" si="10"/>
        <v>4.3769371866047638E-3</v>
      </c>
      <c r="F47" s="1190">
        <f t="shared" si="11"/>
        <v>1.1593246680483884</v>
      </c>
      <c r="G47" s="1191"/>
      <c r="H47" s="1"/>
      <c r="I47" s="1"/>
      <c r="J47" s="1"/>
      <c r="K47" s="1"/>
      <c r="L47" s="1"/>
      <c r="M47" s="1"/>
      <c r="N47" s="1"/>
      <c r="O47" s="1"/>
      <c r="P47" s="1"/>
      <c r="Q47" s="1"/>
      <c r="R47" s="1"/>
      <c r="S47" s="1"/>
      <c r="T47" s="1"/>
      <c r="U47" s="1"/>
      <c r="V47" s="1"/>
      <c r="W47" s="1"/>
      <c r="X47" s="1"/>
      <c r="Y47" s="1"/>
      <c r="Z47" s="1"/>
    </row>
    <row r="48" spans="1:26" ht="15.75" customHeight="1">
      <c r="A48" s="1"/>
      <c r="B48" s="376" t="s">
        <v>946</v>
      </c>
      <c r="C48" s="1189">
        <f t="shared" si="8"/>
        <v>3.1884537805561462E-2</v>
      </c>
      <c r="D48" s="1190">
        <f t="shared" si="9"/>
        <v>6.9483657330677423E-5</v>
      </c>
      <c r="E48" s="1190">
        <f t="shared" si="10"/>
        <v>1.223611575634571E-4</v>
      </c>
      <c r="F48" s="1190">
        <f t="shared" si="11"/>
        <v>3.2076382620455597E-2</v>
      </c>
      <c r="G48" s="1191"/>
      <c r="H48" s="1"/>
      <c r="I48" s="1"/>
      <c r="J48" s="1"/>
      <c r="K48" s="1"/>
      <c r="L48" s="1"/>
      <c r="M48" s="1"/>
      <c r="N48" s="1"/>
      <c r="O48" s="1"/>
      <c r="P48" s="1"/>
      <c r="Q48" s="1"/>
      <c r="R48" s="1"/>
      <c r="S48" s="1"/>
      <c r="T48" s="1"/>
      <c r="U48" s="1"/>
      <c r="V48" s="1"/>
      <c r="W48" s="1"/>
      <c r="X48" s="1"/>
      <c r="Y48" s="1"/>
      <c r="Z48" s="1"/>
    </row>
    <row r="49" spans="1:26" ht="15.75" customHeight="1">
      <c r="A49" s="1"/>
      <c r="B49" s="376" t="s">
        <v>909</v>
      </c>
      <c r="C49" s="1189">
        <f t="shared" si="8"/>
        <v>0.50234547219610759</v>
      </c>
      <c r="D49" s="1190">
        <f t="shared" si="9"/>
        <v>1.2970813922348245E-3</v>
      </c>
      <c r="E49" s="1190">
        <f t="shared" si="10"/>
        <v>2.2841684894701316E-3</v>
      </c>
      <c r="F49" s="1190">
        <f t="shared" si="11"/>
        <v>0.50592672207781253</v>
      </c>
      <c r="G49" s="1191"/>
      <c r="H49" s="1"/>
      <c r="I49" s="1"/>
      <c r="J49" s="1"/>
      <c r="K49" s="1"/>
      <c r="L49" s="1"/>
      <c r="M49" s="1"/>
      <c r="N49" s="1"/>
      <c r="O49" s="1"/>
      <c r="P49" s="1"/>
      <c r="Q49" s="1"/>
      <c r="R49" s="1"/>
      <c r="S49" s="1"/>
      <c r="T49" s="1"/>
      <c r="U49" s="1"/>
      <c r="V49" s="1"/>
      <c r="W49" s="1"/>
      <c r="X49" s="1"/>
      <c r="Y49" s="1"/>
      <c r="Z49" s="1"/>
    </row>
    <row r="50" spans="1:26" ht="15.75" customHeight="1">
      <c r="A50" s="1"/>
      <c r="B50" s="376" t="s">
        <v>295</v>
      </c>
      <c r="C50" s="1189">
        <f t="shared" si="8"/>
        <v>4.2400523536439811</v>
      </c>
      <c r="D50" s="1190">
        <f t="shared" si="9"/>
        <v>2.0128704252243652E-3</v>
      </c>
      <c r="E50" s="1190">
        <f t="shared" si="10"/>
        <v>1.063403243514759E-2</v>
      </c>
      <c r="F50" s="1190">
        <f t="shared" si="11"/>
        <v>4.2526992565043527</v>
      </c>
      <c r="G50" s="1191"/>
      <c r="H50" s="1"/>
      <c r="I50" s="1"/>
      <c r="J50" s="1"/>
      <c r="K50" s="1"/>
      <c r="L50" s="1"/>
      <c r="M50" s="1"/>
      <c r="N50" s="1"/>
      <c r="O50" s="1"/>
      <c r="P50" s="1"/>
      <c r="Q50" s="1"/>
      <c r="R50" s="1"/>
      <c r="S50" s="1"/>
      <c r="T50" s="1"/>
      <c r="U50" s="1"/>
      <c r="V50" s="1"/>
      <c r="W50" s="1"/>
      <c r="X50" s="1"/>
      <c r="Y50" s="1"/>
      <c r="Z50" s="1"/>
    </row>
    <row r="51" spans="1:26" ht="15.75" customHeight="1">
      <c r="A51" s="1"/>
      <c r="B51" s="376" t="s">
        <v>808</v>
      </c>
      <c r="C51" s="1192">
        <v>0</v>
      </c>
      <c r="D51" s="1190">
        <f t="shared" si="9"/>
        <v>8.9711420249395657E-3</v>
      </c>
      <c r="E51" s="1190">
        <f t="shared" si="10"/>
        <v>7.1092068876879577E-2</v>
      </c>
      <c r="F51" s="1190">
        <f t="shared" si="11"/>
        <v>8.0063210901819143E-2</v>
      </c>
      <c r="G51" s="1191"/>
      <c r="H51" s="1"/>
      <c r="I51" s="1"/>
      <c r="J51" s="1"/>
      <c r="K51" s="1"/>
      <c r="L51" s="1"/>
      <c r="M51" s="1"/>
      <c r="N51" s="1"/>
      <c r="O51" s="1"/>
      <c r="P51" s="1"/>
      <c r="Q51" s="1"/>
      <c r="R51" s="1"/>
      <c r="S51" s="1"/>
      <c r="T51" s="1"/>
      <c r="U51" s="1"/>
      <c r="V51" s="1"/>
      <c r="W51" s="1"/>
      <c r="X51" s="1"/>
      <c r="Y51" s="1"/>
      <c r="Z51" s="1"/>
    </row>
    <row r="52" spans="1:26" ht="15.75" customHeight="1">
      <c r="A52" s="1"/>
      <c r="B52" s="301"/>
      <c r="C52" s="388"/>
      <c r="D52" s="388"/>
      <c r="E52" s="1193" t="s">
        <v>177</v>
      </c>
      <c r="F52" s="1194">
        <f>SUM(F46:F51)</f>
        <v>6.0300902401528287</v>
      </c>
      <c r="G52" s="1195"/>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t="s">
        <v>963</v>
      </c>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t="s">
        <v>964</v>
      </c>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I5:J5"/>
  </mergeCells>
  <pageMargins left="0.7" right="0.7" top="0.75" bottom="0.75" header="0" footer="0"/>
  <pageSetup orientation="landscape"/>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6.85546875" defaultRowHeight="15" customHeight="1"/>
  <cols>
    <col min="1" max="1" width="9.28515625" customWidth="1"/>
    <col min="2" max="2" width="23.140625" customWidth="1"/>
    <col min="3" max="3" width="19.7109375" customWidth="1"/>
    <col min="4" max="4" width="23.140625" customWidth="1"/>
    <col min="5" max="5" width="15.85546875" customWidth="1"/>
    <col min="6" max="6" width="18.42578125" customWidth="1"/>
    <col min="7" max="7" width="15.7109375" customWidth="1"/>
    <col min="8" max="14" width="9.28515625" customWidth="1"/>
    <col min="15" max="26" width="8" customWidth="1"/>
  </cols>
  <sheetData>
    <row r="1" spans="1:26" ht="14.4">
      <c r="A1" s="1" t="s">
        <v>965</v>
      </c>
      <c r="B1" s="403"/>
      <c r="C1" s="1"/>
      <c r="D1" s="1"/>
      <c r="E1" s="1"/>
      <c r="F1" s="42"/>
      <c r="G1" s="1"/>
      <c r="H1" s="1"/>
      <c r="I1" s="1"/>
      <c r="J1" s="1"/>
      <c r="K1" s="1"/>
      <c r="L1" s="1"/>
      <c r="M1" s="1"/>
      <c r="N1" s="1"/>
      <c r="O1" s="1"/>
      <c r="P1" s="1"/>
      <c r="Q1" s="1"/>
      <c r="R1" s="1"/>
      <c r="S1" s="1"/>
      <c r="T1" s="1"/>
      <c r="U1" s="1"/>
      <c r="V1" s="1"/>
      <c r="W1" s="1"/>
      <c r="X1" s="1"/>
      <c r="Y1" s="1"/>
      <c r="Z1" s="1"/>
    </row>
    <row r="2" spans="1:26" ht="73.5" customHeight="1">
      <c r="A2" s="1"/>
      <c r="B2" s="1"/>
      <c r="C2" s="1"/>
      <c r="D2" s="1"/>
      <c r="E2" s="1"/>
      <c r="F2" s="1"/>
      <c r="G2" s="1"/>
      <c r="H2" s="1"/>
      <c r="I2" s="1"/>
      <c r="J2" s="1"/>
      <c r="K2" s="1"/>
      <c r="L2" s="1"/>
      <c r="M2" s="1"/>
      <c r="N2" s="1"/>
      <c r="O2" s="1"/>
      <c r="P2" s="1"/>
      <c r="Q2" s="1"/>
      <c r="R2" s="1"/>
      <c r="S2" s="1"/>
      <c r="T2" s="1"/>
      <c r="U2" s="1"/>
      <c r="V2" s="1"/>
      <c r="W2" s="1"/>
      <c r="X2" s="1"/>
      <c r="Y2" s="1"/>
      <c r="Z2" s="1"/>
    </row>
    <row r="3" spans="1:26" ht="14.4">
      <c r="A3" s="1"/>
      <c r="B3" s="1"/>
      <c r="C3" s="1"/>
      <c r="D3" s="1"/>
      <c r="E3" s="1"/>
      <c r="F3" s="1"/>
      <c r="G3" s="1"/>
      <c r="H3" s="1"/>
      <c r="I3" s="1"/>
      <c r="J3" s="1"/>
      <c r="K3" s="1"/>
      <c r="L3" s="1"/>
      <c r="M3" s="1"/>
      <c r="N3" s="1"/>
      <c r="O3" s="1"/>
      <c r="P3" s="1"/>
      <c r="Q3" s="1"/>
      <c r="R3" s="1"/>
      <c r="S3" s="1"/>
      <c r="T3" s="1"/>
      <c r="U3" s="1"/>
      <c r="V3" s="1"/>
      <c r="W3" s="1"/>
      <c r="X3" s="1"/>
      <c r="Y3" s="1"/>
      <c r="Z3" s="1"/>
    </row>
    <row r="4" spans="1:26" ht="21" customHeight="1">
      <c r="A4" s="1"/>
      <c r="B4" s="1196" t="s">
        <v>966</v>
      </c>
      <c r="C4" s="1197"/>
      <c r="D4" s="1197"/>
      <c r="E4" s="387">
        <v>2011</v>
      </c>
      <c r="F4" s="387"/>
      <c r="G4" s="1198"/>
      <c r="H4" s="1"/>
      <c r="I4" s="1"/>
      <c r="J4" s="1"/>
      <c r="K4" s="1"/>
      <c r="L4" s="1"/>
      <c r="M4" s="1"/>
      <c r="N4" s="1"/>
      <c r="O4" s="1"/>
      <c r="P4" s="1"/>
      <c r="Q4" s="1"/>
      <c r="R4" s="1"/>
      <c r="S4" s="1"/>
      <c r="T4" s="1"/>
      <c r="U4" s="1"/>
      <c r="V4" s="1"/>
      <c r="W4" s="1"/>
      <c r="X4" s="1"/>
      <c r="Y4" s="1"/>
      <c r="Z4" s="1"/>
    </row>
    <row r="5" spans="1:26" ht="14.4">
      <c r="A5" s="1"/>
      <c r="B5" s="292"/>
      <c r="C5" s="1"/>
      <c r="D5" s="1"/>
      <c r="E5" s="1"/>
      <c r="F5" s="1"/>
      <c r="G5" s="728"/>
      <c r="H5" s="1"/>
      <c r="I5" s="2237" t="s">
        <v>1</v>
      </c>
      <c r="J5" s="2238"/>
      <c r="K5" s="1"/>
      <c r="L5" s="1"/>
      <c r="M5" s="46"/>
      <c r="N5" s="1"/>
      <c r="O5" s="1"/>
      <c r="P5" s="1"/>
      <c r="Q5" s="1"/>
      <c r="R5" s="1"/>
      <c r="S5" s="1"/>
      <c r="T5" s="1"/>
      <c r="U5" s="1"/>
      <c r="V5" s="1"/>
      <c r="W5" s="1"/>
      <c r="X5" s="1"/>
      <c r="Y5" s="1"/>
      <c r="Z5" s="1"/>
    </row>
    <row r="6" spans="1:26" ht="14.4">
      <c r="A6" s="1"/>
      <c r="B6" s="1199"/>
      <c r="C6" s="1200" t="s">
        <v>90</v>
      </c>
      <c r="D6" s="1200" t="s">
        <v>881</v>
      </c>
      <c r="E6" s="1200" t="s">
        <v>882</v>
      </c>
      <c r="F6" s="1200" t="s">
        <v>118</v>
      </c>
      <c r="G6" s="1201" t="s">
        <v>118</v>
      </c>
      <c r="H6" s="1"/>
      <c r="I6" s="52"/>
      <c r="J6" s="52"/>
      <c r="K6" s="46"/>
      <c r="L6" s="1"/>
      <c r="M6" s="46"/>
      <c r="N6" s="1"/>
      <c r="O6" s="1"/>
      <c r="P6" s="1"/>
      <c r="Q6" s="1"/>
      <c r="R6" s="1"/>
      <c r="S6" s="1"/>
      <c r="T6" s="1"/>
      <c r="U6" s="1"/>
      <c r="V6" s="1"/>
      <c r="W6" s="1"/>
      <c r="X6" s="1"/>
      <c r="Y6" s="1"/>
      <c r="Z6" s="1"/>
    </row>
    <row r="7" spans="1:26" ht="14.4">
      <c r="A7" s="1"/>
      <c r="B7" s="415" t="s">
        <v>348</v>
      </c>
      <c r="C7" s="1202" t="s">
        <v>699</v>
      </c>
      <c r="D7" s="1202" t="s">
        <v>885</v>
      </c>
      <c r="E7" s="1202" t="s">
        <v>886</v>
      </c>
      <c r="F7" s="1202" t="s">
        <v>887</v>
      </c>
      <c r="G7" s="1203" t="s">
        <v>967</v>
      </c>
      <c r="H7" s="46"/>
      <c r="I7" s="53" t="s">
        <v>80</v>
      </c>
      <c r="J7" s="54">
        <f>Summary!E4</f>
        <v>1</v>
      </c>
      <c r="K7" s="46"/>
      <c r="L7" s="1"/>
      <c r="M7" s="46"/>
      <c r="N7" s="1"/>
      <c r="O7" s="1"/>
      <c r="P7" s="1"/>
      <c r="Q7" s="1"/>
      <c r="R7" s="1"/>
      <c r="S7" s="1"/>
      <c r="T7" s="1"/>
      <c r="U7" s="1"/>
      <c r="V7" s="1"/>
      <c r="W7" s="1"/>
      <c r="X7" s="1"/>
      <c r="Y7" s="1"/>
      <c r="Z7" s="1"/>
    </row>
    <row r="8" spans="1:26" ht="14.4">
      <c r="A8" s="1"/>
      <c r="B8" s="292" t="s">
        <v>293</v>
      </c>
      <c r="C8" s="790">
        <v>617</v>
      </c>
      <c r="D8" s="793">
        <v>56.792727272727269</v>
      </c>
      <c r="E8" s="1204">
        <v>1</v>
      </c>
      <c r="F8" s="1205">
        <f t="shared" ref="F8:F14" si="0">C8*1000*D8*E8/2000</f>
        <v>17520.556363636362</v>
      </c>
      <c r="G8" s="1206">
        <f t="shared" ref="G8:G14" si="1">F8*(44/12)*0.90718474/1000000</f>
        <v>5.8279398354469596E-2</v>
      </c>
      <c r="H8" s="50"/>
      <c r="I8" s="53" t="s">
        <v>82</v>
      </c>
      <c r="J8" s="54">
        <f>Summary!E5</f>
        <v>28</v>
      </c>
      <c r="K8" s="1086"/>
      <c r="L8" s="50"/>
      <c r="M8" s="1086"/>
      <c r="N8" s="1"/>
      <c r="O8" s="1"/>
      <c r="P8" s="1"/>
      <c r="Q8" s="1"/>
      <c r="R8" s="1"/>
      <c r="S8" s="1"/>
      <c r="T8" s="1"/>
      <c r="U8" s="1"/>
      <c r="V8" s="1"/>
      <c r="W8" s="1"/>
      <c r="X8" s="1"/>
      <c r="Y8" s="1"/>
      <c r="Z8" s="1"/>
    </row>
    <row r="9" spans="1:26" ht="14.4">
      <c r="A9" s="1"/>
      <c r="B9" s="292" t="s">
        <v>703</v>
      </c>
      <c r="C9" s="49">
        <v>8363</v>
      </c>
      <c r="D9" s="793">
        <v>44.43</v>
      </c>
      <c r="E9" s="1167">
        <v>1</v>
      </c>
      <c r="F9" s="71">
        <f t="shared" si="0"/>
        <v>185784.04500000001</v>
      </c>
      <c r="G9" s="811">
        <f t="shared" si="1"/>
        <v>0.6179816520514021</v>
      </c>
      <c r="H9" s="50"/>
      <c r="I9" s="53" t="s">
        <v>83</v>
      </c>
      <c r="J9" s="54">
        <f>Summary!E6</f>
        <v>265</v>
      </c>
      <c r="K9" s="1086"/>
      <c r="L9" s="50"/>
      <c r="M9" s="1086"/>
      <c r="N9" s="1"/>
      <c r="O9" s="1"/>
      <c r="P9" s="1"/>
      <c r="Q9" s="1"/>
      <c r="R9" s="1"/>
      <c r="S9" s="1"/>
      <c r="T9" s="1"/>
      <c r="U9" s="1"/>
      <c r="V9" s="1"/>
      <c r="W9" s="1"/>
      <c r="X9" s="1"/>
      <c r="Y9" s="1"/>
      <c r="Z9" s="1"/>
    </row>
    <row r="10" spans="1:26" ht="14.4">
      <c r="A10" s="1"/>
      <c r="B10" s="292" t="s">
        <v>946</v>
      </c>
      <c r="C10" s="49">
        <v>132</v>
      </c>
      <c r="D10" s="793">
        <v>43.97</v>
      </c>
      <c r="E10" s="1167">
        <v>1</v>
      </c>
      <c r="F10" s="71">
        <f t="shared" si="0"/>
        <v>2902.02</v>
      </c>
      <c r="G10" s="811">
        <f t="shared" si="1"/>
        <v>9.6531169503075998E-3</v>
      </c>
      <c r="H10" s="50"/>
      <c r="I10" s="53" t="s">
        <v>85</v>
      </c>
      <c r="J10" s="54">
        <f>Summary!E7</f>
        <v>23500</v>
      </c>
      <c r="K10" s="1086"/>
      <c r="L10" s="50"/>
      <c r="M10" s="1086"/>
      <c r="N10" s="1"/>
      <c r="O10" s="1"/>
      <c r="P10" s="1"/>
      <c r="Q10" s="1"/>
      <c r="R10" s="1"/>
      <c r="S10" s="1"/>
      <c r="T10" s="1"/>
      <c r="U10" s="1"/>
      <c r="V10" s="1"/>
      <c r="W10" s="1"/>
      <c r="X10" s="1"/>
      <c r="Y10" s="1"/>
      <c r="Z10" s="1"/>
    </row>
    <row r="11" spans="1:26" ht="14.4">
      <c r="A11" s="1"/>
      <c r="B11" s="292" t="s">
        <v>909</v>
      </c>
      <c r="C11" s="49">
        <v>3276</v>
      </c>
      <c r="D11" s="793">
        <v>37.110283550140529</v>
      </c>
      <c r="E11" s="1167">
        <v>1</v>
      </c>
      <c r="F11" s="71">
        <f t="shared" si="0"/>
        <v>60786.64445513019</v>
      </c>
      <c r="G11" s="811">
        <f t="shared" si="1"/>
        <v>0.20219729290016566</v>
      </c>
      <c r="H11" s="50"/>
      <c r="I11" s="53"/>
      <c r="J11" s="54"/>
      <c r="K11" s="1086"/>
      <c r="L11" s="50"/>
      <c r="M11" s="1086"/>
      <c r="N11" s="1"/>
      <c r="O11" s="1"/>
      <c r="P11" s="1"/>
      <c r="Q11" s="1"/>
      <c r="R11" s="1"/>
      <c r="S11" s="1"/>
      <c r="T11" s="1"/>
      <c r="U11" s="1"/>
      <c r="V11" s="1"/>
      <c r="W11" s="1"/>
      <c r="X11" s="1"/>
      <c r="Y11" s="1"/>
      <c r="Z11" s="1"/>
    </row>
    <row r="12" spans="1:26" ht="14.4">
      <c r="A12" s="1"/>
      <c r="B12" s="292" t="s">
        <v>827</v>
      </c>
      <c r="C12" s="49">
        <v>176</v>
      </c>
      <c r="D12" s="793">
        <v>42.900741155457617</v>
      </c>
      <c r="E12" s="1167">
        <v>1</v>
      </c>
      <c r="F12" s="71">
        <f t="shared" si="0"/>
        <v>3775.2652216802699</v>
      </c>
      <c r="G12" s="811">
        <f t="shared" si="1"/>
        <v>1.2557830994723879E-2</v>
      </c>
      <c r="H12" s="50"/>
      <c r="I12" s="1"/>
      <c r="J12" s="50"/>
      <c r="K12" s="1086"/>
      <c r="L12" s="50"/>
      <c r="M12" s="1086"/>
      <c r="N12" s="1"/>
      <c r="O12" s="1"/>
      <c r="P12" s="1"/>
      <c r="Q12" s="1"/>
      <c r="R12" s="1"/>
      <c r="S12" s="1"/>
      <c r="T12" s="1"/>
      <c r="U12" s="1"/>
      <c r="V12" s="1"/>
      <c r="W12" s="1"/>
      <c r="X12" s="1"/>
      <c r="Y12" s="1"/>
      <c r="Z12" s="1"/>
    </row>
    <row r="13" spans="1:26" ht="14.4">
      <c r="A13" s="1"/>
      <c r="B13" s="292" t="s">
        <v>704</v>
      </c>
      <c r="C13" s="49">
        <v>28</v>
      </c>
      <c r="D13" s="793">
        <v>45.11</v>
      </c>
      <c r="E13" s="1167">
        <v>1</v>
      </c>
      <c r="F13" s="71">
        <f t="shared" si="0"/>
        <v>631.54</v>
      </c>
      <c r="G13" s="811">
        <f t="shared" si="1"/>
        <v>2.1007193192318667E-3</v>
      </c>
      <c r="H13" s="50"/>
      <c r="I13" s="1"/>
      <c r="J13" s="50"/>
      <c r="K13" s="1086"/>
      <c r="L13" s="50"/>
      <c r="M13" s="1086"/>
      <c r="N13" s="1"/>
      <c r="O13" s="1"/>
      <c r="P13" s="1"/>
      <c r="Q13" s="1"/>
      <c r="R13" s="1"/>
      <c r="S13" s="1"/>
      <c r="T13" s="1"/>
      <c r="U13" s="1"/>
      <c r="V13" s="1"/>
      <c r="W13" s="1"/>
      <c r="X13" s="1"/>
      <c r="Y13" s="1"/>
      <c r="Z13" s="1"/>
    </row>
    <row r="14" spans="1:26" ht="14.4">
      <c r="A14" s="1"/>
      <c r="B14" s="292" t="s">
        <v>295</v>
      </c>
      <c r="C14" s="961">
        <v>69374</v>
      </c>
      <c r="D14" s="793">
        <v>31.87</v>
      </c>
      <c r="E14" s="1207">
        <v>1</v>
      </c>
      <c r="F14" s="995">
        <f t="shared" si="0"/>
        <v>1105474.69</v>
      </c>
      <c r="G14" s="1208">
        <f t="shared" si="1"/>
        <v>3.6771891538221788</v>
      </c>
      <c r="H14" s="50"/>
      <c r="I14" s="1"/>
      <c r="J14" s="50"/>
      <c r="K14" s="1086"/>
      <c r="L14" s="50"/>
      <c r="M14" s="1086"/>
      <c r="N14" s="1"/>
      <c r="O14" s="1"/>
      <c r="P14" s="1"/>
      <c r="Q14" s="1"/>
      <c r="R14" s="1"/>
      <c r="S14" s="1"/>
      <c r="T14" s="1"/>
      <c r="U14" s="1"/>
      <c r="V14" s="1"/>
      <c r="W14" s="1"/>
      <c r="X14" s="1"/>
      <c r="Y14" s="1"/>
      <c r="Z14" s="1"/>
    </row>
    <row r="15" spans="1:26" ht="14.4">
      <c r="A15" s="1"/>
      <c r="B15" s="1014"/>
      <c r="C15" s="372"/>
      <c r="D15" s="372"/>
      <c r="E15" s="372"/>
      <c r="F15" s="1209" t="s">
        <v>177</v>
      </c>
      <c r="G15" s="1210">
        <f>SUM(G8:G14)</f>
        <v>4.5799591643924797</v>
      </c>
      <c r="H15" s="1"/>
      <c r="I15" s="1"/>
      <c r="J15" s="1"/>
      <c r="K15" s="1"/>
      <c r="L15" s="1"/>
      <c r="M15" s="1"/>
      <c r="N15" s="1"/>
      <c r="O15" s="1"/>
      <c r="P15" s="1"/>
      <c r="Q15" s="1"/>
      <c r="R15" s="1"/>
      <c r="S15" s="1"/>
      <c r="T15" s="1"/>
      <c r="U15" s="1"/>
      <c r="V15" s="1"/>
      <c r="W15" s="1"/>
      <c r="X15" s="1"/>
      <c r="Y15" s="1"/>
      <c r="Z15" s="1"/>
    </row>
    <row r="16" spans="1:26" ht="14.4">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4">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8" customHeight="1">
      <c r="A18" s="1"/>
      <c r="B18" s="1196" t="s">
        <v>968</v>
      </c>
      <c r="C18" s="1197"/>
      <c r="D18" s="1197"/>
      <c r="E18" s="387">
        <v>2011</v>
      </c>
      <c r="F18" s="387"/>
      <c r="G18" s="1198"/>
      <c r="H18" s="1"/>
      <c r="I18" s="1"/>
      <c r="J18" s="1"/>
      <c r="K18" s="1"/>
      <c r="L18" s="1"/>
      <c r="M18" s="1"/>
      <c r="N18" s="1"/>
      <c r="O18" s="1"/>
      <c r="P18" s="1"/>
      <c r="Q18" s="1"/>
      <c r="R18" s="1"/>
      <c r="S18" s="1"/>
      <c r="T18" s="1"/>
      <c r="U18" s="1"/>
      <c r="V18" s="1"/>
      <c r="W18" s="1"/>
      <c r="X18" s="1"/>
      <c r="Y18" s="1"/>
      <c r="Z18" s="1"/>
    </row>
    <row r="19" spans="1:26" ht="14.4">
      <c r="A19" s="1"/>
      <c r="B19" s="292"/>
      <c r="C19" s="1"/>
      <c r="D19" s="1"/>
      <c r="E19" s="1"/>
      <c r="F19" s="1"/>
      <c r="G19" s="728"/>
      <c r="H19" s="1"/>
      <c r="I19" s="1"/>
      <c r="J19" s="1"/>
      <c r="K19" s="1"/>
      <c r="L19" s="1"/>
      <c r="M19" s="46"/>
      <c r="N19" s="1"/>
      <c r="O19" s="1"/>
      <c r="P19" s="1"/>
      <c r="Q19" s="1"/>
      <c r="R19" s="1"/>
      <c r="S19" s="1"/>
      <c r="T19" s="1"/>
      <c r="U19" s="1"/>
      <c r="V19" s="1"/>
      <c r="W19" s="1"/>
      <c r="X19" s="1"/>
      <c r="Y19" s="1"/>
      <c r="Z19" s="1"/>
    </row>
    <row r="20" spans="1:26" ht="14.4">
      <c r="A20" s="1"/>
      <c r="B20" s="1199"/>
      <c r="C20" s="1200" t="s">
        <v>90</v>
      </c>
      <c r="D20" s="1200" t="s">
        <v>881</v>
      </c>
      <c r="E20" s="1200" t="s">
        <v>258</v>
      </c>
      <c r="F20" s="1200" t="s">
        <v>698</v>
      </c>
      <c r="G20" s="1201" t="s">
        <v>118</v>
      </c>
      <c r="H20" s="1"/>
      <c r="I20" s="1"/>
      <c r="J20" s="1"/>
      <c r="K20" s="46"/>
      <c r="L20" s="1"/>
      <c r="M20" s="46"/>
      <c r="N20" s="1"/>
      <c r="O20" s="1"/>
      <c r="P20" s="1"/>
      <c r="Q20" s="1"/>
      <c r="R20" s="1"/>
      <c r="S20" s="1"/>
      <c r="T20" s="1"/>
      <c r="U20" s="1"/>
      <c r="V20" s="1"/>
      <c r="W20" s="1"/>
      <c r="X20" s="1"/>
      <c r="Y20" s="1"/>
      <c r="Z20" s="1"/>
    </row>
    <row r="21" spans="1:26" ht="15.75" customHeight="1">
      <c r="A21" s="1"/>
      <c r="B21" s="415" t="s">
        <v>348</v>
      </c>
      <c r="C21" s="1202" t="s">
        <v>699</v>
      </c>
      <c r="D21" s="1202" t="s">
        <v>969</v>
      </c>
      <c r="E21" s="1202" t="s">
        <v>970</v>
      </c>
      <c r="F21" s="1202"/>
      <c r="G21" s="1203" t="s">
        <v>954</v>
      </c>
      <c r="H21" s="46"/>
      <c r="I21" s="1"/>
      <c r="J21" s="1"/>
      <c r="K21" s="46"/>
      <c r="L21" s="1"/>
      <c r="M21" s="46"/>
      <c r="N21" s="1"/>
      <c r="O21" s="1"/>
      <c r="P21" s="1"/>
      <c r="Q21" s="1"/>
      <c r="R21" s="1"/>
      <c r="S21" s="1"/>
      <c r="T21" s="1"/>
      <c r="U21" s="1"/>
      <c r="V21" s="1"/>
      <c r="W21" s="1"/>
      <c r="X21" s="1"/>
      <c r="Y21" s="1"/>
      <c r="Z21" s="1"/>
    </row>
    <row r="22" spans="1:26" ht="15.75" customHeight="1">
      <c r="A22" s="1"/>
      <c r="B22" s="1211" t="s">
        <v>293</v>
      </c>
      <c r="C22" s="790">
        <v>617</v>
      </c>
      <c r="D22" s="1212">
        <v>1.5034545899835E-3</v>
      </c>
      <c r="E22" s="1213">
        <f t="shared" ref="E22:E29" si="2">C22*D22</f>
        <v>0.92763148201981949</v>
      </c>
      <c r="F22" s="790">
        <f t="shared" ref="F22:F29" si="3">$J$9</f>
        <v>265</v>
      </c>
      <c r="G22" s="1206">
        <f t="shared" ref="G22:G29" si="4">E22*F22/1000000</f>
        <v>2.4582234273525216E-4</v>
      </c>
      <c r="H22" s="50"/>
      <c r="I22" s="1"/>
      <c r="J22" s="50"/>
      <c r="K22" s="1086"/>
      <c r="L22" s="50"/>
      <c r="M22" s="1176"/>
      <c r="N22" s="1"/>
      <c r="O22" s="1"/>
      <c r="P22" s="1"/>
      <c r="Q22" s="1"/>
      <c r="R22" s="1"/>
      <c r="S22" s="1"/>
      <c r="T22" s="1"/>
      <c r="U22" s="1"/>
      <c r="V22" s="1"/>
      <c r="W22" s="1"/>
      <c r="X22" s="1"/>
      <c r="Y22" s="1"/>
      <c r="Z22" s="1"/>
    </row>
    <row r="23" spans="1:26" ht="15.75" customHeight="1">
      <c r="A23" s="1"/>
      <c r="B23" s="376" t="s">
        <v>703</v>
      </c>
      <c r="C23" s="49">
        <v>8363</v>
      </c>
      <c r="D23" s="1173">
        <v>6.0138183599339984E-4</v>
      </c>
      <c r="E23" s="389">
        <f t="shared" si="2"/>
        <v>5.0293562944128025</v>
      </c>
      <c r="F23" s="49">
        <f t="shared" si="3"/>
        <v>265</v>
      </c>
      <c r="G23" s="811">
        <f t="shared" si="4"/>
        <v>1.3327794180193928E-3</v>
      </c>
      <c r="H23" s="50"/>
      <c r="I23" s="1"/>
      <c r="J23" s="50"/>
      <c r="K23" s="1086"/>
      <c r="L23" s="50"/>
      <c r="M23" s="1176"/>
      <c r="N23" s="1"/>
      <c r="O23" s="1"/>
      <c r="P23" s="1"/>
      <c r="Q23" s="1"/>
      <c r="R23" s="1"/>
      <c r="S23" s="1"/>
      <c r="T23" s="1"/>
      <c r="U23" s="1"/>
      <c r="V23" s="1"/>
      <c r="W23" s="1"/>
      <c r="X23" s="1"/>
      <c r="Y23" s="1"/>
      <c r="Z23" s="1"/>
    </row>
    <row r="24" spans="1:26" ht="15.75" customHeight="1">
      <c r="A24" s="1"/>
      <c r="B24" s="376" t="s">
        <v>946</v>
      </c>
      <c r="C24" s="49">
        <v>132</v>
      </c>
      <c r="D24" s="1173">
        <v>6.0138183599339984E-4</v>
      </c>
      <c r="E24" s="389">
        <f t="shared" si="2"/>
        <v>7.9382402351128784E-2</v>
      </c>
      <c r="F24" s="49">
        <f t="shared" si="3"/>
        <v>265</v>
      </c>
      <c r="G24" s="811">
        <f t="shared" si="4"/>
        <v>2.1036336623049127E-5</v>
      </c>
      <c r="H24" s="50"/>
      <c r="I24" s="1"/>
      <c r="J24" s="50"/>
      <c r="K24" s="1086"/>
      <c r="L24" s="50"/>
      <c r="M24" s="1176"/>
      <c r="N24" s="1"/>
      <c r="O24" s="1"/>
      <c r="P24" s="1"/>
      <c r="Q24" s="1"/>
      <c r="R24" s="1"/>
      <c r="S24" s="1"/>
      <c r="T24" s="1"/>
      <c r="U24" s="1"/>
      <c r="V24" s="1"/>
      <c r="W24" s="1"/>
      <c r="X24" s="1"/>
      <c r="Y24" s="1"/>
      <c r="Z24" s="1"/>
    </row>
    <row r="25" spans="1:26" ht="15.75" customHeight="1">
      <c r="A25" s="1"/>
      <c r="B25" s="376" t="s">
        <v>909</v>
      </c>
      <c r="C25" s="49">
        <v>3276</v>
      </c>
      <c r="D25" s="1173">
        <v>6.0138183599339984E-4</v>
      </c>
      <c r="E25" s="389">
        <f t="shared" si="2"/>
        <v>1.970126894714378</v>
      </c>
      <c r="F25" s="49">
        <f t="shared" si="3"/>
        <v>265</v>
      </c>
      <c r="G25" s="811">
        <f t="shared" si="4"/>
        <v>5.2208362709931021E-4</v>
      </c>
      <c r="H25" s="50"/>
      <c r="I25" s="1"/>
      <c r="J25" s="50"/>
      <c r="K25" s="1086"/>
      <c r="L25" s="50"/>
      <c r="M25" s="1176"/>
      <c r="N25" s="1"/>
      <c r="O25" s="1"/>
      <c r="P25" s="1"/>
      <c r="Q25" s="1"/>
      <c r="R25" s="1"/>
      <c r="S25" s="1"/>
      <c r="T25" s="1"/>
      <c r="U25" s="1"/>
      <c r="V25" s="1"/>
      <c r="W25" s="1"/>
      <c r="X25" s="1"/>
      <c r="Y25" s="1"/>
      <c r="Z25" s="1"/>
    </row>
    <row r="26" spans="1:26" ht="15.75" customHeight="1">
      <c r="A26" s="1"/>
      <c r="B26" s="376" t="s">
        <v>827</v>
      </c>
      <c r="C26" s="49">
        <v>176</v>
      </c>
      <c r="D26" s="1173">
        <v>6.0138183599339984E-4</v>
      </c>
      <c r="E26" s="389">
        <f t="shared" si="2"/>
        <v>0.10584320313483837</v>
      </c>
      <c r="F26" s="49">
        <f t="shared" si="3"/>
        <v>265</v>
      </c>
      <c r="G26" s="811">
        <f t="shared" si="4"/>
        <v>2.8048448830732169E-5</v>
      </c>
      <c r="H26" s="50"/>
      <c r="I26" s="1"/>
      <c r="J26" s="50"/>
      <c r="K26" s="1086"/>
      <c r="L26" s="50"/>
      <c r="M26" s="1176"/>
      <c r="N26" s="1"/>
      <c r="O26" s="1"/>
      <c r="P26" s="1"/>
      <c r="Q26" s="1"/>
      <c r="R26" s="1"/>
      <c r="S26" s="1"/>
      <c r="T26" s="1"/>
      <c r="U26" s="1"/>
      <c r="V26" s="1"/>
      <c r="W26" s="1"/>
      <c r="X26" s="1"/>
      <c r="Y26" s="1"/>
      <c r="Z26" s="1"/>
    </row>
    <row r="27" spans="1:26" ht="15.75" customHeight="1">
      <c r="A27" s="1"/>
      <c r="B27" s="376" t="s">
        <v>704</v>
      </c>
      <c r="C27" s="49">
        <v>28</v>
      </c>
      <c r="D27" s="1173">
        <v>6.0138183599339984E-4</v>
      </c>
      <c r="E27" s="389">
        <f t="shared" si="2"/>
        <v>1.6838691407815194E-2</v>
      </c>
      <c r="F27" s="49">
        <f t="shared" si="3"/>
        <v>265</v>
      </c>
      <c r="G27" s="811">
        <f t="shared" si="4"/>
        <v>4.4622532230710261E-6</v>
      </c>
      <c r="H27" s="50"/>
      <c r="I27" s="1"/>
      <c r="J27" s="50"/>
      <c r="K27" s="1086"/>
      <c r="L27" s="50"/>
      <c r="M27" s="1176"/>
      <c r="N27" s="1"/>
      <c r="O27" s="1"/>
      <c r="P27" s="1"/>
      <c r="Q27" s="1"/>
      <c r="R27" s="1"/>
      <c r="S27" s="1"/>
      <c r="T27" s="1"/>
      <c r="U27" s="1"/>
      <c r="V27" s="1"/>
      <c r="W27" s="1"/>
      <c r="X27" s="1"/>
      <c r="Y27" s="1"/>
      <c r="Z27" s="1"/>
    </row>
    <row r="28" spans="1:26" ht="15.75" customHeight="1">
      <c r="A28" s="1"/>
      <c r="B28" s="376" t="s">
        <v>295</v>
      </c>
      <c r="C28" s="49">
        <v>69374</v>
      </c>
      <c r="D28" s="1173">
        <v>9.4955026735800017E-5</v>
      </c>
      <c r="E28" s="389">
        <f t="shared" si="2"/>
        <v>6.5874100247693903</v>
      </c>
      <c r="F28" s="49">
        <f t="shared" si="3"/>
        <v>265</v>
      </c>
      <c r="G28" s="811">
        <f t="shared" si="4"/>
        <v>1.7456636565638885E-3</v>
      </c>
      <c r="H28" s="50"/>
      <c r="I28" s="1"/>
      <c r="J28" s="50"/>
      <c r="K28" s="1086"/>
      <c r="L28" s="50"/>
      <c r="M28" s="1176"/>
      <c r="N28" s="1"/>
      <c r="O28" s="1"/>
      <c r="P28" s="1"/>
      <c r="Q28" s="1"/>
      <c r="R28" s="1"/>
      <c r="S28" s="1"/>
      <c r="T28" s="1"/>
      <c r="U28" s="1"/>
      <c r="V28" s="1"/>
      <c r="W28" s="1"/>
      <c r="X28" s="1"/>
      <c r="Y28" s="1"/>
      <c r="Z28" s="1"/>
    </row>
    <row r="29" spans="1:26" ht="15.75" customHeight="1">
      <c r="A29" s="1"/>
      <c r="B29" s="376" t="s">
        <v>808</v>
      </c>
      <c r="C29" s="49">
        <v>3556</v>
      </c>
      <c r="D29" s="1173">
        <v>3.7982010694320003E-3</v>
      </c>
      <c r="E29" s="389">
        <f t="shared" si="2"/>
        <v>13.506403002900193</v>
      </c>
      <c r="F29" s="49">
        <f t="shared" si="3"/>
        <v>265</v>
      </c>
      <c r="G29" s="811">
        <f t="shared" si="4"/>
        <v>3.5791967957685511E-3</v>
      </c>
      <c r="H29" s="50"/>
      <c r="I29" s="1"/>
      <c r="J29" s="50"/>
      <c r="K29" s="1086"/>
      <c r="L29" s="50"/>
      <c r="M29" s="1176"/>
      <c r="N29" s="1"/>
      <c r="O29" s="1"/>
      <c r="P29" s="1"/>
      <c r="Q29" s="1"/>
      <c r="R29" s="1"/>
      <c r="S29" s="1"/>
      <c r="T29" s="1"/>
      <c r="U29" s="1"/>
      <c r="V29" s="1"/>
      <c r="W29" s="1"/>
      <c r="X29" s="1"/>
      <c r="Y29" s="1"/>
      <c r="Z29" s="1"/>
    </row>
    <row r="30" spans="1:26" ht="15.75" customHeight="1">
      <c r="A30" s="1"/>
      <c r="B30" s="301"/>
      <c r="C30" s="679"/>
      <c r="D30" s="388"/>
      <c r="E30" s="388"/>
      <c r="F30" s="1214" t="s">
        <v>177</v>
      </c>
      <c r="G30" s="1215">
        <f>SUM(G22:G29)</f>
        <v>7.4790928788632475E-3</v>
      </c>
      <c r="H30" s="1"/>
      <c r="I30" s="1"/>
      <c r="J30" s="50"/>
      <c r="K30" s="1183"/>
      <c r="L30" s="50"/>
      <c r="M30" s="1184"/>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21" customHeight="1">
      <c r="A33" s="1"/>
      <c r="B33" s="1196" t="s">
        <v>971</v>
      </c>
      <c r="C33" s="1197"/>
      <c r="D33" s="1197"/>
      <c r="E33" s="387">
        <v>2011</v>
      </c>
      <c r="F33" s="387"/>
      <c r="G33" s="1198"/>
      <c r="H33" s="1"/>
      <c r="I33" s="1"/>
      <c r="J33" s="1"/>
      <c r="K33" s="1"/>
      <c r="L33" s="1"/>
      <c r="M33" s="1"/>
      <c r="N33" s="1"/>
      <c r="O33" s="1"/>
      <c r="P33" s="1"/>
      <c r="Q33" s="1"/>
      <c r="R33" s="1"/>
      <c r="S33" s="1"/>
      <c r="T33" s="1"/>
      <c r="U33" s="1"/>
      <c r="V33" s="1"/>
      <c r="W33" s="1"/>
      <c r="X33" s="1"/>
      <c r="Y33" s="1"/>
      <c r="Z33" s="1"/>
    </row>
    <row r="34" spans="1:26" ht="15.75" customHeight="1">
      <c r="A34" s="1"/>
      <c r="B34" s="292"/>
      <c r="C34" s="1"/>
      <c r="D34" s="1"/>
      <c r="E34" s="1"/>
      <c r="F34" s="1"/>
      <c r="G34" s="728"/>
      <c r="H34" s="1"/>
      <c r="I34" s="1"/>
      <c r="J34" s="1"/>
      <c r="K34" s="1"/>
      <c r="L34" s="1"/>
      <c r="M34" s="46"/>
      <c r="N34" s="1"/>
      <c r="O34" s="1"/>
      <c r="P34" s="1"/>
      <c r="Q34" s="1"/>
      <c r="R34" s="1"/>
      <c r="S34" s="1"/>
      <c r="T34" s="1"/>
      <c r="U34" s="1"/>
      <c r="V34" s="1"/>
      <c r="W34" s="1"/>
      <c r="X34" s="1"/>
      <c r="Y34" s="1"/>
      <c r="Z34" s="1"/>
    </row>
    <row r="35" spans="1:26" ht="15.75" customHeight="1">
      <c r="A35" s="1"/>
      <c r="B35" s="700"/>
      <c r="C35" s="1216" t="s">
        <v>90</v>
      </c>
      <c r="D35" s="1216" t="s">
        <v>881</v>
      </c>
      <c r="E35" s="1216" t="s">
        <v>118</v>
      </c>
      <c r="F35" s="1216" t="s">
        <v>698</v>
      </c>
      <c r="G35" s="1217" t="s">
        <v>118</v>
      </c>
      <c r="H35" s="1"/>
      <c r="I35" s="1"/>
      <c r="J35" s="1"/>
      <c r="K35" s="46"/>
      <c r="L35" s="1"/>
      <c r="M35" s="1"/>
      <c r="N35" s="1"/>
      <c r="O35" s="1"/>
      <c r="P35" s="1"/>
      <c r="Q35" s="1"/>
      <c r="R35" s="1"/>
      <c r="S35" s="1"/>
      <c r="T35" s="1"/>
      <c r="U35" s="1"/>
      <c r="V35" s="1"/>
      <c r="W35" s="1"/>
      <c r="X35" s="1"/>
      <c r="Y35" s="1"/>
      <c r="Z35" s="1"/>
    </row>
    <row r="36" spans="1:26" ht="15.75" customHeight="1">
      <c r="A36" s="1"/>
      <c r="B36" s="785" t="s">
        <v>348</v>
      </c>
      <c r="C36" s="1218" t="s">
        <v>699</v>
      </c>
      <c r="D36" s="1218" t="s">
        <v>972</v>
      </c>
      <c r="E36" s="1218" t="s">
        <v>973</v>
      </c>
      <c r="F36" s="1218"/>
      <c r="G36" s="1219" t="s">
        <v>974</v>
      </c>
      <c r="H36" s="46"/>
      <c r="I36" s="1"/>
      <c r="J36" s="1"/>
      <c r="K36" s="46"/>
      <c r="L36" s="1"/>
      <c r="M36" s="1"/>
      <c r="N36" s="1"/>
      <c r="O36" s="1"/>
      <c r="P36" s="1"/>
      <c r="Q36" s="1"/>
      <c r="R36" s="1"/>
      <c r="S36" s="1"/>
      <c r="T36" s="1"/>
      <c r="U36" s="1"/>
      <c r="V36" s="1"/>
      <c r="W36" s="1"/>
      <c r="X36" s="1"/>
      <c r="Y36" s="1"/>
      <c r="Z36" s="1"/>
    </row>
    <row r="37" spans="1:26" ht="15.75" customHeight="1">
      <c r="A37" s="1"/>
      <c r="B37" s="1211" t="s">
        <v>293</v>
      </c>
      <c r="C37" s="790">
        <v>617</v>
      </c>
      <c r="D37" s="1212">
        <v>1.0023030599889999E-2</v>
      </c>
      <c r="E37" s="1220">
        <f t="shared" ref="E37:E44" si="5">C37*D37</f>
        <v>6.1842098801321299</v>
      </c>
      <c r="F37" s="790">
        <f t="shared" ref="F37:F44" si="6">$J$8</f>
        <v>28</v>
      </c>
      <c r="G37" s="1221">
        <f t="shared" ref="G37:G44" si="7">E37*F37/1000000</f>
        <v>1.7315787664369964E-4</v>
      </c>
      <c r="H37" s="50"/>
      <c r="I37" s="1"/>
      <c r="J37" s="50"/>
      <c r="K37" s="1086"/>
      <c r="L37" s="50"/>
      <c r="M37" s="1176"/>
      <c r="N37" s="1"/>
      <c r="O37" s="1"/>
      <c r="P37" s="1"/>
      <c r="Q37" s="1"/>
      <c r="R37" s="1"/>
      <c r="S37" s="1"/>
      <c r="T37" s="1"/>
      <c r="U37" s="1"/>
      <c r="V37" s="1"/>
      <c r="W37" s="1"/>
      <c r="X37" s="1"/>
      <c r="Y37" s="1"/>
      <c r="Z37" s="1"/>
    </row>
    <row r="38" spans="1:26" ht="15.75" customHeight="1">
      <c r="A38" s="1"/>
      <c r="B38" s="376" t="s">
        <v>703</v>
      </c>
      <c r="C38" s="49">
        <v>8363</v>
      </c>
      <c r="D38" s="1173">
        <v>1.0023030599889999E-2</v>
      </c>
      <c r="E38" s="1222">
        <f t="shared" si="5"/>
        <v>83.822604906880059</v>
      </c>
      <c r="F38" s="49">
        <f t="shared" si="6"/>
        <v>28</v>
      </c>
      <c r="G38" s="1223">
        <f t="shared" si="7"/>
        <v>2.3470329373926416E-3</v>
      </c>
      <c r="H38" s="50"/>
      <c r="I38" s="1"/>
      <c r="J38" s="50"/>
      <c r="K38" s="1086"/>
      <c r="L38" s="50"/>
      <c r="M38" s="1176"/>
      <c r="N38" s="1"/>
      <c r="O38" s="1"/>
      <c r="P38" s="1"/>
      <c r="Q38" s="1"/>
      <c r="R38" s="1"/>
      <c r="S38" s="1"/>
      <c r="T38" s="1"/>
      <c r="U38" s="1"/>
      <c r="V38" s="1"/>
      <c r="W38" s="1"/>
      <c r="X38" s="1"/>
      <c r="Y38" s="1"/>
      <c r="Z38" s="1"/>
    </row>
    <row r="39" spans="1:26" ht="15.75" customHeight="1">
      <c r="A39" s="1"/>
      <c r="B39" s="376" t="s">
        <v>946</v>
      </c>
      <c r="C39" s="49">
        <v>132</v>
      </c>
      <c r="D39" s="1173">
        <v>1.0023030599889999E-2</v>
      </c>
      <c r="E39" s="1222">
        <f t="shared" si="5"/>
        <v>1.32304003918548</v>
      </c>
      <c r="F39" s="49">
        <f t="shared" si="6"/>
        <v>28</v>
      </c>
      <c r="G39" s="1223">
        <f t="shared" si="7"/>
        <v>3.7045121097193439E-5</v>
      </c>
      <c r="H39" s="50"/>
      <c r="I39" s="1"/>
      <c r="J39" s="50"/>
      <c r="K39" s="1086"/>
      <c r="L39" s="50"/>
      <c r="M39" s="1176"/>
      <c r="N39" s="1"/>
      <c r="O39" s="1"/>
      <c r="P39" s="1"/>
      <c r="Q39" s="1"/>
      <c r="R39" s="1"/>
      <c r="S39" s="1"/>
      <c r="T39" s="1"/>
      <c r="U39" s="1"/>
      <c r="V39" s="1"/>
      <c r="W39" s="1"/>
      <c r="X39" s="1"/>
      <c r="Y39" s="1"/>
      <c r="Z39" s="1"/>
    </row>
    <row r="40" spans="1:26" ht="15.75" customHeight="1">
      <c r="A40" s="1"/>
      <c r="B40" s="376" t="s">
        <v>909</v>
      </c>
      <c r="C40" s="49">
        <v>3276</v>
      </c>
      <c r="D40" s="1173">
        <v>1.0023030599889999E-2</v>
      </c>
      <c r="E40" s="1222">
        <f t="shared" si="5"/>
        <v>32.83544824523964</v>
      </c>
      <c r="F40" s="49">
        <f t="shared" si="6"/>
        <v>28</v>
      </c>
      <c r="G40" s="1223">
        <f t="shared" si="7"/>
        <v>9.1939255086670999E-4</v>
      </c>
      <c r="H40" s="50"/>
      <c r="I40" s="1"/>
      <c r="J40" s="50"/>
      <c r="K40" s="1086"/>
      <c r="L40" s="50"/>
      <c r="M40" s="1176"/>
      <c r="N40" s="1"/>
      <c r="O40" s="1"/>
      <c r="P40" s="1"/>
      <c r="Q40" s="1"/>
      <c r="R40" s="1"/>
      <c r="S40" s="1"/>
      <c r="T40" s="1"/>
      <c r="U40" s="1"/>
      <c r="V40" s="1"/>
      <c r="W40" s="1"/>
      <c r="X40" s="1"/>
      <c r="Y40" s="1"/>
      <c r="Z40" s="1"/>
    </row>
    <row r="41" spans="1:26" ht="15.75" customHeight="1">
      <c r="A41" s="1"/>
      <c r="B41" s="376" t="s">
        <v>827</v>
      </c>
      <c r="C41" s="49">
        <v>176</v>
      </c>
      <c r="D41" s="1173">
        <v>1.0023030599889999E-2</v>
      </c>
      <c r="E41" s="1222">
        <f t="shared" si="5"/>
        <v>1.76405338558064</v>
      </c>
      <c r="F41" s="49">
        <f t="shared" si="6"/>
        <v>28</v>
      </c>
      <c r="G41" s="1223">
        <f t="shared" si="7"/>
        <v>4.9393494796257921E-5</v>
      </c>
      <c r="H41" s="50"/>
      <c r="I41" s="1"/>
      <c r="J41" s="50"/>
      <c r="K41" s="1086"/>
      <c r="L41" s="50"/>
      <c r="M41" s="1176"/>
      <c r="N41" s="1"/>
      <c r="O41" s="1"/>
      <c r="P41" s="1"/>
      <c r="Q41" s="1"/>
      <c r="R41" s="1"/>
      <c r="S41" s="1"/>
      <c r="T41" s="1"/>
      <c r="U41" s="1"/>
      <c r="V41" s="1"/>
      <c r="W41" s="1"/>
      <c r="X41" s="1"/>
      <c r="Y41" s="1"/>
      <c r="Z41" s="1"/>
    </row>
    <row r="42" spans="1:26" ht="15.75" customHeight="1">
      <c r="A42" s="1"/>
      <c r="B42" s="376" t="s">
        <v>704</v>
      </c>
      <c r="C42" s="49">
        <v>28</v>
      </c>
      <c r="D42" s="1173">
        <v>1.0023030599889999E-2</v>
      </c>
      <c r="E42" s="1222">
        <f t="shared" si="5"/>
        <v>0.28064485679691997</v>
      </c>
      <c r="F42" s="49">
        <f t="shared" si="6"/>
        <v>28</v>
      </c>
      <c r="G42" s="1223">
        <f t="shared" si="7"/>
        <v>7.8580559903137596E-6</v>
      </c>
      <c r="H42" s="50"/>
      <c r="I42" s="1"/>
      <c r="J42" s="50"/>
      <c r="K42" s="1086"/>
      <c r="L42" s="50"/>
      <c r="M42" s="1176"/>
      <c r="N42" s="1"/>
      <c r="O42" s="1"/>
      <c r="P42" s="1"/>
      <c r="Q42" s="1"/>
      <c r="R42" s="1"/>
      <c r="S42" s="1"/>
      <c r="T42" s="1"/>
      <c r="U42" s="1"/>
      <c r="V42" s="1"/>
      <c r="W42" s="1"/>
      <c r="X42" s="1"/>
      <c r="Y42" s="1"/>
      <c r="Z42" s="1"/>
    </row>
    <row r="43" spans="1:26" ht="15.75" customHeight="1">
      <c r="A43" s="1"/>
      <c r="B43" s="376" t="s">
        <v>295</v>
      </c>
      <c r="C43" s="49">
        <v>69374</v>
      </c>
      <c r="D43" s="1173">
        <v>4.7477513367900001E-3</v>
      </c>
      <c r="E43" s="1222">
        <f t="shared" si="5"/>
        <v>329.37050123846944</v>
      </c>
      <c r="F43" s="49">
        <f t="shared" si="6"/>
        <v>28</v>
      </c>
      <c r="G43" s="1223">
        <f t="shared" si="7"/>
        <v>9.222374034677145E-3</v>
      </c>
      <c r="H43" s="50"/>
      <c r="I43" s="1"/>
      <c r="J43" s="50"/>
      <c r="K43" s="1086"/>
      <c r="L43" s="50"/>
      <c r="M43" s="1176"/>
      <c r="N43" s="1"/>
      <c r="O43" s="1"/>
      <c r="P43" s="1"/>
      <c r="Q43" s="1"/>
      <c r="R43" s="1"/>
      <c r="S43" s="1"/>
      <c r="T43" s="1"/>
      <c r="U43" s="1"/>
      <c r="V43" s="1"/>
      <c r="W43" s="1"/>
      <c r="X43" s="1"/>
      <c r="Y43" s="1"/>
      <c r="Z43" s="1"/>
    </row>
    <row r="44" spans="1:26" ht="15.75" customHeight="1">
      <c r="A44" s="1"/>
      <c r="B44" s="376" t="s">
        <v>808</v>
      </c>
      <c r="C44" s="49">
        <v>3556</v>
      </c>
      <c r="D44" s="1173">
        <v>0.28486508020740003</v>
      </c>
      <c r="E44" s="1222">
        <f t="shared" si="5"/>
        <v>1012.9802252175145</v>
      </c>
      <c r="F44" s="961">
        <f t="shared" si="6"/>
        <v>28</v>
      </c>
      <c r="G44" s="1224">
        <f t="shared" si="7"/>
        <v>2.836344630609041E-2</v>
      </c>
      <c r="H44" s="50"/>
      <c r="I44" s="1"/>
      <c r="J44" s="50"/>
      <c r="K44" s="1086"/>
      <c r="L44" s="50"/>
      <c r="M44" s="1176"/>
      <c r="N44" s="1"/>
      <c r="O44" s="1"/>
      <c r="P44" s="1"/>
      <c r="Q44" s="1"/>
      <c r="R44" s="1"/>
      <c r="S44" s="1"/>
      <c r="T44" s="1"/>
      <c r="U44" s="1"/>
      <c r="V44" s="1"/>
      <c r="W44" s="1"/>
      <c r="X44" s="1"/>
      <c r="Y44" s="1"/>
      <c r="Z44" s="1"/>
    </row>
    <row r="45" spans="1:26" ht="15.75" customHeight="1">
      <c r="A45" s="1"/>
      <c r="B45" s="301"/>
      <c r="C45" s="388"/>
      <c r="D45" s="388"/>
      <c r="E45" s="388"/>
      <c r="F45" s="1225" t="s">
        <v>177</v>
      </c>
      <c r="G45" s="1226">
        <f>SUM(G37:G44)</f>
        <v>4.1119700377554372E-2</v>
      </c>
      <c r="H45" s="1"/>
      <c r="I45" s="1"/>
      <c r="J45" s="50"/>
      <c r="K45" s="1183"/>
      <c r="L45" s="50"/>
      <c r="M45" s="1184"/>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227" t="s">
        <v>975</v>
      </c>
      <c r="C48" s="1228"/>
      <c r="D48" s="1228"/>
      <c r="E48" s="1229"/>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230"/>
      <c r="C51" s="1231"/>
      <c r="D51" s="802" t="s">
        <v>976</v>
      </c>
      <c r="E51" s="802" t="s">
        <v>977</v>
      </c>
      <c r="F51" s="802" t="s">
        <v>978</v>
      </c>
      <c r="G51" s="803" t="s">
        <v>979</v>
      </c>
      <c r="H51" s="1"/>
      <c r="I51" s="1"/>
      <c r="J51" s="1"/>
      <c r="K51" s="1"/>
      <c r="L51" s="1"/>
      <c r="M51" s="1"/>
      <c r="N51" s="1"/>
      <c r="O51" s="1"/>
      <c r="P51" s="1"/>
      <c r="Q51" s="1"/>
      <c r="R51" s="1"/>
      <c r="S51" s="1"/>
      <c r="T51" s="1"/>
      <c r="U51" s="1"/>
      <c r="V51" s="1"/>
      <c r="W51" s="1"/>
      <c r="X51" s="1"/>
      <c r="Y51" s="1"/>
      <c r="Z51" s="1"/>
    </row>
    <row r="52" spans="1:26" ht="15.75" customHeight="1">
      <c r="A52" s="1"/>
      <c r="B52" s="276"/>
      <c r="C52" s="1232" t="s">
        <v>90</v>
      </c>
      <c r="D52" s="1165" t="s">
        <v>118</v>
      </c>
      <c r="E52" s="1165" t="s">
        <v>118</v>
      </c>
      <c r="F52" s="1165" t="s">
        <v>118</v>
      </c>
      <c r="G52" s="1166" t="s">
        <v>118</v>
      </c>
      <c r="H52" s="1"/>
      <c r="I52" s="1"/>
      <c r="J52" s="1"/>
      <c r="K52" s="1"/>
      <c r="L52" s="1"/>
      <c r="M52" s="1"/>
      <c r="N52" s="1"/>
      <c r="O52" s="1"/>
      <c r="P52" s="1"/>
      <c r="Q52" s="1"/>
      <c r="R52" s="1"/>
      <c r="S52" s="1"/>
      <c r="T52" s="1"/>
      <c r="U52" s="1"/>
      <c r="V52" s="1"/>
      <c r="W52" s="1"/>
      <c r="X52" s="1"/>
      <c r="Y52" s="1"/>
      <c r="Z52" s="1"/>
    </row>
    <row r="53" spans="1:26" ht="15.75" customHeight="1">
      <c r="A53" s="1"/>
      <c r="B53" s="1233" t="s">
        <v>348</v>
      </c>
      <c r="C53" s="1232" t="s">
        <v>699</v>
      </c>
      <c r="D53" s="806" t="s">
        <v>980</v>
      </c>
      <c r="E53" s="806" t="s">
        <v>981</v>
      </c>
      <c r="F53" s="806" t="s">
        <v>982</v>
      </c>
      <c r="G53" s="807" t="s">
        <v>983</v>
      </c>
      <c r="H53" s="1"/>
      <c r="I53" s="1"/>
      <c r="J53" s="1"/>
      <c r="K53" s="1"/>
      <c r="L53" s="1"/>
      <c r="M53" s="1"/>
      <c r="N53" s="1"/>
      <c r="O53" s="1"/>
      <c r="P53" s="1"/>
      <c r="Q53" s="1"/>
      <c r="R53" s="1"/>
      <c r="S53" s="1"/>
      <c r="T53" s="1"/>
      <c r="U53" s="1"/>
      <c r="V53" s="1"/>
      <c r="W53" s="1"/>
      <c r="X53" s="1"/>
      <c r="Y53" s="1"/>
      <c r="Z53" s="1"/>
    </row>
    <row r="54" spans="1:26" ht="15.75" customHeight="1">
      <c r="A54" s="1"/>
      <c r="B54" s="276" t="s">
        <v>293</v>
      </c>
      <c r="C54" s="49">
        <v>617</v>
      </c>
      <c r="D54" s="1139">
        <f t="shared" ref="D54:D60" si="8">G8</f>
        <v>5.8279398354469596E-2</v>
      </c>
      <c r="E54" s="1234">
        <f t="shared" ref="E54:E61" si="9">G37</f>
        <v>1.7315787664369964E-4</v>
      </c>
      <c r="F54" s="1139">
        <f t="shared" ref="F54:F61" si="10">G22</f>
        <v>2.4582234273525216E-4</v>
      </c>
      <c r="G54" s="1235">
        <f t="shared" ref="G54:G61" si="11">D54+E54+F54</f>
        <v>5.8698378573848548E-2</v>
      </c>
      <c r="H54" s="1"/>
      <c r="I54" s="1"/>
      <c r="J54" s="1"/>
      <c r="K54" s="1"/>
      <c r="L54" s="1"/>
      <c r="M54" s="1"/>
      <c r="N54" s="1"/>
      <c r="O54" s="1"/>
      <c r="P54" s="1"/>
      <c r="Q54" s="1"/>
      <c r="R54" s="1"/>
      <c r="S54" s="1"/>
      <c r="T54" s="1"/>
      <c r="U54" s="1"/>
      <c r="V54" s="1"/>
      <c r="W54" s="1"/>
      <c r="X54" s="1"/>
      <c r="Y54" s="1"/>
      <c r="Z54" s="1"/>
    </row>
    <row r="55" spans="1:26" ht="15.75" customHeight="1">
      <c r="A55" s="1"/>
      <c r="B55" s="276" t="s">
        <v>703</v>
      </c>
      <c r="C55" s="49">
        <v>8363</v>
      </c>
      <c r="D55" s="1139">
        <f t="shared" si="8"/>
        <v>0.6179816520514021</v>
      </c>
      <c r="E55" s="1234">
        <f t="shared" si="9"/>
        <v>2.3470329373926416E-3</v>
      </c>
      <c r="F55" s="1139">
        <f t="shared" si="10"/>
        <v>1.3327794180193928E-3</v>
      </c>
      <c r="G55" s="1235">
        <f t="shared" si="11"/>
        <v>0.62166146440681413</v>
      </c>
      <c r="H55" s="1"/>
      <c r="I55" s="1"/>
      <c r="J55" s="1"/>
      <c r="K55" s="1"/>
      <c r="L55" s="1"/>
      <c r="M55" s="1"/>
      <c r="N55" s="1"/>
      <c r="O55" s="1"/>
      <c r="P55" s="1"/>
      <c r="Q55" s="1"/>
      <c r="R55" s="1"/>
      <c r="S55" s="1"/>
      <c r="T55" s="1"/>
      <c r="U55" s="1"/>
      <c r="V55" s="1"/>
      <c r="W55" s="1"/>
      <c r="X55" s="1"/>
      <c r="Y55" s="1"/>
      <c r="Z55" s="1"/>
    </row>
    <row r="56" spans="1:26" ht="15.75" customHeight="1">
      <c r="A56" s="1"/>
      <c r="B56" s="276" t="s">
        <v>946</v>
      </c>
      <c r="C56" s="49">
        <v>132</v>
      </c>
      <c r="D56" s="1139">
        <f t="shared" si="8"/>
        <v>9.6531169503075998E-3</v>
      </c>
      <c r="E56" s="1234">
        <f t="shared" si="9"/>
        <v>3.7045121097193439E-5</v>
      </c>
      <c r="F56" s="1139">
        <f t="shared" si="10"/>
        <v>2.1036336623049127E-5</v>
      </c>
      <c r="G56" s="1235">
        <f t="shared" si="11"/>
        <v>9.7111984080278432E-3</v>
      </c>
      <c r="H56" s="1"/>
      <c r="I56" s="1"/>
      <c r="J56" s="1"/>
      <c r="K56" s="1"/>
      <c r="L56" s="1"/>
      <c r="M56" s="1"/>
      <c r="N56" s="1"/>
      <c r="O56" s="1"/>
      <c r="P56" s="1"/>
      <c r="Q56" s="1"/>
      <c r="R56" s="1"/>
      <c r="S56" s="1"/>
      <c r="T56" s="1"/>
      <c r="U56" s="1"/>
      <c r="V56" s="1"/>
      <c r="W56" s="1"/>
      <c r="X56" s="1"/>
      <c r="Y56" s="1"/>
      <c r="Z56" s="1"/>
    </row>
    <row r="57" spans="1:26" ht="15.75" customHeight="1">
      <c r="A57" s="1"/>
      <c r="B57" s="276" t="s">
        <v>909</v>
      </c>
      <c r="C57" s="49">
        <v>3276</v>
      </c>
      <c r="D57" s="1139">
        <f t="shared" si="8"/>
        <v>0.20219729290016566</v>
      </c>
      <c r="E57" s="1234">
        <f t="shared" si="9"/>
        <v>9.1939255086670999E-4</v>
      </c>
      <c r="F57" s="1139">
        <f t="shared" si="10"/>
        <v>5.2208362709931021E-4</v>
      </c>
      <c r="G57" s="1235">
        <f t="shared" si="11"/>
        <v>0.20363876907813169</v>
      </c>
      <c r="H57" s="1"/>
      <c r="I57" s="1"/>
      <c r="J57" s="1"/>
      <c r="K57" s="1"/>
      <c r="L57" s="1"/>
      <c r="M57" s="1"/>
      <c r="N57" s="1"/>
      <c r="O57" s="1"/>
      <c r="P57" s="1"/>
      <c r="Q57" s="1"/>
      <c r="R57" s="1"/>
      <c r="S57" s="1"/>
      <c r="T57" s="1"/>
      <c r="U57" s="1"/>
      <c r="V57" s="1"/>
      <c r="W57" s="1"/>
      <c r="X57" s="1"/>
      <c r="Y57" s="1"/>
      <c r="Z57" s="1"/>
    </row>
    <row r="58" spans="1:26" ht="15.75" customHeight="1">
      <c r="A58" s="1"/>
      <c r="B58" s="276" t="s">
        <v>827</v>
      </c>
      <c r="C58" s="49">
        <v>176</v>
      </c>
      <c r="D58" s="1139">
        <f t="shared" si="8"/>
        <v>1.2557830994723879E-2</v>
      </c>
      <c r="E58" s="1234">
        <f t="shared" si="9"/>
        <v>4.9393494796257921E-5</v>
      </c>
      <c r="F58" s="1139">
        <f t="shared" si="10"/>
        <v>2.8048448830732169E-5</v>
      </c>
      <c r="G58" s="1235">
        <f t="shared" si="11"/>
        <v>1.2635272938350869E-2</v>
      </c>
      <c r="H58" s="1"/>
      <c r="I58" s="1"/>
      <c r="J58" s="1"/>
      <c r="K58" s="1"/>
      <c r="L58" s="1"/>
      <c r="M58" s="1"/>
      <c r="N58" s="1"/>
      <c r="O58" s="1"/>
      <c r="P58" s="1"/>
      <c r="Q58" s="1"/>
      <c r="R58" s="1"/>
      <c r="S58" s="1"/>
      <c r="T58" s="1"/>
      <c r="U58" s="1"/>
      <c r="V58" s="1"/>
      <c r="W58" s="1"/>
      <c r="X58" s="1"/>
      <c r="Y58" s="1"/>
      <c r="Z58" s="1"/>
    </row>
    <row r="59" spans="1:26" ht="15.75" customHeight="1">
      <c r="A59" s="1"/>
      <c r="B59" s="276" t="s">
        <v>704</v>
      </c>
      <c r="C59" s="49">
        <v>28</v>
      </c>
      <c r="D59" s="1139">
        <f t="shared" si="8"/>
        <v>2.1007193192318667E-3</v>
      </c>
      <c r="E59" s="1234">
        <f t="shared" si="9"/>
        <v>7.8580559903137596E-6</v>
      </c>
      <c r="F59" s="1139">
        <f t="shared" si="10"/>
        <v>4.4622532230710261E-6</v>
      </c>
      <c r="G59" s="1235">
        <f t="shared" si="11"/>
        <v>2.1130396284452517E-3</v>
      </c>
      <c r="H59" s="1"/>
      <c r="I59" s="1"/>
      <c r="J59" s="1"/>
      <c r="K59" s="1"/>
      <c r="L59" s="1"/>
      <c r="M59" s="1"/>
      <c r="N59" s="1"/>
      <c r="O59" s="1"/>
      <c r="P59" s="1"/>
      <c r="Q59" s="1"/>
      <c r="R59" s="1"/>
      <c r="S59" s="1"/>
      <c r="T59" s="1"/>
      <c r="U59" s="1"/>
      <c r="V59" s="1"/>
      <c r="W59" s="1"/>
      <c r="X59" s="1"/>
      <c r="Y59" s="1"/>
      <c r="Z59" s="1"/>
    </row>
    <row r="60" spans="1:26" ht="15.75" customHeight="1">
      <c r="A60" s="1"/>
      <c r="B60" s="276" t="s">
        <v>295</v>
      </c>
      <c r="C60" s="49">
        <v>69374</v>
      </c>
      <c r="D60" s="1139">
        <f t="shared" si="8"/>
        <v>3.6771891538221788</v>
      </c>
      <c r="E60" s="1234">
        <f t="shared" si="9"/>
        <v>9.222374034677145E-3</v>
      </c>
      <c r="F60" s="1139">
        <f t="shared" si="10"/>
        <v>1.7456636565638885E-3</v>
      </c>
      <c r="G60" s="1235">
        <f t="shared" si="11"/>
        <v>3.6881571915134201</v>
      </c>
      <c r="H60" s="1"/>
      <c r="I60" s="1"/>
      <c r="J60" s="1"/>
      <c r="K60" s="1"/>
      <c r="L60" s="1"/>
      <c r="M60" s="1"/>
      <c r="N60" s="1"/>
      <c r="O60" s="1"/>
      <c r="P60" s="1"/>
      <c r="Q60" s="1"/>
      <c r="R60" s="1"/>
      <c r="S60" s="1"/>
      <c r="T60" s="1"/>
      <c r="U60" s="1"/>
      <c r="V60" s="1"/>
      <c r="W60" s="1"/>
      <c r="X60" s="1"/>
      <c r="Y60" s="1"/>
      <c r="Z60" s="1"/>
    </row>
    <row r="61" spans="1:26" ht="15.75" customHeight="1">
      <c r="A61" s="1"/>
      <c r="B61" s="276" t="s">
        <v>808</v>
      </c>
      <c r="C61" s="49">
        <v>3556</v>
      </c>
      <c r="D61" s="75">
        <v>0</v>
      </c>
      <c r="E61" s="1234">
        <f t="shared" si="9"/>
        <v>2.836344630609041E-2</v>
      </c>
      <c r="F61" s="1139">
        <f t="shared" si="10"/>
        <v>3.5791967957685511E-3</v>
      </c>
      <c r="G61" s="1236">
        <f t="shared" si="11"/>
        <v>3.1942643101858958E-2</v>
      </c>
      <c r="H61" s="1"/>
      <c r="I61" s="1"/>
      <c r="J61" s="1"/>
      <c r="K61" s="1"/>
      <c r="L61" s="1"/>
      <c r="M61" s="1"/>
      <c r="N61" s="1"/>
      <c r="O61" s="1"/>
      <c r="P61" s="1"/>
      <c r="Q61" s="1"/>
      <c r="R61" s="1"/>
      <c r="S61" s="1"/>
      <c r="T61" s="1"/>
      <c r="U61" s="1"/>
      <c r="V61" s="1"/>
      <c r="W61" s="1"/>
      <c r="X61" s="1"/>
      <c r="Y61" s="1"/>
      <c r="Z61" s="1"/>
    </row>
    <row r="62" spans="1:26" ht="15.75" customHeight="1">
      <c r="A62" s="1"/>
      <c r="B62" s="1180"/>
      <c r="C62" s="1169"/>
      <c r="D62" s="1169"/>
      <c r="E62" s="1169"/>
      <c r="F62" s="1225" t="s">
        <v>177</v>
      </c>
      <c r="G62" s="1237">
        <f>SUM(G54:G61)</f>
        <v>4.6285579576488969</v>
      </c>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45" customHeight="1">
      <c r="A69" s="1"/>
      <c r="B69" s="2245" t="s">
        <v>984</v>
      </c>
      <c r="C69" s="2243"/>
      <c r="D69" s="2243"/>
      <c r="E69" s="2243"/>
      <c r="F69" s="2243"/>
      <c r="G69" s="2243"/>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44.25" customHeight="1">
      <c r="A73" s="1"/>
      <c r="B73" s="2245" t="s">
        <v>964</v>
      </c>
      <c r="C73" s="2243"/>
      <c r="D73" s="2243"/>
      <c r="E73" s="2243"/>
      <c r="F73" s="2243"/>
      <c r="G73" s="2243"/>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row r="275" spans="1:26" ht="15.75" customHeight="1"/>
    <row r="276" spans="1:26" ht="15.75" customHeight="1"/>
    <row r="277" spans="1:26" ht="15.75" customHeight="1"/>
    <row r="278" spans="1:26" ht="15.75" customHeight="1"/>
    <row r="279" spans="1:26" ht="15.75" customHeight="1"/>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I5:J5"/>
    <mergeCell ref="B69:G69"/>
    <mergeCell ref="B73:G73"/>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331"/>
  <sheetViews>
    <sheetView workbookViewId="0"/>
  </sheetViews>
  <sheetFormatPr defaultColWidth="16.85546875" defaultRowHeight="15" customHeight="1"/>
  <cols>
    <col min="1" max="1" width="9.28515625" customWidth="1"/>
    <col min="2" max="2" width="42.28515625" customWidth="1"/>
    <col min="3" max="3" width="17.85546875" customWidth="1"/>
    <col min="4" max="4" width="19.28515625" customWidth="1"/>
    <col min="5" max="5" width="24.85546875" customWidth="1"/>
    <col min="6" max="7" width="20.28515625" customWidth="1"/>
    <col min="8" max="8" width="15.140625" customWidth="1"/>
    <col min="9" max="9" width="22" customWidth="1"/>
    <col min="10" max="10" width="17.140625" customWidth="1"/>
    <col min="11" max="11" width="9.28515625" customWidth="1"/>
    <col min="12" max="12" width="10.42578125" customWidth="1"/>
    <col min="13" max="16" width="9.28515625" customWidth="1"/>
    <col min="17" max="26" width="8" customWidth="1"/>
  </cols>
  <sheetData>
    <row r="1" spans="1:26" ht="14.4">
      <c r="A1" s="1"/>
      <c r="B1" s="1"/>
      <c r="C1" s="404"/>
      <c r="D1" s="404"/>
      <c r="E1" s="404"/>
      <c r="F1" s="42"/>
      <c r="G1" s="404"/>
      <c r="H1" s="404"/>
      <c r="I1" s="404"/>
      <c r="J1" s="404"/>
      <c r="K1" s="404"/>
      <c r="L1" s="404"/>
      <c r="M1" s="404"/>
      <c r="N1" s="404"/>
      <c r="O1" s="404"/>
      <c r="P1" s="404"/>
      <c r="Q1" s="404"/>
      <c r="R1" s="404"/>
      <c r="S1" s="404"/>
      <c r="T1" s="404"/>
      <c r="U1" s="404"/>
      <c r="V1" s="404"/>
      <c r="W1" s="404"/>
      <c r="X1" s="404"/>
      <c r="Y1" s="404"/>
      <c r="Z1" s="404"/>
    </row>
    <row r="2" spans="1:26" ht="14.4">
      <c r="A2" s="1"/>
      <c r="B2" s="1239" t="s">
        <v>985</v>
      </c>
      <c r="C2" s="404"/>
      <c r="D2" s="404"/>
      <c r="E2" s="404"/>
      <c r="F2" s="42"/>
      <c r="G2" s="404"/>
      <c r="H2" s="404"/>
      <c r="I2" s="404"/>
      <c r="J2" s="404"/>
      <c r="K2" s="404"/>
      <c r="L2" s="404"/>
      <c r="M2" s="404"/>
      <c r="N2" s="404"/>
      <c r="O2" s="404"/>
      <c r="P2" s="404"/>
      <c r="Q2" s="404"/>
      <c r="R2" s="404"/>
      <c r="S2" s="404"/>
      <c r="T2" s="404"/>
      <c r="U2" s="404"/>
      <c r="V2" s="404"/>
      <c r="W2" s="404"/>
      <c r="X2" s="404"/>
      <c r="Y2" s="404"/>
      <c r="Z2" s="404"/>
    </row>
    <row r="3" spans="1:26" ht="14.4">
      <c r="A3" s="1"/>
      <c r="B3" s="1"/>
      <c r="C3" s="404"/>
      <c r="D3" s="404"/>
      <c r="E3" s="404"/>
      <c r="F3" s="42"/>
      <c r="G3" s="404"/>
      <c r="H3" s="404"/>
      <c r="I3" s="404"/>
      <c r="J3" s="404"/>
      <c r="K3" s="404"/>
      <c r="L3" s="404"/>
      <c r="M3" s="404"/>
      <c r="N3" s="404"/>
      <c r="O3" s="404"/>
      <c r="P3" s="404"/>
      <c r="Q3" s="404"/>
      <c r="R3" s="404"/>
      <c r="S3" s="404"/>
      <c r="T3" s="404"/>
      <c r="U3" s="404"/>
      <c r="V3" s="404"/>
      <c r="W3" s="404"/>
      <c r="X3" s="404"/>
      <c r="Y3" s="404"/>
      <c r="Z3" s="404"/>
    </row>
    <row r="4" spans="1:26" ht="14.4">
      <c r="A4" s="1"/>
      <c r="B4" s="1"/>
      <c r="C4" s="404"/>
      <c r="D4" s="404"/>
      <c r="E4" s="404"/>
      <c r="F4" s="42"/>
      <c r="G4" s="404"/>
      <c r="H4" s="404"/>
      <c r="I4" s="404"/>
      <c r="J4" s="404"/>
      <c r="K4" s="404"/>
      <c r="L4" s="404"/>
      <c r="M4" s="404"/>
      <c r="N4" s="404"/>
      <c r="O4" s="404"/>
      <c r="P4" s="404"/>
      <c r="Q4" s="404"/>
      <c r="R4" s="404"/>
      <c r="S4" s="404"/>
      <c r="T4" s="404"/>
      <c r="U4" s="404"/>
      <c r="V4" s="404"/>
      <c r="W4" s="404"/>
      <c r="X4" s="404"/>
      <c r="Y4" s="404"/>
      <c r="Z4" s="404"/>
    </row>
    <row r="5" spans="1:26" ht="14.4">
      <c r="A5" s="1"/>
      <c r="B5" s="1"/>
      <c r="C5" s="404"/>
      <c r="D5" s="404"/>
      <c r="E5" s="404"/>
      <c r="F5" s="42" t="s">
        <v>70</v>
      </c>
      <c r="G5" s="404"/>
      <c r="H5" s="404"/>
      <c r="I5" s="404"/>
      <c r="J5" s="404"/>
      <c r="K5" s="404"/>
      <c r="L5" s="404"/>
      <c r="M5" s="404"/>
      <c r="N5" s="404"/>
      <c r="O5" s="404"/>
      <c r="P5" s="404"/>
      <c r="Q5" s="404"/>
      <c r="R5" s="404"/>
      <c r="S5" s="404"/>
      <c r="T5" s="404"/>
      <c r="U5" s="404"/>
      <c r="V5" s="404"/>
      <c r="W5" s="404"/>
      <c r="X5" s="404"/>
      <c r="Y5" s="404"/>
      <c r="Z5" s="404"/>
    </row>
    <row r="6" spans="1:26" ht="14.4">
      <c r="A6" s="2246"/>
      <c r="B6" s="2243"/>
      <c r="C6" s="2243"/>
      <c r="D6" s="2243"/>
      <c r="E6" s="2243"/>
      <c r="F6" s="2243"/>
      <c r="G6" s="2243"/>
      <c r="H6" s="2243"/>
      <c r="I6" s="2243"/>
      <c r="J6" s="2243"/>
      <c r="K6" s="404"/>
      <c r="L6" s="404"/>
      <c r="M6" s="404"/>
      <c r="N6" s="404"/>
      <c r="O6" s="404"/>
      <c r="P6" s="404"/>
      <c r="Q6" s="404"/>
      <c r="R6" s="404"/>
      <c r="S6" s="404"/>
      <c r="T6" s="404"/>
      <c r="U6" s="404"/>
      <c r="V6" s="404"/>
      <c r="W6" s="404"/>
      <c r="X6" s="404"/>
      <c r="Y6" s="404"/>
      <c r="Z6" s="404"/>
    </row>
    <row r="7" spans="1:26" ht="14.4">
      <c r="A7" s="1"/>
      <c r="B7" s="1"/>
      <c r="C7" s="1"/>
      <c r="D7" s="1"/>
      <c r="E7" s="1"/>
      <c r="F7" s="1"/>
      <c r="G7" s="1"/>
      <c r="H7" s="1"/>
      <c r="I7" s="1"/>
      <c r="J7" s="1"/>
      <c r="K7" s="1"/>
      <c r="L7" s="1"/>
      <c r="M7" s="1"/>
      <c r="N7" s="1"/>
      <c r="O7" s="1"/>
      <c r="P7" s="1"/>
      <c r="Q7" s="1"/>
      <c r="R7" s="1"/>
      <c r="S7" s="1"/>
      <c r="T7" s="1"/>
      <c r="U7" s="1"/>
      <c r="V7" s="1"/>
      <c r="W7" s="1"/>
      <c r="X7" s="1"/>
      <c r="Y7" s="1"/>
      <c r="Z7" s="1"/>
    </row>
    <row r="8" spans="1:26" ht="15" customHeight="1">
      <c r="A8" s="1"/>
      <c r="B8" s="1171" t="s">
        <v>986</v>
      </c>
      <c r="C8" s="1171"/>
      <c r="D8" s="1171">
        <v>2011</v>
      </c>
      <c r="E8" s="404"/>
      <c r="F8" s="404"/>
      <c r="G8" s="404"/>
      <c r="H8" s="404"/>
      <c r="I8" s="404"/>
      <c r="J8" s="404"/>
      <c r="K8" s="404"/>
      <c r="L8" s="404"/>
      <c r="M8" s="404"/>
      <c r="N8" s="404"/>
      <c r="O8" s="404"/>
      <c r="P8" s="1"/>
      <c r="Q8" s="1"/>
      <c r="R8" s="1"/>
      <c r="S8" s="1"/>
      <c r="T8" s="1"/>
      <c r="U8" s="1"/>
      <c r="V8" s="1"/>
      <c r="W8" s="1"/>
      <c r="X8" s="1"/>
      <c r="Y8" s="1"/>
      <c r="Z8" s="1"/>
    </row>
    <row r="9" spans="1:26" ht="14.4">
      <c r="A9" s="1"/>
      <c r="B9" s="800"/>
      <c r="C9" s="801" t="s">
        <v>262</v>
      </c>
      <c r="D9" s="801" t="s">
        <v>915</v>
      </c>
      <c r="E9" s="1240"/>
      <c r="F9" s="801" t="s">
        <v>916</v>
      </c>
      <c r="G9" s="1240"/>
      <c r="H9" s="1240"/>
      <c r="I9" s="1240"/>
      <c r="J9" s="1241"/>
      <c r="K9" s="404"/>
      <c r="L9" s="2237" t="s">
        <v>1</v>
      </c>
      <c r="M9" s="2238"/>
      <c r="N9" s="404"/>
      <c r="O9" s="404"/>
      <c r="P9" s="1"/>
      <c r="Q9" s="1"/>
      <c r="R9" s="1"/>
      <c r="S9" s="1"/>
      <c r="T9" s="1"/>
      <c r="U9" s="1"/>
      <c r="V9" s="1"/>
      <c r="W9" s="1"/>
      <c r="X9" s="1"/>
      <c r="Y9" s="1"/>
      <c r="Z9" s="1"/>
    </row>
    <row r="10" spans="1:26" ht="14.4">
      <c r="A10" s="1"/>
      <c r="B10" s="1242"/>
      <c r="C10" s="1243" t="s">
        <v>90</v>
      </c>
      <c r="D10" s="1243" t="s">
        <v>90</v>
      </c>
      <c r="E10" s="1244"/>
      <c r="F10" s="1243" t="s">
        <v>90</v>
      </c>
      <c r="G10" s="1243" t="s">
        <v>881</v>
      </c>
      <c r="H10" s="1243" t="s">
        <v>882</v>
      </c>
      <c r="I10" s="1165" t="s">
        <v>118</v>
      </c>
      <c r="J10" s="1166" t="s">
        <v>118</v>
      </c>
      <c r="K10" s="404"/>
      <c r="L10" s="52"/>
      <c r="M10" s="52"/>
      <c r="N10" s="46"/>
      <c r="O10" s="404"/>
      <c r="P10" s="1"/>
      <c r="Q10" s="1"/>
      <c r="R10" s="1"/>
      <c r="S10" s="1"/>
      <c r="T10" s="1"/>
      <c r="U10" s="1"/>
      <c r="V10" s="1"/>
      <c r="W10" s="1"/>
      <c r="X10" s="1"/>
      <c r="Y10" s="1"/>
      <c r="Z10" s="1"/>
    </row>
    <row r="11" spans="1:26" ht="14.4">
      <c r="A11" s="1"/>
      <c r="B11" s="804" t="s">
        <v>348</v>
      </c>
      <c r="C11" s="805" t="s">
        <v>699</v>
      </c>
      <c r="D11" s="805" t="s">
        <v>699</v>
      </c>
      <c r="E11" s="805" t="s">
        <v>917</v>
      </c>
      <c r="F11" s="805" t="s">
        <v>699</v>
      </c>
      <c r="G11" s="805" t="s">
        <v>885</v>
      </c>
      <c r="H11" s="805" t="s">
        <v>886</v>
      </c>
      <c r="I11" s="805" t="s">
        <v>887</v>
      </c>
      <c r="J11" s="807" t="s">
        <v>987</v>
      </c>
      <c r="K11" s="1063"/>
      <c r="L11" s="53" t="s">
        <v>80</v>
      </c>
      <c r="M11" s="54">
        <f>Summary!E4</f>
        <v>1</v>
      </c>
      <c r="N11" s="1063"/>
      <c r="O11" s="404"/>
      <c r="P11" s="1"/>
      <c r="Q11" s="1"/>
      <c r="R11" s="1"/>
      <c r="S11" s="1"/>
      <c r="T11" s="1"/>
      <c r="U11" s="1"/>
      <c r="V11" s="1"/>
      <c r="W11" s="1"/>
      <c r="X11" s="1"/>
      <c r="Y11" s="1"/>
      <c r="Z11" s="1"/>
    </row>
    <row r="12" spans="1:26" ht="14.4">
      <c r="A12" s="1"/>
      <c r="B12" s="808" t="s">
        <v>988</v>
      </c>
      <c r="C12" s="809">
        <v>0</v>
      </c>
      <c r="D12" s="809">
        <v>0</v>
      </c>
      <c r="E12" s="1245">
        <v>0.1</v>
      </c>
      <c r="F12" s="1246">
        <f t="shared" ref="F12:F33" si="0">C12-(D12*E12)</f>
        <v>0</v>
      </c>
      <c r="G12" s="1247">
        <v>56.195454545454538</v>
      </c>
      <c r="H12" s="1248">
        <v>1</v>
      </c>
      <c r="I12" s="71">
        <f t="shared" ref="I12:I14" si="1">(F12*1000*G12*H12)/2000</f>
        <v>0</v>
      </c>
      <c r="J12" s="1185">
        <v>0</v>
      </c>
      <c r="K12" s="1077"/>
      <c r="L12" s="53" t="s">
        <v>82</v>
      </c>
      <c r="M12" s="54">
        <f>Summary!E5</f>
        <v>28</v>
      </c>
      <c r="N12" s="1086"/>
      <c r="O12" s="1249"/>
      <c r="P12" s="1"/>
      <c r="Q12" s="1"/>
      <c r="R12" s="1"/>
      <c r="S12" s="1"/>
      <c r="T12" s="1"/>
      <c r="U12" s="1"/>
      <c r="V12" s="1"/>
      <c r="W12" s="1"/>
      <c r="X12" s="1"/>
      <c r="Y12" s="1"/>
      <c r="Z12" s="1"/>
    </row>
    <row r="13" spans="1:26" ht="14.4">
      <c r="A13" s="1"/>
      <c r="B13" s="808" t="s">
        <v>989</v>
      </c>
      <c r="C13" s="1250">
        <v>21655</v>
      </c>
      <c r="D13" s="809">
        <v>227</v>
      </c>
      <c r="E13" s="1245">
        <v>0</v>
      </c>
      <c r="F13" s="1246">
        <f t="shared" si="0"/>
        <v>21655</v>
      </c>
      <c r="G13" s="1247">
        <v>56.852727272727272</v>
      </c>
      <c r="H13" s="1248">
        <v>1</v>
      </c>
      <c r="I13" s="71">
        <f t="shared" si="1"/>
        <v>615572.90454545454</v>
      </c>
      <c r="J13" s="1185">
        <f>I13*(44/12)*0.90718474/1000000</f>
        <v>2.0476072663240812</v>
      </c>
      <c r="K13" s="1077"/>
      <c r="L13" s="53" t="s">
        <v>83</v>
      </c>
      <c r="M13" s="54">
        <f>Summary!E6</f>
        <v>265</v>
      </c>
      <c r="N13" s="1086"/>
      <c r="O13" s="1249"/>
      <c r="P13" s="1"/>
      <c r="Q13" s="1"/>
      <c r="R13" s="1"/>
      <c r="S13" s="1"/>
      <c r="T13" s="1"/>
      <c r="U13" s="1"/>
      <c r="V13" s="1"/>
      <c r="W13" s="1"/>
      <c r="X13" s="1"/>
      <c r="Y13" s="1"/>
      <c r="Z13" s="1"/>
    </row>
    <row r="14" spans="1:26" ht="14.4">
      <c r="A14" s="1"/>
      <c r="B14" s="808" t="s">
        <v>990</v>
      </c>
      <c r="C14" s="1250">
        <v>19835</v>
      </c>
      <c r="D14" s="809">
        <v>22046</v>
      </c>
      <c r="E14" s="1245">
        <v>1</v>
      </c>
      <c r="F14" s="1246">
        <f t="shared" si="0"/>
        <v>-2211</v>
      </c>
      <c r="G14" s="1247">
        <v>45.27</v>
      </c>
      <c r="H14" s="1248">
        <v>1</v>
      </c>
      <c r="I14" s="71">
        <f t="shared" si="1"/>
        <v>-50045.985000000001</v>
      </c>
      <c r="J14" s="1185">
        <v>0</v>
      </c>
      <c r="K14" s="1077"/>
      <c r="L14" s="53" t="s">
        <v>85</v>
      </c>
      <c r="M14" s="54">
        <f>Summary!E7</f>
        <v>23500</v>
      </c>
      <c r="N14" s="1086"/>
      <c r="O14" s="1249"/>
      <c r="P14" s="1"/>
      <c r="Q14" s="1"/>
      <c r="R14" s="1"/>
      <c r="S14" s="1"/>
      <c r="T14" s="1"/>
      <c r="U14" s="1"/>
      <c r="V14" s="1"/>
      <c r="W14" s="1"/>
      <c r="X14" s="1"/>
      <c r="Y14" s="1"/>
      <c r="Z14" s="1"/>
    </row>
    <row r="15" spans="1:26" ht="28.8">
      <c r="A15" s="1"/>
      <c r="B15" s="1251" t="s">
        <v>991</v>
      </c>
      <c r="C15" s="809">
        <v>0</v>
      </c>
      <c r="D15" s="809">
        <v>0</v>
      </c>
      <c r="E15" s="1245">
        <v>0</v>
      </c>
      <c r="F15" s="1246">
        <f t="shared" si="0"/>
        <v>0</v>
      </c>
      <c r="G15" s="1247">
        <v>41.56</v>
      </c>
      <c r="H15" s="1248">
        <v>1</v>
      </c>
      <c r="I15" s="71">
        <f t="shared" ref="I15:I16" si="2">F15*G15*H15/2000</f>
        <v>0</v>
      </c>
      <c r="J15" s="1185">
        <f t="shared" ref="J15:J33" si="3">I15*(44/12)*0.90718474/1000000</f>
        <v>0</v>
      </c>
      <c r="K15" s="1077"/>
      <c r="L15" s="53"/>
      <c r="M15" s="54"/>
      <c r="N15" s="1086"/>
      <c r="O15" s="1249"/>
      <c r="P15" s="1"/>
      <c r="Q15" s="1"/>
      <c r="R15" s="1"/>
      <c r="S15" s="1"/>
      <c r="T15" s="1"/>
      <c r="U15" s="1"/>
      <c r="V15" s="1"/>
      <c r="W15" s="1"/>
      <c r="X15" s="1"/>
      <c r="Y15" s="1"/>
      <c r="Z15" s="1"/>
    </row>
    <row r="16" spans="1:26" ht="14.4">
      <c r="A16" s="1"/>
      <c r="B16" s="1251" t="s">
        <v>992</v>
      </c>
      <c r="C16" s="809">
        <v>0</v>
      </c>
      <c r="D16" s="809">
        <v>0</v>
      </c>
      <c r="E16" s="1245">
        <v>0</v>
      </c>
      <c r="F16" s="1246">
        <f t="shared" si="0"/>
        <v>0</v>
      </c>
      <c r="G16" s="1252">
        <v>44.77366188659483</v>
      </c>
      <c r="H16" s="1248">
        <v>1</v>
      </c>
      <c r="I16" s="71">
        <f t="shared" si="2"/>
        <v>0</v>
      </c>
      <c r="J16" s="1185">
        <f t="shared" si="3"/>
        <v>0</v>
      </c>
      <c r="K16" s="1077"/>
      <c r="L16" s="1"/>
      <c r="M16" s="1249"/>
      <c r="N16" s="1086"/>
      <c r="O16" s="1249"/>
      <c r="P16" s="1"/>
      <c r="Q16" s="1"/>
      <c r="R16" s="1"/>
      <c r="S16" s="1"/>
      <c r="T16" s="1"/>
      <c r="U16" s="1"/>
      <c r="V16" s="1"/>
      <c r="W16" s="1"/>
      <c r="X16" s="1"/>
      <c r="Y16" s="1"/>
      <c r="Z16" s="1"/>
    </row>
    <row r="17" spans="1:26" ht="14.4">
      <c r="A17" s="1"/>
      <c r="B17" s="808" t="s">
        <v>703</v>
      </c>
      <c r="C17" s="1250">
        <v>7382</v>
      </c>
      <c r="D17" s="809">
        <v>96</v>
      </c>
      <c r="E17" s="1245">
        <v>0.5</v>
      </c>
      <c r="F17" s="1246">
        <f t="shared" si="0"/>
        <v>7334</v>
      </c>
      <c r="G17" s="1247">
        <v>44.43</v>
      </c>
      <c r="H17" s="1248">
        <v>1</v>
      </c>
      <c r="I17" s="71">
        <f t="shared" ref="I17:I23" si="4">(F17*1000*G17*H17)/2000</f>
        <v>162924.81</v>
      </c>
      <c r="J17" s="1185">
        <f t="shared" si="3"/>
        <v>0.54194397179779785</v>
      </c>
      <c r="K17" s="1077"/>
      <c r="L17" s="1"/>
      <c r="M17" s="1249"/>
      <c r="N17" s="1086"/>
      <c r="O17" s="1249"/>
      <c r="P17" s="1"/>
      <c r="Q17" s="1"/>
      <c r="R17" s="1"/>
      <c r="S17" s="1"/>
      <c r="T17" s="1"/>
      <c r="U17" s="1"/>
      <c r="V17" s="1"/>
      <c r="W17" s="1"/>
      <c r="X17" s="1"/>
      <c r="Y17" s="1"/>
      <c r="Z17" s="1"/>
    </row>
    <row r="18" spans="1:26" ht="14.4">
      <c r="A18" s="1"/>
      <c r="B18" s="1251" t="s">
        <v>993</v>
      </c>
      <c r="C18" s="1253">
        <v>0</v>
      </c>
      <c r="D18" s="809"/>
      <c r="E18" s="1245">
        <v>0.61918625610433442</v>
      </c>
      <c r="F18" s="1246">
        <f t="shared" si="0"/>
        <v>0</v>
      </c>
      <c r="G18" s="1247">
        <v>40.86</v>
      </c>
      <c r="H18" s="1248">
        <v>1</v>
      </c>
      <c r="I18" s="71">
        <f t="shared" si="4"/>
        <v>0</v>
      </c>
      <c r="J18" s="1185">
        <f t="shared" si="3"/>
        <v>0</v>
      </c>
      <c r="K18" s="1077"/>
      <c r="L18" s="1"/>
      <c r="M18" s="1249"/>
      <c r="N18" s="1086"/>
      <c r="O18" s="1249"/>
      <c r="P18" s="1"/>
      <c r="Q18" s="1"/>
      <c r="R18" s="1"/>
      <c r="S18" s="1"/>
      <c r="T18" s="1"/>
      <c r="U18" s="1"/>
      <c r="V18" s="1"/>
      <c r="W18" s="1"/>
      <c r="X18" s="1"/>
      <c r="Y18" s="1"/>
      <c r="Z18" s="1"/>
    </row>
    <row r="19" spans="1:26" ht="28.8">
      <c r="A19" s="1"/>
      <c r="B19" s="1251" t="s">
        <v>994</v>
      </c>
      <c r="C19" s="1253">
        <v>0</v>
      </c>
      <c r="D19" s="809"/>
      <c r="E19" s="1245">
        <v>0.61918625610433442</v>
      </c>
      <c r="F19" s="1246">
        <f t="shared" si="0"/>
        <v>0</v>
      </c>
      <c r="G19" s="1247">
        <v>44.43</v>
      </c>
      <c r="H19" s="1248">
        <v>1</v>
      </c>
      <c r="I19" s="71">
        <f t="shared" si="4"/>
        <v>0</v>
      </c>
      <c r="J19" s="1185">
        <f t="shared" si="3"/>
        <v>0</v>
      </c>
      <c r="K19" s="1077"/>
      <c r="L19" s="1"/>
      <c r="M19" s="1249"/>
      <c r="N19" s="1086"/>
      <c r="O19" s="1249"/>
      <c r="P19" s="1"/>
      <c r="Q19" s="1"/>
      <c r="R19" s="1"/>
      <c r="S19" s="1"/>
      <c r="T19" s="1"/>
      <c r="U19" s="1"/>
      <c r="V19" s="1"/>
      <c r="W19" s="1"/>
      <c r="X19" s="1"/>
      <c r="Y19" s="1"/>
      <c r="Z19" s="1"/>
    </row>
    <row r="20" spans="1:26" ht="14.4">
      <c r="A20" s="1"/>
      <c r="B20" s="808" t="s">
        <v>946</v>
      </c>
      <c r="C20" s="1250">
        <v>7</v>
      </c>
      <c r="D20" s="809">
        <v>0</v>
      </c>
      <c r="E20" s="1245">
        <v>0</v>
      </c>
      <c r="F20" s="1246">
        <f t="shared" si="0"/>
        <v>7</v>
      </c>
      <c r="G20" s="1247">
        <v>43.97</v>
      </c>
      <c r="H20" s="1248">
        <v>1</v>
      </c>
      <c r="I20" s="71">
        <f t="shared" si="4"/>
        <v>153.89500000000001</v>
      </c>
      <c r="J20" s="1185">
        <f t="shared" si="3"/>
        <v>5.1190771706176666E-4</v>
      </c>
      <c r="K20" s="1077"/>
      <c r="L20" s="1"/>
      <c r="M20" s="1249"/>
      <c r="N20" s="1086"/>
      <c r="O20" s="1249"/>
      <c r="P20" s="1"/>
      <c r="Q20" s="1"/>
      <c r="R20" s="1"/>
      <c r="S20" s="1"/>
      <c r="T20" s="1"/>
      <c r="U20" s="1"/>
      <c r="V20" s="1"/>
      <c r="W20" s="1"/>
      <c r="X20" s="1"/>
      <c r="Y20" s="1"/>
      <c r="Z20" s="1"/>
    </row>
    <row r="21" spans="1:26" ht="14.4">
      <c r="A21" s="1"/>
      <c r="B21" s="808" t="s">
        <v>909</v>
      </c>
      <c r="C21" s="1250">
        <v>1582</v>
      </c>
      <c r="D21" s="809">
        <v>1385</v>
      </c>
      <c r="E21" s="1245">
        <v>0.61918625610433442</v>
      </c>
      <c r="F21" s="1246">
        <f t="shared" si="0"/>
        <v>724.42703529549681</v>
      </c>
      <c r="G21" s="1252">
        <v>37.273236373298225</v>
      </c>
      <c r="H21" s="1248">
        <v>1</v>
      </c>
      <c r="I21" s="71">
        <f t="shared" si="4"/>
        <v>13500.870060888354</v>
      </c>
      <c r="J21" s="1185">
        <f t="shared" si="3"/>
        <v>4.4908538751856214E-2</v>
      </c>
      <c r="K21" s="1077"/>
      <c r="L21" s="1"/>
      <c r="M21" s="1249"/>
      <c r="N21" s="1086"/>
      <c r="O21" s="1249"/>
      <c r="P21" s="1"/>
      <c r="Q21" s="1"/>
      <c r="R21" s="1"/>
      <c r="S21" s="1"/>
      <c r="T21" s="1"/>
      <c r="U21" s="1"/>
      <c r="V21" s="1"/>
      <c r="W21" s="1"/>
      <c r="X21" s="1"/>
      <c r="Y21" s="1"/>
      <c r="Z21" s="1"/>
    </row>
    <row r="22" spans="1:26" ht="14.4">
      <c r="A22" s="1"/>
      <c r="B22" s="808" t="s">
        <v>919</v>
      </c>
      <c r="C22" s="1250">
        <v>1957</v>
      </c>
      <c r="D22" s="809">
        <v>2063</v>
      </c>
      <c r="E22" s="1245">
        <v>9.2393732597307904E-2</v>
      </c>
      <c r="F22" s="1246">
        <f t="shared" si="0"/>
        <v>1766.3917296517538</v>
      </c>
      <c r="G22" s="1247">
        <v>43.97</v>
      </c>
      <c r="H22" s="1248">
        <v>1</v>
      </c>
      <c r="I22" s="71">
        <f t="shared" si="4"/>
        <v>38834.122176393808</v>
      </c>
      <c r="J22" s="1185">
        <f t="shared" si="3"/>
        <v>0.12917565110897353</v>
      </c>
      <c r="K22" s="1077"/>
      <c r="L22" s="1"/>
      <c r="M22" s="1249"/>
      <c r="N22" s="1086"/>
      <c r="O22" s="1249"/>
      <c r="P22" s="1"/>
      <c r="Q22" s="1"/>
      <c r="R22" s="1"/>
      <c r="S22" s="1"/>
      <c r="T22" s="1"/>
      <c r="U22" s="1"/>
      <c r="V22" s="1"/>
      <c r="W22" s="1"/>
      <c r="X22" s="1"/>
      <c r="Y22" s="1"/>
      <c r="Z22" s="1"/>
    </row>
    <row r="23" spans="1:26" ht="14.4">
      <c r="A23" s="1"/>
      <c r="B23" s="808" t="s">
        <v>827</v>
      </c>
      <c r="C23" s="1250">
        <v>4129</v>
      </c>
      <c r="D23" s="809">
        <v>0</v>
      </c>
      <c r="E23" s="1245">
        <v>0</v>
      </c>
      <c r="F23" s="1246">
        <f t="shared" si="0"/>
        <v>4129</v>
      </c>
      <c r="G23" s="1252">
        <v>42.900741155457617</v>
      </c>
      <c r="H23" s="1248">
        <v>1</v>
      </c>
      <c r="I23" s="71">
        <f t="shared" si="4"/>
        <v>88568.580115442252</v>
      </c>
      <c r="J23" s="1185">
        <f t="shared" si="3"/>
        <v>0.294609569188721</v>
      </c>
      <c r="K23" s="1077"/>
      <c r="L23" s="1"/>
      <c r="M23" s="1249"/>
      <c r="N23" s="1086"/>
      <c r="O23" s="1249"/>
      <c r="P23" s="1"/>
      <c r="Q23" s="1"/>
      <c r="R23" s="1"/>
      <c r="S23" s="1"/>
      <c r="T23" s="1"/>
      <c r="U23" s="1"/>
      <c r="V23" s="1"/>
      <c r="W23" s="1"/>
      <c r="X23" s="1"/>
      <c r="Y23" s="1"/>
      <c r="Z23" s="1"/>
    </row>
    <row r="24" spans="1:26" ht="14.4">
      <c r="A24" s="1"/>
      <c r="B24" s="1251" t="s">
        <v>995</v>
      </c>
      <c r="C24" s="809">
        <v>0</v>
      </c>
      <c r="D24" s="809">
        <v>0</v>
      </c>
      <c r="E24" s="1245">
        <v>0</v>
      </c>
      <c r="F24" s="1246">
        <f t="shared" si="0"/>
        <v>0</v>
      </c>
      <c r="G24" s="1252">
        <v>42.900741155457617</v>
      </c>
      <c r="H24" s="1248">
        <v>1</v>
      </c>
      <c r="I24" s="71">
        <f>F24*G24*H24/2000</f>
        <v>0</v>
      </c>
      <c r="J24" s="1185">
        <f t="shared" si="3"/>
        <v>0</v>
      </c>
      <c r="K24" s="1077"/>
      <c r="L24" s="1"/>
      <c r="M24" s="1249"/>
      <c r="N24" s="1086"/>
      <c r="O24" s="1249"/>
      <c r="P24" s="1"/>
      <c r="Q24" s="1"/>
      <c r="R24" s="1"/>
      <c r="S24" s="1"/>
      <c r="T24" s="1"/>
      <c r="U24" s="1"/>
      <c r="V24" s="1"/>
      <c r="W24" s="1"/>
      <c r="X24" s="1"/>
      <c r="Y24" s="1"/>
      <c r="Z24" s="1"/>
    </row>
    <row r="25" spans="1:26" ht="14.4">
      <c r="A25" s="1"/>
      <c r="B25" s="808" t="s">
        <v>996</v>
      </c>
      <c r="C25" s="1250">
        <v>501</v>
      </c>
      <c r="D25" s="809">
        <v>483</v>
      </c>
      <c r="E25" s="1245">
        <v>0</v>
      </c>
      <c r="F25" s="1246">
        <f t="shared" si="0"/>
        <v>501</v>
      </c>
      <c r="G25" s="1252">
        <v>44.77366188659483</v>
      </c>
      <c r="H25" s="1248">
        <v>1</v>
      </c>
      <c r="I25" s="71">
        <f>(F25*1000*G25*H25)/2000</f>
        <v>11215.802302592005</v>
      </c>
      <c r="J25" s="1185">
        <f t="shared" si="3"/>
        <v>3.7307617217817203E-2</v>
      </c>
      <c r="K25" s="1077"/>
      <c r="L25" s="1"/>
      <c r="M25" s="1249"/>
      <c r="N25" s="1086"/>
      <c r="O25" s="1249"/>
      <c r="P25" s="1"/>
      <c r="Q25" s="1"/>
      <c r="R25" s="1"/>
      <c r="S25" s="1"/>
      <c r="T25" s="1"/>
      <c r="U25" s="1"/>
      <c r="V25" s="1"/>
      <c r="W25" s="1"/>
      <c r="X25" s="1"/>
      <c r="Y25" s="1"/>
      <c r="Z25" s="1"/>
    </row>
    <row r="26" spans="1:26" ht="14.4">
      <c r="A26" s="1"/>
      <c r="B26" s="808" t="s">
        <v>997</v>
      </c>
      <c r="C26" s="809">
        <v>0</v>
      </c>
      <c r="D26" s="809">
        <v>0</v>
      </c>
      <c r="E26" s="1245">
        <v>0.3</v>
      </c>
      <c r="F26" s="1246">
        <f t="shared" si="0"/>
        <v>0</v>
      </c>
      <c r="G26" s="1247">
        <v>61.34</v>
      </c>
      <c r="H26" s="1248">
        <v>1</v>
      </c>
      <c r="I26" s="71">
        <f>F26*G26*H26/2000</f>
        <v>0</v>
      </c>
      <c r="J26" s="1185">
        <f t="shared" si="3"/>
        <v>0</v>
      </c>
      <c r="K26" s="1077"/>
      <c r="L26" s="1"/>
      <c r="M26" s="1249"/>
      <c r="N26" s="1086"/>
      <c r="O26" s="1249"/>
      <c r="P26" s="1"/>
      <c r="Q26" s="1"/>
      <c r="R26" s="1"/>
      <c r="S26" s="1"/>
      <c r="T26" s="1"/>
      <c r="U26" s="1"/>
      <c r="V26" s="1"/>
      <c r="W26" s="1"/>
      <c r="X26" s="1"/>
      <c r="Y26" s="1"/>
      <c r="Z26" s="1"/>
    </row>
    <row r="27" spans="1:26" ht="14.4">
      <c r="A27" s="1"/>
      <c r="B27" s="808" t="s">
        <v>998</v>
      </c>
      <c r="C27" s="809"/>
      <c r="D27" s="809"/>
      <c r="E27" s="1245">
        <v>0.61918625610433442</v>
      </c>
      <c r="F27" s="1246">
        <f t="shared" si="0"/>
        <v>0</v>
      </c>
      <c r="G27" s="1247">
        <v>42.06</v>
      </c>
      <c r="H27" s="1248">
        <v>1</v>
      </c>
      <c r="I27" s="71">
        <f t="shared" ref="I27:I28" si="5">(F27*1000*G27*H27)/2000</f>
        <v>0</v>
      </c>
      <c r="J27" s="1185">
        <f t="shared" si="3"/>
        <v>0</v>
      </c>
      <c r="K27" s="1077"/>
      <c r="L27" s="1"/>
      <c r="M27" s="1249"/>
      <c r="N27" s="1086"/>
      <c r="O27" s="1249"/>
      <c r="P27" s="1"/>
      <c r="Q27" s="1"/>
      <c r="R27" s="1"/>
      <c r="S27" s="1"/>
      <c r="T27" s="1"/>
      <c r="U27" s="1"/>
      <c r="V27" s="1"/>
      <c r="W27" s="1"/>
      <c r="X27" s="1"/>
      <c r="Y27" s="1"/>
      <c r="Z27" s="1"/>
    </row>
    <row r="28" spans="1:26" ht="14.4">
      <c r="A28" s="1"/>
      <c r="B28" s="808" t="s">
        <v>704</v>
      </c>
      <c r="C28" s="1250">
        <v>1590</v>
      </c>
      <c r="D28" s="809">
        <v>0</v>
      </c>
      <c r="E28" s="1245">
        <v>0.5</v>
      </c>
      <c r="F28" s="1246">
        <f t="shared" si="0"/>
        <v>1590</v>
      </c>
      <c r="G28" s="1247">
        <v>45.11</v>
      </c>
      <c r="H28" s="1248">
        <v>1</v>
      </c>
      <c r="I28" s="71">
        <f t="shared" si="5"/>
        <v>35862.449999999997</v>
      </c>
      <c r="J28" s="1185">
        <f t="shared" si="3"/>
        <v>0.119290847056381</v>
      </c>
      <c r="K28" s="1077"/>
      <c r="L28" s="1"/>
      <c r="M28" s="1249"/>
      <c r="N28" s="1086"/>
      <c r="O28" s="1249"/>
      <c r="P28" s="1"/>
      <c r="Q28" s="1"/>
      <c r="R28" s="1"/>
      <c r="S28" s="1"/>
      <c r="T28" s="1"/>
      <c r="U28" s="1"/>
      <c r="V28" s="1"/>
      <c r="W28" s="1"/>
      <c r="X28" s="1"/>
      <c r="Y28" s="1"/>
      <c r="Z28" s="1"/>
    </row>
    <row r="29" spans="1:26" ht="14.4">
      <c r="A29" s="1"/>
      <c r="B29" s="808" t="s">
        <v>999</v>
      </c>
      <c r="C29" s="809">
        <v>0</v>
      </c>
      <c r="D29" s="809">
        <v>0</v>
      </c>
      <c r="E29" s="1245">
        <v>0.8</v>
      </c>
      <c r="F29" s="1246">
        <f t="shared" si="0"/>
        <v>0</v>
      </c>
      <c r="G29" s="1247">
        <v>40.08</v>
      </c>
      <c r="H29" s="1248">
        <v>1</v>
      </c>
      <c r="I29" s="71">
        <f>F29*G29*H29/2000</f>
        <v>0</v>
      </c>
      <c r="J29" s="1185">
        <f t="shared" si="3"/>
        <v>0</v>
      </c>
      <c r="K29" s="1077"/>
      <c r="L29" s="1"/>
      <c r="M29" s="1249"/>
      <c r="N29" s="1086"/>
      <c r="O29" s="1249"/>
      <c r="P29" s="1"/>
      <c r="Q29" s="1"/>
      <c r="R29" s="1"/>
      <c r="S29" s="1"/>
      <c r="T29" s="1"/>
      <c r="U29" s="1"/>
      <c r="V29" s="1"/>
      <c r="W29" s="1"/>
      <c r="X29" s="1"/>
      <c r="Y29" s="1"/>
      <c r="Z29" s="1"/>
    </row>
    <row r="30" spans="1:26" ht="14.4">
      <c r="A30" s="1"/>
      <c r="B30" s="808" t="s">
        <v>1000</v>
      </c>
      <c r="C30" s="1250">
        <v>535</v>
      </c>
      <c r="D30" s="809">
        <v>596</v>
      </c>
      <c r="E30" s="1245">
        <v>0</v>
      </c>
      <c r="F30" s="1246">
        <f t="shared" si="0"/>
        <v>535</v>
      </c>
      <c r="G30" s="1247">
        <v>43.47</v>
      </c>
      <c r="H30" s="1248">
        <v>1</v>
      </c>
      <c r="I30" s="71">
        <f>(F30*1000*G30*H30)/2000</f>
        <v>11628.225</v>
      </c>
      <c r="J30" s="1185">
        <f t="shared" si="3"/>
        <v>3.8679477002050502E-2</v>
      </c>
      <c r="K30" s="1077"/>
      <c r="L30" s="1"/>
      <c r="M30" s="1249"/>
      <c r="N30" s="1086"/>
      <c r="O30" s="1249"/>
      <c r="P30" s="1"/>
      <c r="Q30" s="1"/>
      <c r="R30" s="1"/>
      <c r="S30" s="1"/>
      <c r="T30" s="1"/>
      <c r="U30" s="1"/>
      <c r="V30" s="1"/>
      <c r="W30" s="1"/>
      <c r="X30" s="1"/>
      <c r="Y30" s="1"/>
      <c r="Z30" s="1"/>
    </row>
    <row r="31" spans="1:26" ht="14.4">
      <c r="A31" s="1"/>
      <c r="B31" s="808" t="s">
        <v>1001</v>
      </c>
      <c r="C31" s="809">
        <v>0</v>
      </c>
      <c r="D31" s="809">
        <v>0</v>
      </c>
      <c r="E31" s="1245">
        <v>0</v>
      </c>
      <c r="F31" s="1246">
        <f t="shared" si="0"/>
        <v>0</v>
      </c>
      <c r="G31" s="1252">
        <v>44.77366188659483</v>
      </c>
      <c r="H31" s="1248">
        <v>1</v>
      </c>
      <c r="I31" s="71">
        <f>F31*G31*H31/2000</f>
        <v>0</v>
      </c>
      <c r="J31" s="1185">
        <f t="shared" si="3"/>
        <v>0</v>
      </c>
      <c r="K31" s="1077"/>
      <c r="L31" s="1"/>
      <c r="M31" s="1249"/>
      <c r="N31" s="1086"/>
      <c r="O31" s="1249"/>
      <c r="P31" s="1"/>
      <c r="Q31" s="1"/>
      <c r="R31" s="1"/>
      <c r="S31" s="1"/>
      <c r="T31" s="1"/>
      <c r="U31" s="1"/>
      <c r="V31" s="1"/>
      <c r="W31" s="1"/>
      <c r="X31" s="1"/>
      <c r="Y31" s="1"/>
      <c r="Z31" s="1"/>
    </row>
    <row r="32" spans="1:26" ht="14.4">
      <c r="A32" s="1"/>
      <c r="B32" s="808" t="s">
        <v>1002</v>
      </c>
      <c r="C32" s="1250">
        <v>106</v>
      </c>
      <c r="D32" s="809">
        <v>120</v>
      </c>
      <c r="E32" s="1245">
        <v>0.57999999999999996</v>
      </c>
      <c r="F32" s="1246">
        <f t="shared" si="0"/>
        <v>36.400000000000006</v>
      </c>
      <c r="G32" s="1247">
        <v>43.6</v>
      </c>
      <c r="H32" s="1248">
        <v>1</v>
      </c>
      <c r="I32" s="71">
        <f t="shared" ref="I32:I33" si="6">(F32*1000*G32*H32)/2000</f>
        <v>793.52000000000021</v>
      </c>
      <c r="J32" s="1185">
        <f t="shared" si="3"/>
        <v>2.639520527910934E-3</v>
      </c>
      <c r="K32" s="1077"/>
      <c r="L32" s="1"/>
      <c r="M32" s="1249"/>
      <c r="N32" s="1086"/>
      <c r="O32" s="1249"/>
      <c r="P32" s="1"/>
      <c r="Q32" s="1"/>
      <c r="R32" s="1"/>
      <c r="S32" s="1"/>
      <c r="T32" s="1"/>
      <c r="U32" s="1"/>
      <c r="V32" s="1"/>
      <c r="W32" s="1"/>
      <c r="X32" s="1"/>
      <c r="Y32" s="1"/>
      <c r="Z32" s="1"/>
    </row>
    <row r="33" spans="1:26" ht="14.4">
      <c r="A33" s="1"/>
      <c r="B33" s="808" t="s">
        <v>295</v>
      </c>
      <c r="C33" s="1250">
        <v>21808</v>
      </c>
      <c r="D33" s="809">
        <v>688</v>
      </c>
      <c r="E33" s="1245">
        <v>0.61918625610433442</v>
      </c>
      <c r="F33" s="1246">
        <f t="shared" si="0"/>
        <v>21381.999855800219</v>
      </c>
      <c r="G33" s="1247">
        <v>31.87</v>
      </c>
      <c r="H33" s="1248">
        <v>1</v>
      </c>
      <c r="I33" s="995">
        <f t="shared" si="6"/>
        <v>340722.16770217649</v>
      </c>
      <c r="J33" s="1254">
        <f t="shared" si="3"/>
        <v>1.1333591541034964</v>
      </c>
      <c r="K33" s="1077"/>
      <c r="L33" s="1"/>
      <c r="M33" s="1249"/>
      <c r="N33" s="1086"/>
      <c r="O33" s="1249"/>
      <c r="P33" s="1"/>
      <c r="Q33" s="1"/>
      <c r="R33" s="1"/>
      <c r="S33" s="1"/>
      <c r="T33" s="1"/>
      <c r="U33" s="1"/>
      <c r="V33" s="1"/>
      <c r="W33" s="1"/>
      <c r="X33" s="1"/>
      <c r="Y33" s="1"/>
      <c r="Z33" s="1"/>
    </row>
    <row r="34" spans="1:26" ht="14.4">
      <c r="A34" s="1"/>
      <c r="B34" s="808"/>
      <c r="C34" s="1255"/>
      <c r="D34" s="1255"/>
      <c r="E34" s="1255"/>
      <c r="F34" s="1255"/>
      <c r="G34" s="1255"/>
      <c r="H34" s="1256" t="s">
        <v>177</v>
      </c>
      <c r="I34" s="221"/>
      <c r="J34" s="1257">
        <f>SUM(J12:J33)</f>
        <v>4.3900335207961474</v>
      </c>
      <c r="K34" s="404"/>
      <c r="L34" s="404"/>
      <c r="M34" s="404"/>
      <c r="N34" s="404"/>
      <c r="O34" s="404"/>
      <c r="P34" s="1"/>
      <c r="Q34" s="1"/>
      <c r="R34" s="1"/>
      <c r="S34" s="1"/>
      <c r="T34" s="1"/>
      <c r="U34" s="1"/>
      <c r="V34" s="1"/>
      <c r="W34" s="1"/>
      <c r="X34" s="1"/>
      <c r="Y34" s="1"/>
      <c r="Z34" s="1"/>
    </row>
    <row r="35" spans="1:26" ht="14.4">
      <c r="A35" s="1"/>
      <c r="B35" s="1258"/>
      <c r="C35" s="1259"/>
      <c r="D35" s="1259"/>
      <c r="E35" s="1259"/>
      <c r="F35" s="1259"/>
      <c r="G35" s="1259"/>
      <c r="H35" s="1259"/>
      <c r="I35" s="290"/>
      <c r="J35" s="291"/>
      <c r="K35" s="1"/>
      <c r="L35" s="1"/>
      <c r="M35" s="1"/>
      <c r="N35" s="1"/>
      <c r="O35" s="1"/>
      <c r="P35" s="1"/>
      <c r="Q35" s="1"/>
      <c r="R35" s="1"/>
      <c r="S35" s="1"/>
      <c r="T35" s="1"/>
      <c r="U35" s="1"/>
      <c r="V35" s="1"/>
      <c r="W35" s="1"/>
      <c r="X35" s="1"/>
      <c r="Y35" s="1"/>
      <c r="Z35" s="1"/>
    </row>
    <row r="36" spans="1:26" ht="14.4">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4">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 customHeight="1">
      <c r="A38" s="1"/>
      <c r="B38" s="1162" t="s">
        <v>1003</v>
      </c>
      <c r="C38" s="1171"/>
      <c r="D38" s="1171">
        <v>2011</v>
      </c>
      <c r="E38" s="404"/>
      <c r="F38" s="404"/>
      <c r="G38" s="404"/>
      <c r="H38" s="404"/>
      <c r="I38" s="404"/>
      <c r="J38" s="404"/>
      <c r="K38" s="404"/>
      <c r="L38" s="404"/>
      <c r="M38" s="404"/>
      <c r="N38" s="1"/>
      <c r="O38" s="1"/>
      <c r="P38" s="1"/>
      <c r="Q38" s="1"/>
      <c r="R38" s="1"/>
      <c r="S38" s="1"/>
      <c r="T38" s="1"/>
      <c r="U38" s="1"/>
      <c r="V38" s="1"/>
      <c r="W38" s="1"/>
      <c r="X38" s="1"/>
      <c r="Y38" s="1"/>
      <c r="Z38" s="1"/>
    </row>
    <row r="39" spans="1:26" ht="14.4">
      <c r="A39" s="1"/>
      <c r="B39" s="1163"/>
      <c r="C39" s="801" t="s">
        <v>262</v>
      </c>
      <c r="D39" s="801" t="s">
        <v>915</v>
      </c>
      <c r="E39" s="1240"/>
      <c r="F39" s="1240"/>
      <c r="G39" s="1240"/>
      <c r="H39" s="1241"/>
      <c r="I39" s="404"/>
      <c r="J39" s="404"/>
      <c r="K39" s="404"/>
      <c r="L39" s="404"/>
      <c r="M39" s="404"/>
      <c r="N39" s="1"/>
      <c r="O39" s="1"/>
      <c r="P39" s="1"/>
      <c r="Q39" s="1"/>
      <c r="R39" s="1"/>
      <c r="S39" s="1"/>
      <c r="T39" s="1"/>
      <c r="U39" s="1"/>
      <c r="V39" s="1"/>
      <c r="W39" s="1"/>
      <c r="X39" s="1"/>
      <c r="Y39" s="1"/>
      <c r="Z39" s="1"/>
    </row>
    <row r="40" spans="1:26" ht="14.4">
      <c r="A40" s="1"/>
      <c r="B40" s="420"/>
      <c r="C40" s="1243" t="s">
        <v>90</v>
      </c>
      <c r="D40" s="1243" t="s">
        <v>90</v>
      </c>
      <c r="E40" s="1165" t="s">
        <v>881</v>
      </c>
      <c r="F40" s="1165" t="s">
        <v>258</v>
      </c>
      <c r="G40" s="1243" t="s">
        <v>698</v>
      </c>
      <c r="H40" s="1166" t="s">
        <v>118</v>
      </c>
      <c r="I40" s="404"/>
      <c r="J40" s="46"/>
      <c r="K40" s="404"/>
      <c r="L40" s="46"/>
      <c r="M40" s="404"/>
      <c r="N40" s="1"/>
      <c r="O40" s="1"/>
      <c r="P40" s="1"/>
      <c r="Q40" s="1"/>
      <c r="R40" s="1"/>
      <c r="S40" s="1"/>
      <c r="T40" s="1"/>
      <c r="U40" s="1"/>
      <c r="V40" s="1"/>
      <c r="W40" s="1"/>
      <c r="X40" s="1"/>
      <c r="Y40" s="1"/>
      <c r="Z40" s="1"/>
    </row>
    <row r="41" spans="1:26" ht="14.4">
      <c r="A41" s="1"/>
      <c r="B41" s="1260" t="s">
        <v>348</v>
      </c>
      <c r="C41" s="805" t="s">
        <v>699</v>
      </c>
      <c r="D41" s="805" t="s">
        <v>699</v>
      </c>
      <c r="E41" s="806" t="s">
        <v>1004</v>
      </c>
      <c r="F41" s="806" t="s">
        <v>1005</v>
      </c>
      <c r="G41" s="805"/>
      <c r="H41" s="807" t="s">
        <v>1006</v>
      </c>
      <c r="I41" s="404"/>
      <c r="J41" s="1063"/>
      <c r="K41" s="404"/>
      <c r="L41" s="46"/>
      <c r="M41" s="404"/>
      <c r="N41" s="1"/>
      <c r="O41" s="1"/>
      <c r="P41" s="1"/>
      <c r="Q41" s="1"/>
      <c r="R41" s="1"/>
      <c r="S41" s="1"/>
      <c r="T41" s="1"/>
      <c r="U41" s="1"/>
      <c r="V41" s="1"/>
      <c r="W41" s="1"/>
      <c r="X41" s="1"/>
      <c r="Y41" s="1"/>
      <c r="Z41" s="1"/>
    </row>
    <row r="42" spans="1:26" ht="14.4">
      <c r="A42" s="1"/>
      <c r="B42" s="808" t="s">
        <v>988</v>
      </c>
      <c r="C42" s="809">
        <v>0</v>
      </c>
      <c r="D42" s="809">
        <v>0</v>
      </c>
      <c r="E42" s="1261">
        <v>1.5034545899835E-3</v>
      </c>
      <c r="F42" s="1262">
        <f t="shared" ref="F42:F63" si="7">(C42-D42)*E42</f>
        <v>0</v>
      </c>
      <c r="G42" s="809">
        <f t="shared" ref="G42:G64" si="8">$M$13</f>
        <v>265</v>
      </c>
      <c r="H42" s="1185">
        <f t="shared" ref="H42:H43" si="9">F42*G42/1000000</f>
        <v>0</v>
      </c>
      <c r="I42" s="1249"/>
      <c r="J42" s="1086"/>
      <c r="K42" s="1249"/>
      <c r="L42" s="1086"/>
      <c r="M42" s="404"/>
      <c r="N42" s="1"/>
      <c r="O42" s="1"/>
      <c r="P42" s="1"/>
      <c r="Q42" s="1"/>
      <c r="R42" s="1"/>
      <c r="S42" s="1"/>
      <c r="T42" s="1"/>
      <c r="U42" s="1"/>
      <c r="V42" s="1"/>
      <c r="W42" s="1"/>
      <c r="X42" s="1"/>
      <c r="Y42" s="1"/>
      <c r="Z42" s="1"/>
    </row>
    <row r="43" spans="1:26" ht="14.4">
      <c r="A43" s="1"/>
      <c r="B43" s="808" t="s">
        <v>989</v>
      </c>
      <c r="C43" s="1250">
        <v>21655</v>
      </c>
      <c r="D43" s="809">
        <v>227</v>
      </c>
      <c r="E43" s="1261">
        <v>1.5034545899835E-3</v>
      </c>
      <c r="F43" s="1262">
        <f t="shared" si="7"/>
        <v>32.216024954166436</v>
      </c>
      <c r="G43" s="809">
        <f t="shared" si="8"/>
        <v>265</v>
      </c>
      <c r="H43" s="1185">
        <f t="shared" si="9"/>
        <v>8.5372466128541061E-3</v>
      </c>
      <c r="I43" s="1249"/>
      <c r="J43" s="1086"/>
      <c r="K43" s="1249"/>
      <c r="L43" s="1086"/>
      <c r="M43" s="404"/>
      <c r="N43" s="1"/>
      <c r="O43" s="1"/>
      <c r="P43" s="1"/>
      <c r="Q43" s="1"/>
      <c r="R43" s="1"/>
      <c r="S43" s="1"/>
      <c r="T43" s="1"/>
      <c r="U43" s="1"/>
      <c r="V43" s="1"/>
      <c r="W43" s="1"/>
      <c r="X43" s="1"/>
      <c r="Y43" s="1"/>
      <c r="Z43" s="1"/>
    </row>
    <row r="44" spans="1:26" ht="14.4">
      <c r="A44" s="1"/>
      <c r="B44" s="808" t="s">
        <v>990</v>
      </c>
      <c r="C44" s="1250">
        <v>19835</v>
      </c>
      <c r="D44" s="809">
        <v>22046</v>
      </c>
      <c r="E44" s="1261">
        <v>6.0138183599339984E-4</v>
      </c>
      <c r="F44" s="1262">
        <f t="shared" si="7"/>
        <v>-1.329655239381407</v>
      </c>
      <c r="G44" s="809">
        <f t="shared" si="8"/>
        <v>265</v>
      </c>
      <c r="H44" s="1185">
        <f>0</f>
        <v>0</v>
      </c>
      <c r="I44" s="1249"/>
      <c r="J44" s="1086"/>
      <c r="K44" s="1249"/>
      <c r="L44" s="1086"/>
      <c r="M44" s="404"/>
      <c r="N44" s="1"/>
      <c r="O44" s="1"/>
      <c r="P44" s="1"/>
      <c r="Q44" s="1"/>
      <c r="R44" s="1"/>
      <c r="S44" s="1"/>
      <c r="T44" s="1"/>
      <c r="U44" s="1"/>
      <c r="V44" s="1"/>
      <c r="W44" s="1"/>
      <c r="X44" s="1"/>
      <c r="Y44" s="1"/>
      <c r="Z44" s="1"/>
    </row>
    <row r="45" spans="1:26" ht="28.8">
      <c r="A45" s="1"/>
      <c r="B45" s="1251" t="s">
        <v>991</v>
      </c>
      <c r="C45" s="809">
        <v>0</v>
      </c>
      <c r="D45" s="809">
        <v>0</v>
      </c>
      <c r="E45" s="1261">
        <v>6.0138183599339984E-4</v>
      </c>
      <c r="F45" s="1262">
        <f t="shared" si="7"/>
        <v>0</v>
      </c>
      <c r="G45" s="809">
        <f t="shared" si="8"/>
        <v>265</v>
      </c>
      <c r="H45" s="1185">
        <f t="shared" ref="H45:H51" si="10">F45*G45/1000000</f>
        <v>0</v>
      </c>
      <c r="I45" s="1249"/>
      <c r="J45" s="1086"/>
      <c r="K45" s="1249"/>
      <c r="L45" s="1086"/>
      <c r="M45" s="404"/>
      <c r="N45" s="1"/>
      <c r="O45" s="1"/>
      <c r="P45" s="1"/>
      <c r="Q45" s="1"/>
      <c r="R45" s="1"/>
      <c r="S45" s="1"/>
      <c r="T45" s="1"/>
      <c r="U45" s="1"/>
      <c r="V45" s="1"/>
      <c r="W45" s="1"/>
      <c r="X45" s="1"/>
      <c r="Y45" s="1"/>
      <c r="Z45" s="1"/>
    </row>
    <row r="46" spans="1:26" ht="14.4">
      <c r="A46" s="1"/>
      <c r="B46" s="1251" t="s">
        <v>992</v>
      </c>
      <c r="C46" s="809">
        <v>0</v>
      </c>
      <c r="D46" s="809">
        <v>0</v>
      </c>
      <c r="E46" s="1261">
        <v>6.0138183599339984E-4</v>
      </c>
      <c r="F46" s="1262">
        <f t="shared" si="7"/>
        <v>0</v>
      </c>
      <c r="G46" s="809">
        <f t="shared" si="8"/>
        <v>265</v>
      </c>
      <c r="H46" s="1185">
        <f t="shared" si="10"/>
        <v>0</v>
      </c>
      <c r="I46" s="1249"/>
      <c r="J46" s="1086"/>
      <c r="K46" s="1249"/>
      <c r="L46" s="1086"/>
      <c r="M46" s="404"/>
      <c r="N46" s="1"/>
      <c r="O46" s="1"/>
      <c r="P46" s="1"/>
      <c r="Q46" s="1"/>
      <c r="R46" s="1"/>
      <c r="S46" s="1"/>
      <c r="T46" s="1"/>
      <c r="U46" s="1"/>
      <c r="V46" s="1"/>
      <c r="W46" s="1"/>
      <c r="X46" s="1"/>
      <c r="Y46" s="1"/>
      <c r="Z46" s="1"/>
    </row>
    <row r="47" spans="1:26" ht="14.4">
      <c r="A47" s="1"/>
      <c r="B47" s="808" t="s">
        <v>703</v>
      </c>
      <c r="C47" s="1250">
        <v>7382</v>
      </c>
      <c r="D47" s="809">
        <v>96</v>
      </c>
      <c r="E47" s="1261">
        <v>6.0138183599339984E-4</v>
      </c>
      <c r="F47" s="1262">
        <f t="shared" si="7"/>
        <v>4.3816680570479116</v>
      </c>
      <c r="G47" s="809">
        <f t="shared" si="8"/>
        <v>265</v>
      </c>
      <c r="H47" s="1185">
        <f t="shared" si="10"/>
        <v>1.1611420351176967E-3</v>
      </c>
      <c r="I47" s="1249"/>
      <c r="J47" s="1086"/>
      <c r="K47" s="1249"/>
      <c r="L47" s="1086"/>
      <c r="M47" s="404"/>
      <c r="N47" s="1"/>
      <c r="O47" s="1"/>
      <c r="P47" s="1"/>
      <c r="Q47" s="1"/>
      <c r="R47" s="1"/>
      <c r="S47" s="1"/>
      <c r="T47" s="1"/>
      <c r="U47" s="1"/>
      <c r="V47" s="1"/>
      <c r="W47" s="1"/>
      <c r="X47" s="1"/>
      <c r="Y47" s="1"/>
      <c r="Z47" s="1"/>
    </row>
    <row r="48" spans="1:26" ht="14.4">
      <c r="A48" s="1"/>
      <c r="B48" s="1251" t="s">
        <v>993</v>
      </c>
      <c r="C48" s="1253">
        <v>0</v>
      </c>
      <c r="D48" s="809"/>
      <c r="E48" s="1261">
        <v>6.0138183599339984E-4</v>
      </c>
      <c r="F48" s="1262">
        <f t="shared" si="7"/>
        <v>0</v>
      </c>
      <c r="G48" s="809">
        <f t="shared" si="8"/>
        <v>265</v>
      </c>
      <c r="H48" s="1185">
        <f t="shared" si="10"/>
        <v>0</v>
      </c>
      <c r="I48" s="1249"/>
      <c r="J48" s="1086"/>
      <c r="K48" s="1249"/>
      <c r="L48" s="1086"/>
      <c r="M48" s="404"/>
      <c r="N48" s="1"/>
      <c r="O48" s="1"/>
      <c r="P48" s="1"/>
      <c r="Q48" s="1"/>
      <c r="R48" s="1"/>
      <c r="S48" s="1"/>
      <c r="T48" s="1"/>
      <c r="U48" s="1"/>
      <c r="V48" s="1"/>
      <c r="W48" s="1"/>
      <c r="X48" s="1"/>
      <c r="Y48" s="1"/>
      <c r="Z48" s="1"/>
    </row>
    <row r="49" spans="1:26" ht="28.8">
      <c r="A49" s="1"/>
      <c r="B49" s="1251" t="s">
        <v>994</v>
      </c>
      <c r="C49" s="1253">
        <v>0</v>
      </c>
      <c r="D49" s="809"/>
      <c r="E49" s="1261">
        <v>6.0138183599339984E-4</v>
      </c>
      <c r="F49" s="1262">
        <f t="shared" si="7"/>
        <v>0</v>
      </c>
      <c r="G49" s="809">
        <f t="shared" si="8"/>
        <v>265</v>
      </c>
      <c r="H49" s="1185">
        <f t="shared" si="10"/>
        <v>0</v>
      </c>
      <c r="I49" s="1249"/>
      <c r="J49" s="1086"/>
      <c r="K49" s="1249"/>
      <c r="L49" s="1086"/>
      <c r="M49" s="404"/>
      <c r="N49" s="1"/>
      <c r="O49" s="1"/>
      <c r="P49" s="1"/>
      <c r="Q49" s="1"/>
      <c r="R49" s="1"/>
      <c r="S49" s="1"/>
      <c r="T49" s="1"/>
      <c r="U49" s="1"/>
      <c r="V49" s="1"/>
      <c r="W49" s="1"/>
      <c r="X49" s="1"/>
      <c r="Y49" s="1"/>
      <c r="Z49" s="1"/>
    </row>
    <row r="50" spans="1:26" ht="14.4">
      <c r="A50" s="1"/>
      <c r="B50" s="808" t="s">
        <v>946</v>
      </c>
      <c r="C50" s="1250">
        <v>7</v>
      </c>
      <c r="D50" s="809">
        <v>0</v>
      </c>
      <c r="E50" s="1261">
        <v>6.0138183599339984E-4</v>
      </c>
      <c r="F50" s="1262">
        <f t="shared" si="7"/>
        <v>4.2096728519537985E-3</v>
      </c>
      <c r="G50" s="809">
        <f t="shared" si="8"/>
        <v>265</v>
      </c>
      <c r="H50" s="1185">
        <f t="shared" si="10"/>
        <v>1.1155633057677565E-6</v>
      </c>
      <c r="I50" s="1249"/>
      <c r="J50" s="1086"/>
      <c r="K50" s="1249"/>
      <c r="L50" s="1086"/>
      <c r="M50" s="404"/>
      <c r="N50" s="1"/>
      <c r="O50" s="1"/>
      <c r="P50" s="1"/>
      <c r="Q50" s="1"/>
      <c r="R50" s="1"/>
      <c r="S50" s="1"/>
      <c r="T50" s="1"/>
      <c r="U50" s="1"/>
      <c r="V50" s="1"/>
      <c r="W50" s="1"/>
      <c r="X50" s="1"/>
      <c r="Y50" s="1"/>
      <c r="Z50" s="1"/>
    </row>
    <row r="51" spans="1:26" ht="14.4">
      <c r="A51" s="1"/>
      <c r="B51" s="808" t="s">
        <v>909</v>
      </c>
      <c r="C51" s="1250">
        <v>1582</v>
      </c>
      <c r="D51" s="809">
        <v>1385</v>
      </c>
      <c r="E51" s="1261">
        <v>6.0138183599339984E-4</v>
      </c>
      <c r="F51" s="1262">
        <f t="shared" si="7"/>
        <v>0.11847222169069976</v>
      </c>
      <c r="G51" s="809">
        <f t="shared" si="8"/>
        <v>265</v>
      </c>
      <c r="H51" s="1185">
        <f t="shared" si="10"/>
        <v>3.1395138748035441E-5</v>
      </c>
      <c r="I51" s="1249"/>
      <c r="J51" s="1086"/>
      <c r="K51" s="1249"/>
      <c r="L51" s="1086"/>
      <c r="M51" s="404"/>
      <c r="N51" s="1"/>
      <c r="O51" s="1"/>
      <c r="P51" s="1"/>
      <c r="Q51" s="1"/>
      <c r="R51" s="1"/>
      <c r="S51" s="1"/>
      <c r="T51" s="1"/>
      <c r="U51" s="1"/>
      <c r="V51" s="1"/>
      <c r="W51" s="1"/>
      <c r="X51" s="1"/>
      <c r="Y51" s="1"/>
      <c r="Z51" s="1"/>
    </row>
    <row r="52" spans="1:26" ht="14.4">
      <c r="A52" s="1"/>
      <c r="B52" s="808" t="s">
        <v>919</v>
      </c>
      <c r="C52" s="1250">
        <v>1957</v>
      </c>
      <c r="D52" s="809">
        <v>2063</v>
      </c>
      <c r="E52" s="1261">
        <v>6.0138183599339984E-4</v>
      </c>
      <c r="F52" s="1262">
        <f t="shared" si="7"/>
        <v>-6.3746474615300378E-2</v>
      </c>
      <c r="G52" s="809">
        <f t="shared" si="8"/>
        <v>265</v>
      </c>
      <c r="H52" s="1185">
        <f>0</f>
        <v>0</v>
      </c>
      <c r="I52" s="1249"/>
      <c r="J52" s="1086"/>
      <c r="K52" s="1249"/>
      <c r="L52" s="1086"/>
      <c r="M52" s="404"/>
      <c r="N52" s="1"/>
      <c r="O52" s="1"/>
      <c r="P52" s="1"/>
      <c r="Q52" s="1"/>
      <c r="R52" s="1"/>
      <c r="S52" s="1"/>
      <c r="T52" s="1"/>
      <c r="U52" s="1"/>
      <c r="V52" s="1"/>
      <c r="W52" s="1"/>
      <c r="X52" s="1"/>
      <c r="Y52" s="1"/>
      <c r="Z52" s="1"/>
    </row>
    <row r="53" spans="1:26" ht="14.4">
      <c r="A53" s="1"/>
      <c r="B53" s="808" t="s">
        <v>827</v>
      </c>
      <c r="C53" s="1250">
        <v>4129</v>
      </c>
      <c r="D53" s="809">
        <v>0</v>
      </c>
      <c r="E53" s="1261">
        <v>6.0138183599339984E-4</v>
      </c>
      <c r="F53" s="1262">
        <f t="shared" si="7"/>
        <v>2.483105600816748</v>
      </c>
      <c r="G53" s="809">
        <f t="shared" si="8"/>
        <v>265</v>
      </c>
      <c r="H53" s="1185">
        <f t="shared" ref="H53:H59" si="11">F53*G53/1000000</f>
        <v>6.5802298421643824E-4</v>
      </c>
      <c r="I53" s="1249"/>
      <c r="J53" s="1086"/>
      <c r="K53" s="1249"/>
      <c r="L53" s="1086"/>
      <c r="M53" s="404"/>
      <c r="N53" s="1"/>
      <c r="O53" s="1"/>
      <c r="P53" s="1"/>
      <c r="Q53" s="1"/>
      <c r="R53" s="1"/>
      <c r="S53" s="1"/>
      <c r="T53" s="1"/>
      <c r="U53" s="1"/>
      <c r="V53" s="1"/>
      <c r="W53" s="1"/>
      <c r="X53" s="1"/>
      <c r="Y53" s="1"/>
      <c r="Z53" s="1"/>
    </row>
    <row r="54" spans="1:26" ht="14.4">
      <c r="A54" s="1"/>
      <c r="B54" s="1251" t="s">
        <v>995</v>
      </c>
      <c r="C54" s="809">
        <v>0</v>
      </c>
      <c r="D54" s="809">
        <v>0</v>
      </c>
      <c r="E54" s="1261">
        <v>6.0138183599339984E-4</v>
      </c>
      <c r="F54" s="1262">
        <f t="shared" si="7"/>
        <v>0</v>
      </c>
      <c r="G54" s="809">
        <f t="shared" si="8"/>
        <v>265</v>
      </c>
      <c r="H54" s="1185">
        <f t="shared" si="11"/>
        <v>0</v>
      </c>
      <c r="I54" s="1249"/>
      <c r="J54" s="1086"/>
      <c r="K54" s="1249"/>
      <c r="L54" s="1086"/>
      <c r="M54" s="404"/>
      <c r="N54" s="1"/>
      <c r="O54" s="1"/>
      <c r="P54" s="1"/>
      <c r="Q54" s="1"/>
      <c r="R54" s="1"/>
      <c r="S54" s="1"/>
      <c r="T54" s="1"/>
      <c r="U54" s="1"/>
      <c r="V54" s="1"/>
      <c r="W54" s="1"/>
      <c r="X54" s="1"/>
      <c r="Y54" s="1"/>
      <c r="Z54" s="1"/>
    </row>
    <row r="55" spans="1:26" ht="14.4">
      <c r="A55" s="1"/>
      <c r="B55" s="808" t="s">
        <v>996</v>
      </c>
      <c r="C55" s="1250">
        <v>501</v>
      </c>
      <c r="D55" s="809">
        <v>483</v>
      </c>
      <c r="E55" s="1261">
        <v>6.0138183599339984E-4</v>
      </c>
      <c r="F55" s="1262">
        <f t="shared" si="7"/>
        <v>1.0824873047881198E-2</v>
      </c>
      <c r="G55" s="809">
        <f t="shared" si="8"/>
        <v>265</v>
      </c>
      <c r="H55" s="1185">
        <f t="shared" si="11"/>
        <v>2.8685913576885173E-6</v>
      </c>
      <c r="I55" s="1249"/>
      <c r="J55" s="1086"/>
      <c r="K55" s="1249"/>
      <c r="L55" s="1086"/>
      <c r="M55" s="404"/>
      <c r="N55" s="1"/>
      <c r="O55" s="1"/>
      <c r="P55" s="1"/>
      <c r="Q55" s="1"/>
      <c r="R55" s="1"/>
      <c r="S55" s="1"/>
      <c r="T55" s="1"/>
      <c r="U55" s="1"/>
      <c r="V55" s="1"/>
      <c r="W55" s="1"/>
      <c r="X55" s="1"/>
      <c r="Y55" s="1"/>
      <c r="Z55" s="1"/>
    </row>
    <row r="56" spans="1:26" ht="14.4">
      <c r="A56" s="1"/>
      <c r="B56" s="808" t="s">
        <v>997</v>
      </c>
      <c r="C56" s="809">
        <v>0</v>
      </c>
      <c r="D56" s="809">
        <v>0</v>
      </c>
      <c r="E56" s="1261">
        <v>6.0138183599339984E-4</v>
      </c>
      <c r="F56" s="1262">
        <f t="shared" si="7"/>
        <v>0</v>
      </c>
      <c r="G56" s="809">
        <f t="shared" si="8"/>
        <v>265</v>
      </c>
      <c r="H56" s="1185">
        <f t="shared" si="11"/>
        <v>0</v>
      </c>
      <c r="I56" s="1249"/>
      <c r="J56" s="1086"/>
      <c r="K56" s="1249"/>
      <c r="L56" s="1086"/>
      <c r="M56" s="404"/>
      <c r="N56" s="1"/>
      <c r="O56" s="1"/>
      <c r="P56" s="1"/>
      <c r="Q56" s="1"/>
      <c r="R56" s="1"/>
      <c r="S56" s="1"/>
      <c r="T56" s="1"/>
      <c r="U56" s="1"/>
      <c r="V56" s="1"/>
      <c r="W56" s="1"/>
      <c r="X56" s="1"/>
      <c r="Y56" s="1"/>
      <c r="Z56" s="1"/>
    </row>
    <row r="57" spans="1:26" ht="14.4">
      <c r="A57" s="1"/>
      <c r="B57" s="808" t="s">
        <v>998</v>
      </c>
      <c r="C57" s="809"/>
      <c r="D57" s="809"/>
      <c r="E57" s="1261">
        <v>6.0138183599339984E-4</v>
      </c>
      <c r="F57" s="1262">
        <f t="shared" si="7"/>
        <v>0</v>
      </c>
      <c r="G57" s="809">
        <f t="shared" si="8"/>
        <v>265</v>
      </c>
      <c r="H57" s="1185">
        <f t="shared" si="11"/>
        <v>0</v>
      </c>
      <c r="I57" s="1249"/>
      <c r="J57" s="1086"/>
      <c r="K57" s="1249"/>
      <c r="L57" s="1086"/>
      <c r="M57" s="404"/>
      <c r="N57" s="1"/>
      <c r="O57" s="1"/>
      <c r="P57" s="1"/>
      <c r="Q57" s="1"/>
      <c r="R57" s="1"/>
      <c r="S57" s="1"/>
      <c r="T57" s="1"/>
      <c r="U57" s="1"/>
      <c r="V57" s="1"/>
      <c r="W57" s="1"/>
      <c r="X57" s="1"/>
      <c r="Y57" s="1"/>
      <c r="Z57" s="1"/>
    </row>
    <row r="58" spans="1:26" ht="14.4">
      <c r="A58" s="1"/>
      <c r="B58" s="808" t="s">
        <v>704</v>
      </c>
      <c r="C58" s="1250">
        <v>1590</v>
      </c>
      <c r="D58" s="809">
        <v>0</v>
      </c>
      <c r="E58" s="1261">
        <v>6.0138183599339984E-4</v>
      </c>
      <c r="F58" s="1262">
        <f t="shared" si="7"/>
        <v>0.95619711922950579</v>
      </c>
      <c r="G58" s="809">
        <f t="shared" si="8"/>
        <v>265</v>
      </c>
      <c r="H58" s="1185">
        <f t="shared" si="11"/>
        <v>2.5339223659581902E-4</v>
      </c>
      <c r="I58" s="1249"/>
      <c r="J58" s="1086"/>
      <c r="K58" s="1249"/>
      <c r="L58" s="1086"/>
      <c r="M58" s="404"/>
      <c r="N58" s="1"/>
      <c r="O58" s="1"/>
      <c r="P58" s="1"/>
      <c r="Q58" s="1"/>
      <c r="R58" s="1"/>
      <c r="S58" s="1"/>
      <c r="T58" s="1"/>
      <c r="U58" s="1"/>
      <c r="V58" s="1"/>
      <c r="W58" s="1"/>
      <c r="X58" s="1"/>
      <c r="Y58" s="1"/>
      <c r="Z58" s="1"/>
    </row>
    <row r="59" spans="1:26" ht="14.4">
      <c r="A59" s="1"/>
      <c r="B59" s="808" t="s">
        <v>999</v>
      </c>
      <c r="C59" s="809">
        <v>0</v>
      </c>
      <c r="D59" s="809">
        <v>0</v>
      </c>
      <c r="E59" s="1261">
        <v>6.0138183599339984E-4</v>
      </c>
      <c r="F59" s="1262">
        <f t="shared" si="7"/>
        <v>0</v>
      </c>
      <c r="G59" s="809">
        <f t="shared" si="8"/>
        <v>265</v>
      </c>
      <c r="H59" s="1185">
        <f t="shared" si="11"/>
        <v>0</v>
      </c>
      <c r="I59" s="1249"/>
      <c r="J59" s="1086"/>
      <c r="K59" s="1249"/>
      <c r="L59" s="1086"/>
      <c r="M59" s="404"/>
      <c r="N59" s="1"/>
      <c r="O59" s="1"/>
      <c r="P59" s="1"/>
      <c r="Q59" s="1"/>
      <c r="R59" s="1"/>
      <c r="S59" s="1"/>
      <c r="T59" s="1"/>
      <c r="U59" s="1"/>
      <c r="V59" s="1"/>
      <c r="W59" s="1"/>
      <c r="X59" s="1"/>
      <c r="Y59" s="1"/>
      <c r="Z59" s="1"/>
    </row>
    <row r="60" spans="1:26" ht="14.4">
      <c r="A60" s="1"/>
      <c r="B60" s="808" t="s">
        <v>1000</v>
      </c>
      <c r="C60" s="1250">
        <v>535</v>
      </c>
      <c r="D60" s="809">
        <v>596</v>
      </c>
      <c r="E60" s="1261">
        <v>6.0138183599339984E-4</v>
      </c>
      <c r="F60" s="1262">
        <f t="shared" si="7"/>
        <v>-3.668429199559739E-2</v>
      </c>
      <c r="G60" s="809">
        <f t="shared" si="8"/>
        <v>265</v>
      </c>
      <c r="H60" s="1185">
        <f>0</f>
        <v>0</v>
      </c>
      <c r="I60" s="1249"/>
      <c r="J60" s="1086"/>
      <c r="K60" s="1249"/>
      <c r="L60" s="1086"/>
      <c r="M60" s="404"/>
      <c r="N60" s="1"/>
      <c r="O60" s="1"/>
      <c r="P60" s="1"/>
      <c r="Q60" s="1"/>
      <c r="R60" s="1"/>
      <c r="S60" s="1"/>
      <c r="T60" s="1"/>
      <c r="U60" s="1"/>
      <c r="V60" s="1"/>
      <c r="W60" s="1"/>
      <c r="X60" s="1"/>
      <c r="Y60" s="1"/>
      <c r="Z60" s="1"/>
    </row>
    <row r="61" spans="1:26" ht="14.4">
      <c r="A61" s="1"/>
      <c r="B61" s="808" t="s">
        <v>1001</v>
      </c>
      <c r="C61" s="809">
        <v>0</v>
      </c>
      <c r="D61" s="809">
        <v>0</v>
      </c>
      <c r="E61" s="1261">
        <v>6.0138183599339984E-4</v>
      </c>
      <c r="F61" s="1262">
        <f t="shared" si="7"/>
        <v>0</v>
      </c>
      <c r="G61" s="809">
        <f t="shared" si="8"/>
        <v>265</v>
      </c>
      <c r="H61" s="1185">
        <f>F61*G61/1000000</f>
        <v>0</v>
      </c>
      <c r="I61" s="1249"/>
      <c r="J61" s="1086"/>
      <c r="K61" s="1249"/>
      <c r="L61" s="1086"/>
      <c r="M61" s="404"/>
      <c r="N61" s="1"/>
      <c r="O61" s="1"/>
      <c r="P61" s="1"/>
      <c r="Q61" s="1"/>
      <c r="R61" s="1"/>
      <c r="S61" s="1"/>
      <c r="T61" s="1"/>
      <c r="U61" s="1"/>
      <c r="V61" s="1"/>
      <c r="W61" s="1"/>
      <c r="X61" s="1"/>
      <c r="Y61" s="1"/>
      <c r="Z61" s="1"/>
    </row>
    <row r="62" spans="1:26" ht="14.4">
      <c r="A62" s="1"/>
      <c r="B62" s="808" t="s">
        <v>1002</v>
      </c>
      <c r="C62" s="1250">
        <v>106</v>
      </c>
      <c r="D62" s="809">
        <v>120</v>
      </c>
      <c r="E62" s="1261">
        <v>6.0138183599339984E-4</v>
      </c>
      <c r="F62" s="1262">
        <f t="shared" si="7"/>
        <v>-8.4193457039075971E-3</v>
      </c>
      <c r="G62" s="809">
        <f t="shared" si="8"/>
        <v>265</v>
      </c>
      <c r="H62" s="1185">
        <f>0</f>
        <v>0</v>
      </c>
      <c r="I62" s="1249"/>
      <c r="J62" s="1086"/>
      <c r="K62" s="1249"/>
      <c r="L62" s="1086"/>
      <c r="M62" s="404"/>
      <c r="N62" s="1"/>
      <c r="O62" s="1"/>
      <c r="P62" s="1"/>
      <c r="Q62" s="1"/>
      <c r="R62" s="1"/>
      <c r="S62" s="1"/>
      <c r="T62" s="1"/>
      <c r="U62" s="1"/>
      <c r="V62" s="1"/>
      <c r="W62" s="1"/>
      <c r="X62" s="1"/>
      <c r="Y62" s="1"/>
      <c r="Z62" s="1"/>
    </row>
    <row r="63" spans="1:26" ht="14.4">
      <c r="A63" s="1"/>
      <c r="B63" s="808" t="s">
        <v>295</v>
      </c>
      <c r="C63" s="1250">
        <v>21808</v>
      </c>
      <c r="D63" s="809">
        <v>688</v>
      </c>
      <c r="E63" s="1261">
        <v>9.4955026735800017E-5</v>
      </c>
      <c r="F63" s="1262">
        <f t="shared" si="7"/>
        <v>2.0054501646600964</v>
      </c>
      <c r="G63" s="809">
        <f t="shared" si="8"/>
        <v>265</v>
      </c>
      <c r="H63" s="1185">
        <f t="shared" ref="H63:H64" si="12">F63*G63/1000000</f>
        <v>5.3144429363492557E-4</v>
      </c>
      <c r="I63" s="1249"/>
      <c r="J63" s="1086"/>
      <c r="K63" s="1249"/>
      <c r="L63" s="1086"/>
      <c r="M63" s="404"/>
      <c r="N63" s="1"/>
      <c r="O63" s="1"/>
      <c r="P63" s="1"/>
      <c r="Q63" s="1"/>
      <c r="R63" s="1"/>
      <c r="S63" s="1"/>
      <c r="T63" s="1"/>
      <c r="U63" s="1"/>
      <c r="V63" s="1"/>
      <c r="W63" s="1"/>
      <c r="X63" s="1"/>
      <c r="Y63" s="1"/>
      <c r="Z63" s="1"/>
    </row>
    <row r="64" spans="1:26" ht="14.4">
      <c r="A64" s="1"/>
      <c r="B64" s="376" t="s">
        <v>808</v>
      </c>
      <c r="C64" s="809">
        <v>9240</v>
      </c>
      <c r="D64" s="1246" t="s">
        <v>1007</v>
      </c>
      <c r="E64" s="1261">
        <v>3.7982010694320003E-3</v>
      </c>
      <c r="F64" s="1262">
        <f>C64*E64</f>
        <v>35.095377881551684</v>
      </c>
      <c r="G64" s="809">
        <f t="shared" si="8"/>
        <v>265</v>
      </c>
      <c r="H64" s="1185">
        <f t="shared" si="12"/>
        <v>9.3002751386111956E-3</v>
      </c>
      <c r="I64" s="1249"/>
      <c r="J64" s="1086"/>
      <c r="K64" s="1249"/>
      <c r="L64" s="1086"/>
      <c r="M64" s="404"/>
      <c r="N64" s="1"/>
      <c r="O64" s="1"/>
      <c r="P64" s="1"/>
      <c r="Q64" s="1"/>
      <c r="R64" s="1"/>
      <c r="S64" s="1"/>
      <c r="T64" s="1"/>
      <c r="U64" s="1"/>
      <c r="V64" s="1"/>
      <c r="W64" s="1"/>
      <c r="X64" s="1"/>
      <c r="Y64" s="1"/>
      <c r="Z64" s="1"/>
    </row>
    <row r="65" spans="1:26" ht="14.4">
      <c r="A65" s="1"/>
      <c r="B65" s="376"/>
      <c r="C65" s="1255"/>
      <c r="D65" s="1255"/>
      <c r="E65" s="1255"/>
      <c r="F65" s="1255"/>
      <c r="G65" s="1263" t="s">
        <v>177</v>
      </c>
      <c r="H65" s="1264">
        <f>SUM(H42:H64)</f>
        <v>2.0476902594441675E-2</v>
      </c>
      <c r="I65" s="50"/>
      <c r="J65" s="1183"/>
      <c r="K65" s="50"/>
      <c r="L65" s="1183"/>
      <c r="M65" s="404"/>
      <c r="N65" s="1"/>
      <c r="O65" s="1"/>
      <c r="P65" s="1"/>
      <c r="Q65" s="1"/>
      <c r="R65" s="1"/>
      <c r="S65" s="1"/>
      <c r="T65" s="1"/>
      <c r="U65" s="1"/>
      <c r="V65" s="1"/>
      <c r="W65" s="1"/>
      <c r="X65" s="1"/>
      <c r="Y65" s="1"/>
      <c r="Z65" s="1"/>
    </row>
    <row r="66" spans="1:26" ht="14.4">
      <c r="A66" s="1"/>
      <c r="B66" s="1258"/>
      <c r="C66" s="1259"/>
      <c r="D66" s="1259"/>
      <c r="E66" s="1259"/>
      <c r="F66" s="1259"/>
      <c r="G66" s="1259"/>
      <c r="H66" s="1265"/>
      <c r="I66" s="1"/>
      <c r="J66" s="1"/>
      <c r="K66" s="1"/>
      <c r="L66" s="1"/>
      <c r="M66" s="1"/>
      <c r="N66" s="1"/>
      <c r="O66" s="1"/>
      <c r="P66" s="1"/>
      <c r="Q66" s="1"/>
      <c r="R66" s="1"/>
      <c r="S66" s="1"/>
      <c r="T66" s="1"/>
      <c r="U66" s="1"/>
      <c r="V66" s="1"/>
      <c r="W66" s="1"/>
      <c r="X66" s="1"/>
      <c r="Y66" s="1"/>
      <c r="Z66" s="1"/>
    </row>
    <row r="67" spans="1:26" ht="14.4">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4">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9.8">
      <c r="A69" s="1"/>
      <c r="B69" s="1171" t="s">
        <v>1008</v>
      </c>
      <c r="C69" s="1171"/>
      <c r="D69" s="1171">
        <v>2011</v>
      </c>
      <c r="E69" s="404"/>
      <c r="F69" s="404"/>
      <c r="G69" s="404"/>
      <c r="H69" s="404"/>
      <c r="I69" s="404"/>
      <c r="J69" s="404"/>
      <c r="K69" s="404"/>
      <c r="L69" s="404"/>
      <c r="M69" s="404"/>
      <c r="N69" s="1"/>
      <c r="O69" s="1"/>
      <c r="P69" s="1"/>
      <c r="Q69" s="1"/>
      <c r="R69" s="1"/>
      <c r="S69" s="1"/>
      <c r="T69" s="1"/>
      <c r="U69" s="1"/>
      <c r="V69" s="1"/>
      <c r="W69" s="1"/>
      <c r="X69" s="1"/>
      <c r="Y69" s="1"/>
      <c r="Z69" s="1"/>
    </row>
    <row r="70" spans="1:26" ht="14.4">
      <c r="A70" s="1"/>
      <c r="B70" s="1266"/>
      <c r="C70" s="818" t="s">
        <v>262</v>
      </c>
      <c r="D70" s="818" t="s">
        <v>915</v>
      </c>
      <c r="E70" s="1267"/>
      <c r="F70" s="1267"/>
      <c r="G70" s="1267"/>
      <c r="H70" s="1268"/>
      <c r="I70" s="404"/>
      <c r="J70" s="404"/>
      <c r="K70" s="404"/>
      <c r="L70" s="404"/>
      <c r="M70" s="404"/>
      <c r="N70" s="1"/>
      <c r="O70" s="1"/>
      <c r="P70" s="1"/>
      <c r="Q70" s="1"/>
      <c r="R70" s="1"/>
      <c r="S70" s="1"/>
      <c r="T70" s="1"/>
      <c r="U70" s="1"/>
      <c r="V70" s="1"/>
      <c r="W70" s="1"/>
      <c r="X70" s="1"/>
      <c r="Y70" s="1"/>
      <c r="Z70" s="1"/>
    </row>
    <row r="71" spans="1:26" ht="14.4">
      <c r="A71" s="1"/>
      <c r="B71" s="1269"/>
      <c r="C71" s="1063" t="s">
        <v>90</v>
      </c>
      <c r="D71" s="1063" t="s">
        <v>90</v>
      </c>
      <c r="E71" s="46" t="s">
        <v>881</v>
      </c>
      <c r="F71" s="46" t="s">
        <v>118</v>
      </c>
      <c r="G71" s="1063" t="s">
        <v>698</v>
      </c>
      <c r="H71" s="1172" t="s">
        <v>118</v>
      </c>
      <c r="I71" s="404"/>
      <c r="J71" s="46"/>
      <c r="K71" s="404"/>
      <c r="L71" s="46"/>
      <c r="M71" s="404"/>
      <c r="N71" s="1"/>
      <c r="O71" s="1"/>
      <c r="P71" s="1"/>
      <c r="Q71" s="1"/>
      <c r="R71" s="1"/>
      <c r="S71" s="1"/>
      <c r="T71" s="1"/>
      <c r="U71" s="1"/>
      <c r="V71" s="1"/>
      <c r="W71" s="1"/>
      <c r="X71" s="1"/>
      <c r="Y71" s="1"/>
      <c r="Z71" s="1"/>
    </row>
    <row r="72" spans="1:26" ht="14.4">
      <c r="A72" s="1"/>
      <c r="B72" s="1270" t="s">
        <v>348</v>
      </c>
      <c r="C72" s="1271" t="s">
        <v>699</v>
      </c>
      <c r="D72" s="1271" t="s">
        <v>699</v>
      </c>
      <c r="E72" s="1272" t="s">
        <v>952</v>
      </c>
      <c r="F72" s="1272" t="s">
        <v>1009</v>
      </c>
      <c r="G72" s="1271"/>
      <c r="H72" s="1273" t="s">
        <v>954</v>
      </c>
      <c r="I72" s="404"/>
      <c r="J72" s="1063"/>
      <c r="K72" s="404"/>
      <c r="L72" s="46"/>
      <c r="M72" s="404"/>
      <c r="N72" s="1"/>
      <c r="O72" s="1"/>
      <c r="P72" s="1"/>
      <c r="Q72" s="1"/>
      <c r="R72" s="1"/>
      <c r="S72" s="1"/>
      <c r="T72" s="1"/>
      <c r="U72" s="1"/>
      <c r="V72" s="1"/>
      <c r="W72" s="1"/>
      <c r="X72" s="1"/>
      <c r="Y72" s="1"/>
      <c r="Z72" s="1"/>
    </row>
    <row r="73" spans="1:26" ht="14.4">
      <c r="A73" s="1"/>
      <c r="B73" s="1274" t="s">
        <v>988</v>
      </c>
      <c r="C73" s="809">
        <v>0</v>
      </c>
      <c r="D73" s="1275">
        <v>0</v>
      </c>
      <c r="E73" s="1276">
        <v>1.0023030599889999E-2</v>
      </c>
      <c r="F73" s="1277">
        <f t="shared" ref="F73:F94" si="13">(C73-D73)*E73</f>
        <v>0</v>
      </c>
      <c r="G73" s="841">
        <f t="shared" ref="G73:G95" si="14">$M$12</f>
        <v>28</v>
      </c>
      <c r="H73" s="1278">
        <f t="shared" ref="H73:H74" si="15">F73*G73/1000000</f>
        <v>0</v>
      </c>
      <c r="I73" s="1249"/>
      <c r="J73" s="1086"/>
      <c r="K73" s="1249"/>
      <c r="L73" s="1086"/>
      <c r="M73" s="404"/>
      <c r="N73" s="1"/>
      <c r="O73" s="1"/>
      <c r="P73" s="1"/>
      <c r="Q73" s="1"/>
      <c r="R73" s="1"/>
      <c r="S73" s="1"/>
      <c r="T73" s="1"/>
      <c r="U73" s="1"/>
      <c r="V73" s="1"/>
      <c r="W73" s="1"/>
      <c r="X73" s="1"/>
      <c r="Y73" s="1"/>
      <c r="Z73" s="1"/>
    </row>
    <row r="74" spans="1:26" ht="14.4">
      <c r="A74" s="1"/>
      <c r="B74" s="1279" t="s">
        <v>989</v>
      </c>
      <c r="C74" s="1250">
        <v>21655</v>
      </c>
      <c r="D74" s="1280">
        <v>227</v>
      </c>
      <c r="E74" s="1261">
        <v>1.0023030599889999E-2</v>
      </c>
      <c r="F74" s="1281">
        <f t="shared" si="13"/>
        <v>214.7734996944429</v>
      </c>
      <c r="G74" s="809">
        <f t="shared" si="14"/>
        <v>28</v>
      </c>
      <c r="H74" s="1282">
        <f t="shared" si="15"/>
        <v>6.0136579914444009E-3</v>
      </c>
      <c r="I74" s="1249"/>
      <c r="J74" s="1086"/>
      <c r="K74" s="1249"/>
      <c r="L74" s="1086"/>
      <c r="M74" s="404"/>
      <c r="N74" s="1"/>
      <c r="O74" s="1"/>
      <c r="P74" s="1"/>
      <c r="Q74" s="1"/>
      <c r="R74" s="1"/>
      <c r="S74" s="1"/>
      <c r="T74" s="1"/>
      <c r="U74" s="1"/>
      <c r="V74" s="1"/>
      <c r="W74" s="1"/>
      <c r="X74" s="1"/>
      <c r="Y74" s="1"/>
      <c r="Z74" s="1"/>
    </row>
    <row r="75" spans="1:26" ht="14.4">
      <c r="A75" s="1"/>
      <c r="B75" s="1279" t="s">
        <v>990</v>
      </c>
      <c r="C75" s="1250">
        <v>19835</v>
      </c>
      <c r="D75" s="1280">
        <v>22046</v>
      </c>
      <c r="E75" s="1261">
        <v>3.006909179967E-3</v>
      </c>
      <c r="F75" s="1281">
        <f t="shared" si="13"/>
        <v>-6.6482761969070365</v>
      </c>
      <c r="G75" s="809">
        <f t="shared" si="14"/>
        <v>28</v>
      </c>
      <c r="H75" s="1282">
        <f>0</f>
        <v>0</v>
      </c>
      <c r="I75" s="1249"/>
      <c r="J75" s="1086"/>
      <c r="K75" s="1249"/>
      <c r="L75" s="1086"/>
      <c r="M75" s="404"/>
      <c r="N75" s="1"/>
      <c r="O75" s="1"/>
      <c r="P75" s="1"/>
      <c r="Q75" s="1"/>
      <c r="R75" s="1"/>
      <c r="S75" s="1"/>
      <c r="T75" s="1"/>
      <c r="U75" s="1"/>
      <c r="V75" s="1"/>
      <c r="W75" s="1"/>
      <c r="X75" s="1"/>
      <c r="Y75" s="1"/>
      <c r="Z75" s="1"/>
    </row>
    <row r="76" spans="1:26" ht="28.8">
      <c r="A76" s="1"/>
      <c r="B76" s="1283" t="s">
        <v>991</v>
      </c>
      <c r="C76" s="809">
        <v>0</v>
      </c>
      <c r="D76" s="1280">
        <v>0</v>
      </c>
      <c r="E76" s="1261">
        <v>3.006909179967E-3</v>
      </c>
      <c r="F76" s="1281">
        <f t="shared" si="13"/>
        <v>0</v>
      </c>
      <c r="G76" s="809">
        <f t="shared" si="14"/>
        <v>28</v>
      </c>
      <c r="H76" s="1282">
        <f t="shared" ref="H76:H82" si="16">F76*G76/1000000</f>
        <v>0</v>
      </c>
      <c r="I76" s="1249"/>
      <c r="J76" s="1086"/>
      <c r="K76" s="1249"/>
      <c r="L76" s="1086"/>
      <c r="M76" s="404"/>
      <c r="N76" s="1"/>
      <c r="O76" s="1"/>
      <c r="P76" s="1"/>
      <c r="Q76" s="1"/>
      <c r="R76" s="1"/>
      <c r="S76" s="1"/>
      <c r="T76" s="1"/>
      <c r="U76" s="1"/>
      <c r="V76" s="1"/>
      <c r="W76" s="1"/>
      <c r="X76" s="1"/>
      <c r="Y76" s="1"/>
      <c r="Z76" s="1"/>
    </row>
    <row r="77" spans="1:26" ht="14.4">
      <c r="A77" s="1"/>
      <c r="B77" s="1283" t="s">
        <v>992</v>
      </c>
      <c r="C77" s="809">
        <v>0</v>
      </c>
      <c r="D77" s="1280">
        <v>0</v>
      </c>
      <c r="E77" s="1261">
        <v>3.006909179967E-3</v>
      </c>
      <c r="F77" s="1281">
        <f t="shared" si="13"/>
        <v>0</v>
      </c>
      <c r="G77" s="809">
        <f t="shared" si="14"/>
        <v>28</v>
      </c>
      <c r="H77" s="1282">
        <f t="shared" si="16"/>
        <v>0</v>
      </c>
      <c r="I77" s="1249"/>
      <c r="J77" s="1086"/>
      <c r="K77" s="1249"/>
      <c r="L77" s="1086"/>
      <c r="M77" s="404"/>
      <c r="N77" s="1"/>
      <c r="O77" s="1"/>
      <c r="P77" s="1"/>
      <c r="Q77" s="1"/>
      <c r="R77" s="1"/>
      <c r="S77" s="1"/>
      <c r="T77" s="1"/>
      <c r="U77" s="1"/>
      <c r="V77" s="1"/>
      <c r="W77" s="1"/>
      <c r="X77" s="1"/>
      <c r="Y77" s="1"/>
      <c r="Z77" s="1"/>
    </row>
    <row r="78" spans="1:26" ht="14.4">
      <c r="A78" s="1"/>
      <c r="B78" s="1279" t="s">
        <v>703</v>
      </c>
      <c r="C78" s="1250">
        <v>7382</v>
      </c>
      <c r="D78" s="1280">
        <v>96</v>
      </c>
      <c r="E78" s="1261">
        <v>3.006909179967E-3</v>
      </c>
      <c r="F78" s="1281">
        <f t="shared" si="13"/>
        <v>21.908340285239561</v>
      </c>
      <c r="G78" s="809">
        <f t="shared" si="14"/>
        <v>28</v>
      </c>
      <c r="H78" s="1282">
        <f t="shared" si="16"/>
        <v>6.1343352798670777E-4</v>
      </c>
      <c r="I78" s="1249"/>
      <c r="J78" s="1086"/>
      <c r="K78" s="1249"/>
      <c r="L78" s="1086"/>
      <c r="M78" s="404"/>
      <c r="N78" s="1"/>
      <c r="O78" s="1"/>
      <c r="P78" s="1"/>
      <c r="Q78" s="1"/>
      <c r="R78" s="1"/>
      <c r="S78" s="1"/>
      <c r="T78" s="1"/>
      <c r="U78" s="1"/>
      <c r="V78" s="1"/>
      <c r="W78" s="1"/>
      <c r="X78" s="1"/>
      <c r="Y78" s="1"/>
      <c r="Z78" s="1"/>
    </row>
    <row r="79" spans="1:26" ht="14.4">
      <c r="A79" s="1"/>
      <c r="B79" s="1283" t="s">
        <v>993</v>
      </c>
      <c r="C79" s="1253">
        <v>0</v>
      </c>
      <c r="D79" s="1280"/>
      <c r="E79" s="1261">
        <v>3.006909179967E-3</v>
      </c>
      <c r="F79" s="1281">
        <f t="shared" si="13"/>
        <v>0</v>
      </c>
      <c r="G79" s="809">
        <f t="shared" si="14"/>
        <v>28</v>
      </c>
      <c r="H79" s="1282">
        <f t="shared" si="16"/>
        <v>0</v>
      </c>
      <c r="I79" s="1249"/>
      <c r="J79" s="1086"/>
      <c r="K79" s="1249"/>
      <c r="L79" s="1086"/>
      <c r="M79" s="404"/>
      <c r="N79" s="1"/>
      <c r="O79" s="1"/>
      <c r="P79" s="1"/>
      <c r="Q79" s="1"/>
      <c r="R79" s="1"/>
      <c r="S79" s="1"/>
      <c r="T79" s="1"/>
      <c r="U79" s="1"/>
      <c r="V79" s="1"/>
      <c r="W79" s="1"/>
      <c r="X79" s="1"/>
      <c r="Y79" s="1"/>
      <c r="Z79" s="1"/>
    </row>
    <row r="80" spans="1:26" ht="28.8">
      <c r="A80" s="1"/>
      <c r="B80" s="1283" t="s">
        <v>994</v>
      </c>
      <c r="C80" s="1253">
        <v>0</v>
      </c>
      <c r="D80" s="1280"/>
      <c r="E80" s="1261">
        <v>3.006909179967E-3</v>
      </c>
      <c r="F80" s="1281">
        <f t="shared" si="13"/>
        <v>0</v>
      </c>
      <c r="G80" s="809">
        <f t="shared" si="14"/>
        <v>28</v>
      </c>
      <c r="H80" s="1282">
        <f t="shared" si="16"/>
        <v>0</v>
      </c>
      <c r="I80" s="1249"/>
      <c r="J80" s="1086"/>
      <c r="K80" s="1249"/>
      <c r="L80" s="1086"/>
      <c r="M80" s="404"/>
      <c r="N80" s="1"/>
      <c r="O80" s="1"/>
      <c r="P80" s="1"/>
      <c r="Q80" s="1"/>
      <c r="R80" s="1"/>
      <c r="S80" s="1"/>
      <c r="T80" s="1"/>
      <c r="U80" s="1"/>
      <c r="V80" s="1"/>
      <c r="W80" s="1"/>
      <c r="X80" s="1"/>
      <c r="Y80" s="1"/>
      <c r="Z80" s="1"/>
    </row>
    <row r="81" spans="1:26" ht="14.4">
      <c r="A81" s="1"/>
      <c r="B81" s="1279" t="s">
        <v>946</v>
      </c>
      <c r="C81" s="1250">
        <v>7</v>
      </c>
      <c r="D81" s="1280">
        <v>0</v>
      </c>
      <c r="E81" s="1261">
        <v>3.006909179967E-3</v>
      </c>
      <c r="F81" s="1281">
        <f t="shared" si="13"/>
        <v>2.1048364259768998E-2</v>
      </c>
      <c r="G81" s="809">
        <f t="shared" si="14"/>
        <v>28</v>
      </c>
      <c r="H81" s="1282">
        <f t="shared" si="16"/>
        <v>5.8935419927353193E-7</v>
      </c>
      <c r="I81" s="1249"/>
      <c r="J81" s="1086"/>
      <c r="K81" s="1249"/>
      <c r="L81" s="1086"/>
      <c r="M81" s="404"/>
      <c r="N81" s="1"/>
      <c r="O81" s="1"/>
      <c r="P81" s="1"/>
      <c r="Q81" s="1"/>
      <c r="R81" s="1"/>
      <c r="S81" s="1"/>
      <c r="T81" s="1"/>
      <c r="U81" s="1"/>
      <c r="V81" s="1"/>
      <c r="W81" s="1"/>
      <c r="X81" s="1"/>
      <c r="Y81" s="1"/>
      <c r="Z81" s="1"/>
    </row>
    <row r="82" spans="1:26" ht="14.4">
      <c r="A82" s="1"/>
      <c r="B82" s="1279" t="s">
        <v>909</v>
      </c>
      <c r="C82" s="1250">
        <v>1582</v>
      </c>
      <c r="D82" s="1280">
        <v>1385</v>
      </c>
      <c r="E82" s="1261">
        <v>3.006909179967E-3</v>
      </c>
      <c r="F82" s="1281">
        <f t="shared" si="13"/>
        <v>0.59236110845349899</v>
      </c>
      <c r="G82" s="809">
        <f t="shared" si="14"/>
        <v>28</v>
      </c>
      <c r="H82" s="1282">
        <f t="shared" si="16"/>
        <v>1.6586111036697971E-5</v>
      </c>
      <c r="I82" s="1249"/>
      <c r="J82" s="1086"/>
      <c r="K82" s="1249"/>
      <c r="L82" s="1086"/>
      <c r="M82" s="404"/>
      <c r="N82" s="1"/>
      <c r="O82" s="1"/>
      <c r="P82" s="1"/>
      <c r="Q82" s="1"/>
      <c r="R82" s="1"/>
      <c r="S82" s="1"/>
      <c r="T82" s="1"/>
      <c r="U82" s="1"/>
      <c r="V82" s="1"/>
      <c r="W82" s="1"/>
      <c r="X82" s="1"/>
      <c r="Y82" s="1"/>
      <c r="Z82" s="1"/>
    </row>
    <row r="83" spans="1:26" ht="14.4">
      <c r="A83" s="1"/>
      <c r="B83" s="1279" t="s">
        <v>919</v>
      </c>
      <c r="C83" s="1250">
        <v>1957</v>
      </c>
      <c r="D83" s="1280">
        <v>2063</v>
      </c>
      <c r="E83" s="1261">
        <v>3.006909179967E-3</v>
      </c>
      <c r="F83" s="1281">
        <f t="shared" si="13"/>
        <v>-0.31873237307650198</v>
      </c>
      <c r="G83" s="809">
        <f t="shared" si="14"/>
        <v>28</v>
      </c>
      <c r="H83" s="1282">
        <f>0</f>
        <v>0</v>
      </c>
      <c r="I83" s="1249"/>
      <c r="J83" s="1086"/>
      <c r="K83" s="1249"/>
      <c r="L83" s="1086"/>
      <c r="M83" s="404"/>
      <c r="N83" s="1"/>
      <c r="O83" s="1"/>
      <c r="P83" s="1"/>
      <c r="Q83" s="1"/>
      <c r="R83" s="1"/>
      <c r="S83" s="1"/>
      <c r="T83" s="1"/>
      <c r="U83" s="1"/>
      <c r="V83" s="1"/>
      <c r="W83" s="1"/>
      <c r="X83" s="1"/>
      <c r="Y83" s="1"/>
      <c r="Z83" s="1"/>
    </row>
    <row r="84" spans="1:26" ht="14.4">
      <c r="A84" s="1"/>
      <c r="B84" s="1279" t="s">
        <v>827</v>
      </c>
      <c r="C84" s="1250">
        <v>4129</v>
      </c>
      <c r="D84" s="1280">
        <v>0</v>
      </c>
      <c r="E84" s="1261">
        <v>3.006909179967E-3</v>
      </c>
      <c r="F84" s="1281">
        <f t="shared" si="13"/>
        <v>12.415528004083743</v>
      </c>
      <c r="G84" s="809">
        <f t="shared" si="14"/>
        <v>28</v>
      </c>
      <c r="H84" s="1282">
        <f t="shared" ref="H84:H90" si="17">F84*G84/1000000</f>
        <v>3.4763478411434484E-4</v>
      </c>
      <c r="I84" s="1249"/>
      <c r="J84" s="1086"/>
      <c r="K84" s="1249"/>
      <c r="L84" s="1086"/>
      <c r="M84" s="404"/>
      <c r="N84" s="1"/>
      <c r="O84" s="1"/>
      <c r="P84" s="1"/>
      <c r="Q84" s="1"/>
      <c r="R84" s="1"/>
      <c r="S84" s="1"/>
      <c r="T84" s="1"/>
      <c r="U84" s="1"/>
      <c r="V84" s="1"/>
      <c r="W84" s="1"/>
      <c r="X84" s="1"/>
      <c r="Y84" s="1"/>
      <c r="Z84" s="1"/>
    </row>
    <row r="85" spans="1:26" ht="14.4">
      <c r="A85" s="1"/>
      <c r="B85" s="1283" t="s">
        <v>995</v>
      </c>
      <c r="C85" s="809">
        <v>0</v>
      </c>
      <c r="D85" s="1280">
        <v>0</v>
      </c>
      <c r="E85" s="1261">
        <v>3.006909179967E-3</v>
      </c>
      <c r="F85" s="1281">
        <f t="shared" si="13"/>
        <v>0</v>
      </c>
      <c r="G85" s="809">
        <f t="shared" si="14"/>
        <v>28</v>
      </c>
      <c r="H85" s="1282">
        <f t="shared" si="17"/>
        <v>0</v>
      </c>
      <c r="I85" s="1249"/>
      <c r="J85" s="1086"/>
      <c r="K85" s="1249"/>
      <c r="L85" s="1086"/>
      <c r="M85" s="404"/>
      <c r="N85" s="1"/>
      <c r="O85" s="1"/>
      <c r="P85" s="1"/>
      <c r="Q85" s="1"/>
      <c r="R85" s="1"/>
      <c r="S85" s="1"/>
      <c r="T85" s="1"/>
      <c r="U85" s="1"/>
      <c r="V85" s="1"/>
      <c r="W85" s="1"/>
      <c r="X85" s="1"/>
      <c r="Y85" s="1"/>
      <c r="Z85" s="1"/>
    </row>
    <row r="86" spans="1:26" ht="14.4">
      <c r="A86" s="1"/>
      <c r="B86" s="1279" t="s">
        <v>996</v>
      </c>
      <c r="C86" s="1250">
        <v>501</v>
      </c>
      <c r="D86" s="1280">
        <v>483</v>
      </c>
      <c r="E86" s="1261">
        <v>3.006909179967E-3</v>
      </c>
      <c r="F86" s="1281">
        <f t="shared" si="13"/>
        <v>5.4124365239406003E-2</v>
      </c>
      <c r="G86" s="809">
        <f t="shared" si="14"/>
        <v>28</v>
      </c>
      <c r="H86" s="1282">
        <f t="shared" si="17"/>
        <v>1.5154822267033682E-6</v>
      </c>
      <c r="I86" s="1249"/>
      <c r="J86" s="1086"/>
      <c r="K86" s="1249"/>
      <c r="L86" s="1086"/>
      <c r="M86" s="404"/>
      <c r="N86" s="1"/>
      <c r="O86" s="1"/>
      <c r="P86" s="1"/>
      <c r="Q86" s="1"/>
      <c r="R86" s="1"/>
      <c r="S86" s="1"/>
      <c r="T86" s="1"/>
      <c r="U86" s="1"/>
      <c r="V86" s="1"/>
      <c r="W86" s="1"/>
      <c r="X86" s="1"/>
      <c r="Y86" s="1"/>
      <c r="Z86" s="1"/>
    </row>
    <row r="87" spans="1:26" ht="14.4">
      <c r="A87" s="1"/>
      <c r="B87" s="1279" t="s">
        <v>997</v>
      </c>
      <c r="C87" s="809">
        <v>0</v>
      </c>
      <c r="D87" s="1280">
        <v>0</v>
      </c>
      <c r="E87" s="1261">
        <v>3.006909179967E-3</v>
      </c>
      <c r="F87" s="1281">
        <f t="shared" si="13"/>
        <v>0</v>
      </c>
      <c r="G87" s="809">
        <f t="shared" si="14"/>
        <v>28</v>
      </c>
      <c r="H87" s="1282">
        <f t="shared" si="17"/>
        <v>0</v>
      </c>
      <c r="I87" s="1249"/>
      <c r="J87" s="1086"/>
      <c r="K87" s="1249"/>
      <c r="L87" s="1086"/>
      <c r="M87" s="404"/>
      <c r="N87" s="1"/>
      <c r="O87" s="1"/>
      <c r="P87" s="1"/>
      <c r="Q87" s="1"/>
      <c r="R87" s="1"/>
      <c r="S87" s="1"/>
      <c r="T87" s="1"/>
      <c r="U87" s="1"/>
      <c r="V87" s="1"/>
      <c r="W87" s="1"/>
      <c r="X87" s="1"/>
      <c r="Y87" s="1"/>
      <c r="Z87" s="1"/>
    </row>
    <row r="88" spans="1:26" ht="14.4">
      <c r="A88" s="1"/>
      <c r="B88" s="1279" t="s">
        <v>998</v>
      </c>
      <c r="C88" s="809"/>
      <c r="D88" s="1280"/>
      <c r="E88" s="1261">
        <v>3.006909179967E-3</v>
      </c>
      <c r="F88" s="1281">
        <f t="shared" si="13"/>
        <v>0</v>
      </c>
      <c r="G88" s="809">
        <f t="shared" si="14"/>
        <v>28</v>
      </c>
      <c r="H88" s="1282">
        <f t="shared" si="17"/>
        <v>0</v>
      </c>
      <c r="I88" s="1249"/>
      <c r="J88" s="1086"/>
      <c r="K88" s="1249"/>
      <c r="L88" s="1086"/>
      <c r="M88" s="404"/>
      <c r="N88" s="1"/>
      <c r="O88" s="1"/>
      <c r="P88" s="1"/>
      <c r="Q88" s="1"/>
      <c r="R88" s="1"/>
      <c r="S88" s="1"/>
      <c r="T88" s="1"/>
      <c r="U88" s="1"/>
      <c r="V88" s="1"/>
      <c r="W88" s="1"/>
      <c r="X88" s="1"/>
      <c r="Y88" s="1"/>
      <c r="Z88" s="1"/>
    </row>
    <row r="89" spans="1:26" ht="14.4">
      <c r="A89" s="1"/>
      <c r="B89" s="1279" t="s">
        <v>704</v>
      </c>
      <c r="C89" s="1250">
        <v>1590</v>
      </c>
      <c r="D89" s="1280">
        <v>0</v>
      </c>
      <c r="E89" s="1261">
        <v>3.006909179967E-3</v>
      </c>
      <c r="F89" s="1281">
        <f t="shared" si="13"/>
        <v>4.7809855961475298</v>
      </c>
      <c r="G89" s="809">
        <f t="shared" si="14"/>
        <v>28</v>
      </c>
      <c r="H89" s="1282">
        <f t="shared" si="17"/>
        <v>1.3386759669213084E-4</v>
      </c>
      <c r="I89" s="1249"/>
      <c r="J89" s="1086"/>
      <c r="K89" s="1249"/>
      <c r="L89" s="1086"/>
      <c r="M89" s="404"/>
      <c r="N89" s="1"/>
      <c r="O89" s="1"/>
      <c r="P89" s="1"/>
      <c r="Q89" s="1"/>
      <c r="R89" s="1"/>
      <c r="S89" s="1"/>
      <c r="T89" s="1"/>
      <c r="U89" s="1"/>
      <c r="V89" s="1"/>
      <c r="W89" s="1"/>
      <c r="X89" s="1"/>
      <c r="Y89" s="1"/>
      <c r="Z89" s="1"/>
    </row>
    <row r="90" spans="1:26" ht="14.4">
      <c r="A90" s="1"/>
      <c r="B90" s="1279" t="s">
        <v>999</v>
      </c>
      <c r="C90" s="809">
        <v>0</v>
      </c>
      <c r="D90" s="1280">
        <v>0</v>
      </c>
      <c r="E90" s="1261">
        <v>3.006909179967E-3</v>
      </c>
      <c r="F90" s="1281">
        <f t="shared" si="13"/>
        <v>0</v>
      </c>
      <c r="G90" s="809">
        <f t="shared" si="14"/>
        <v>28</v>
      </c>
      <c r="H90" s="1282">
        <f t="shared" si="17"/>
        <v>0</v>
      </c>
      <c r="I90" s="1249"/>
      <c r="J90" s="1086"/>
      <c r="K90" s="1249"/>
      <c r="L90" s="1086"/>
      <c r="M90" s="404"/>
      <c r="N90" s="1"/>
      <c r="O90" s="1"/>
      <c r="P90" s="1"/>
      <c r="Q90" s="1"/>
      <c r="R90" s="1"/>
      <c r="S90" s="1"/>
      <c r="T90" s="1"/>
      <c r="U90" s="1"/>
      <c r="V90" s="1"/>
      <c r="W90" s="1"/>
      <c r="X90" s="1"/>
      <c r="Y90" s="1"/>
      <c r="Z90" s="1"/>
    </row>
    <row r="91" spans="1:26" ht="14.4">
      <c r="A91" s="1"/>
      <c r="B91" s="1279" t="s">
        <v>1000</v>
      </c>
      <c r="C91" s="1250">
        <v>535</v>
      </c>
      <c r="D91" s="1280">
        <v>596</v>
      </c>
      <c r="E91" s="1261">
        <v>3.006909179967E-3</v>
      </c>
      <c r="F91" s="1281">
        <f t="shared" si="13"/>
        <v>-0.18342145997798701</v>
      </c>
      <c r="G91" s="809">
        <f t="shared" si="14"/>
        <v>28</v>
      </c>
      <c r="H91" s="1282">
        <f>0</f>
        <v>0</v>
      </c>
      <c r="I91" s="1249"/>
      <c r="J91" s="1086"/>
      <c r="K91" s="1249"/>
      <c r="L91" s="1086"/>
      <c r="M91" s="404"/>
      <c r="N91" s="1"/>
      <c r="O91" s="1"/>
      <c r="P91" s="1"/>
      <c r="Q91" s="1"/>
      <c r="R91" s="1"/>
      <c r="S91" s="1"/>
      <c r="T91" s="1"/>
      <c r="U91" s="1"/>
      <c r="V91" s="1"/>
      <c r="W91" s="1"/>
      <c r="X91" s="1"/>
      <c r="Y91" s="1"/>
      <c r="Z91" s="1"/>
    </row>
    <row r="92" spans="1:26" ht="14.4">
      <c r="A92" s="1"/>
      <c r="B92" s="1279" t="s">
        <v>1001</v>
      </c>
      <c r="C92" s="809">
        <v>0</v>
      </c>
      <c r="D92" s="1280">
        <v>0</v>
      </c>
      <c r="E92" s="1261">
        <v>3.006909179967E-3</v>
      </c>
      <c r="F92" s="1281">
        <f t="shared" si="13"/>
        <v>0</v>
      </c>
      <c r="G92" s="809">
        <f t="shared" si="14"/>
        <v>28</v>
      </c>
      <c r="H92" s="1282">
        <f>F92*G92/1000000</f>
        <v>0</v>
      </c>
      <c r="I92" s="1249"/>
      <c r="J92" s="1086"/>
      <c r="K92" s="1249"/>
      <c r="L92" s="1086"/>
      <c r="M92" s="404"/>
      <c r="N92" s="1"/>
      <c r="O92" s="1"/>
      <c r="P92" s="1"/>
      <c r="Q92" s="1"/>
      <c r="R92" s="1"/>
      <c r="S92" s="1"/>
      <c r="T92" s="1"/>
      <c r="U92" s="1"/>
      <c r="V92" s="1"/>
      <c r="W92" s="1"/>
      <c r="X92" s="1"/>
      <c r="Y92" s="1"/>
      <c r="Z92" s="1"/>
    </row>
    <row r="93" spans="1:26" ht="14.4">
      <c r="A93" s="1"/>
      <c r="B93" s="1279" t="s">
        <v>1002</v>
      </c>
      <c r="C93" s="1250">
        <v>106</v>
      </c>
      <c r="D93" s="1280">
        <v>120</v>
      </c>
      <c r="E93" s="1261">
        <v>3.006909179967E-3</v>
      </c>
      <c r="F93" s="1281">
        <f t="shared" si="13"/>
        <v>-4.2096728519537996E-2</v>
      </c>
      <c r="G93" s="809">
        <f t="shared" si="14"/>
        <v>28</v>
      </c>
      <c r="H93" s="1282">
        <f>0</f>
        <v>0</v>
      </c>
      <c r="I93" s="1249"/>
      <c r="J93" s="1086"/>
      <c r="K93" s="1249"/>
      <c r="L93" s="1086"/>
      <c r="M93" s="404"/>
      <c r="N93" s="1"/>
      <c r="O93" s="1"/>
      <c r="P93" s="1"/>
      <c r="Q93" s="1"/>
      <c r="R93" s="1"/>
      <c r="S93" s="1"/>
      <c r="T93" s="1"/>
      <c r="U93" s="1"/>
      <c r="V93" s="1"/>
      <c r="W93" s="1"/>
      <c r="X93" s="1"/>
      <c r="Y93" s="1"/>
      <c r="Z93" s="1"/>
    </row>
    <row r="94" spans="1:26" ht="14.4">
      <c r="A94" s="1"/>
      <c r="B94" s="1279" t="s">
        <v>295</v>
      </c>
      <c r="C94" s="1250">
        <v>21808</v>
      </c>
      <c r="D94" s="1280">
        <v>688</v>
      </c>
      <c r="E94" s="1261">
        <v>9.4955026735800007E-4</v>
      </c>
      <c r="F94" s="1281">
        <f t="shared" si="13"/>
        <v>20.054501646600961</v>
      </c>
      <c r="G94" s="809">
        <f t="shared" si="14"/>
        <v>28</v>
      </c>
      <c r="H94" s="1282">
        <f t="shared" ref="H94:H95" si="18">F94*G94/1000000</f>
        <v>5.615260461048269E-4</v>
      </c>
      <c r="I94" s="1249"/>
      <c r="J94" s="1086"/>
      <c r="K94" s="1249"/>
      <c r="L94" s="1086"/>
      <c r="M94" s="404"/>
      <c r="N94" s="1"/>
      <c r="O94" s="1"/>
      <c r="P94" s="1"/>
      <c r="Q94" s="1"/>
      <c r="R94" s="1"/>
      <c r="S94" s="1"/>
      <c r="T94" s="1"/>
      <c r="U94" s="1"/>
      <c r="V94" s="1"/>
      <c r="W94" s="1"/>
      <c r="X94" s="1"/>
      <c r="Y94" s="1"/>
      <c r="Z94" s="1"/>
    </row>
    <row r="95" spans="1:26" ht="14.4">
      <c r="A95" s="1"/>
      <c r="B95" s="276" t="s">
        <v>808</v>
      </c>
      <c r="C95" s="809">
        <v>9240</v>
      </c>
      <c r="D95" s="1280" t="s">
        <v>1007</v>
      </c>
      <c r="E95" s="1261">
        <v>2.8486508020740004E-2</v>
      </c>
      <c r="F95" s="1281">
        <f>C95*E95</f>
        <v>263.21533411163762</v>
      </c>
      <c r="G95" s="809">
        <f t="shared" si="14"/>
        <v>28</v>
      </c>
      <c r="H95" s="1282">
        <f t="shared" si="18"/>
        <v>7.3700293551258525E-3</v>
      </c>
      <c r="I95" s="1249"/>
      <c r="J95" s="1086"/>
      <c r="K95" s="1249"/>
      <c r="L95" s="1086"/>
      <c r="M95" s="404"/>
      <c r="N95" s="1"/>
      <c r="O95" s="1"/>
      <c r="P95" s="1"/>
      <c r="Q95" s="1"/>
      <c r="R95" s="1"/>
      <c r="S95" s="1"/>
      <c r="T95" s="1"/>
      <c r="U95" s="1"/>
      <c r="V95" s="1"/>
      <c r="W95" s="1"/>
      <c r="X95" s="1"/>
      <c r="Y95" s="1"/>
      <c r="Z95" s="1"/>
    </row>
    <row r="96" spans="1:26" ht="14.4">
      <c r="A96" s="1"/>
      <c r="B96" s="1279"/>
      <c r="C96" s="1255"/>
      <c r="D96" s="1284"/>
      <c r="E96" s="1284"/>
      <c r="F96" s="1284"/>
      <c r="G96" s="1232" t="s">
        <v>177</v>
      </c>
      <c r="H96" s="1285">
        <f>SUM(H73:H95)</f>
        <v>1.5058840248930939E-2</v>
      </c>
      <c r="I96" s="50"/>
      <c r="J96" s="1183"/>
      <c r="K96" s="50"/>
      <c r="L96" s="1183"/>
      <c r="M96" s="404"/>
      <c r="N96" s="1"/>
      <c r="O96" s="1"/>
      <c r="P96" s="1"/>
      <c r="Q96" s="1"/>
      <c r="R96" s="1"/>
      <c r="S96" s="1"/>
      <c r="T96" s="1"/>
      <c r="U96" s="1"/>
      <c r="V96" s="1"/>
      <c r="W96" s="1"/>
      <c r="X96" s="1"/>
      <c r="Y96" s="1"/>
      <c r="Z96" s="1"/>
    </row>
    <row r="97" spans="1:26" ht="14.4">
      <c r="A97" s="1"/>
      <c r="B97" s="1286"/>
      <c r="C97" s="1287"/>
      <c r="D97" s="1287"/>
      <c r="E97" s="1287"/>
      <c r="F97" s="1287"/>
      <c r="G97" s="1287"/>
      <c r="H97" s="1288"/>
      <c r="I97" s="404"/>
      <c r="J97" s="404"/>
      <c r="K97" s="404"/>
      <c r="L97" s="404"/>
      <c r="M97" s="404"/>
      <c r="N97" s="1"/>
      <c r="O97" s="1"/>
      <c r="P97" s="1"/>
      <c r="Q97" s="1"/>
      <c r="R97" s="1"/>
      <c r="S97" s="1"/>
      <c r="T97" s="1"/>
      <c r="U97" s="1"/>
      <c r="V97" s="1"/>
      <c r="W97" s="1"/>
      <c r="X97" s="1"/>
      <c r="Y97" s="1"/>
      <c r="Z97" s="1"/>
    </row>
    <row r="98" spans="1:26" ht="14.4">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4">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4">
      <c r="A100" s="1"/>
      <c r="B100" s="1188" t="s">
        <v>1010</v>
      </c>
      <c r="C100" s="1188"/>
      <c r="D100" s="1188">
        <v>2011</v>
      </c>
      <c r="E100" s="404"/>
      <c r="F100" s="404"/>
      <c r="G100" s="404"/>
      <c r="H100" s="404"/>
      <c r="I100" s="1"/>
      <c r="J100" s="1"/>
      <c r="K100" s="1"/>
      <c r="L100" s="1"/>
      <c r="M100" s="1"/>
      <c r="N100" s="1"/>
      <c r="O100" s="1"/>
      <c r="P100" s="1"/>
      <c r="Q100" s="1"/>
      <c r="R100" s="1"/>
      <c r="S100" s="1"/>
      <c r="T100" s="1"/>
      <c r="U100" s="1"/>
      <c r="V100" s="1"/>
      <c r="W100" s="1"/>
      <c r="X100" s="1"/>
      <c r="Y100" s="1"/>
      <c r="Z100" s="1"/>
    </row>
    <row r="101" spans="1:26" ht="14.4">
      <c r="A101" s="1"/>
      <c r="B101" s="1266"/>
      <c r="C101" s="818" t="s">
        <v>262</v>
      </c>
      <c r="D101" s="818" t="s">
        <v>915</v>
      </c>
      <c r="E101" s="1289" t="s">
        <v>1011</v>
      </c>
      <c r="F101" s="1290" t="s">
        <v>1012</v>
      </c>
      <c r="G101" s="1290" t="s">
        <v>1013</v>
      </c>
      <c r="H101" s="1291" t="s">
        <v>979</v>
      </c>
      <c r="I101" s="1"/>
      <c r="J101" s="1"/>
      <c r="K101" s="1"/>
      <c r="L101" s="1"/>
      <c r="M101" s="1"/>
      <c r="N101" s="1"/>
      <c r="O101" s="1"/>
      <c r="P101" s="1"/>
      <c r="Q101" s="1"/>
      <c r="R101" s="1"/>
      <c r="S101" s="1"/>
      <c r="T101" s="1"/>
      <c r="U101" s="1"/>
      <c r="V101" s="1"/>
      <c r="W101" s="1"/>
      <c r="X101" s="1"/>
      <c r="Y101" s="1"/>
      <c r="Z101" s="1"/>
    </row>
    <row r="102" spans="1:26" ht="14.4">
      <c r="A102" s="1"/>
      <c r="B102" s="1269"/>
      <c r="C102" s="1063" t="s">
        <v>90</v>
      </c>
      <c r="D102" s="1063" t="s">
        <v>90</v>
      </c>
      <c r="E102" s="836" t="s">
        <v>118</v>
      </c>
      <c r="F102" s="837" t="s">
        <v>118</v>
      </c>
      <c r="G102" s="837" t="s">
        <v>118</v>
      </c>
      <c r="H102" s="838" t="s">
        <v>118</v>
      </c>
      <c r="I102" s="1"/>
      <c r="J102" s="1"/>
      <c r="K102" s="1"/>
      <c r="L102" s="1"/>
      <c r="M102" s="1"/>
      <c r="N102" s="1"/>
      <c r="O102" s="1"/>
      <c r="P102" s="1"/>
      <c r="Q102" s="1"/>
      <c r="R102" s="1"/>
      <c r="S102" s="1"/>
      <c r="T102" s="1"/>
      <c r="U102" s="1"/>
      <c r="V102" s="1"/>
      <c r="W102" s="1"/>
      <c r="X102" s="1"/>
      <c r="Y102" s="1"/>
      <c r="Z102" s="1"/>
    </row>
    <row r="103" spans="1:26" ht="14.4">
      <c r="A103" s="1"/>
      <c r="B103" s="1270" t="s">
        <v>348</v>
      </c>
      <c r="C103" s="1271" t="s">
        <v>699</v>
      </c>
      <c r="D103" s="1063" t="s">
        <v>699</v>
      </c>
      <c r="E103" s="836" t="s">
        <v>1014</v>
      </c>
      <c r="F103" s="837" t="s">
        <v>1015</v>
      </c>
      <c r="G103" s="837" t="s">
        <v>1016</v>
      </c>
      <c r="H103" s="1219" t="s">
        <v>1017</v>
      </c>
      <c r="I103" s="1"/>
      <c r="J103" s="1"/>
      <c r="K103" s="1"/>
      <c r="L103" s="1"/>
      <c r="M103" s="1"/>
      <c r="N103" s="1"/>
      <c r="O103" s="1"/>
      <c r="P103" s="1"/>
      <c r="Q103" s="1"/>
      <c r="R103" s="1"/>
      <c r="S103" s="1"/>
      <c r="T103" s="1"/>
      <c r="U103" s="1"/>
      <c r="V103" s="1"/>
      <c r="W103" s="1"/>
      <c r="X103" s="1"/>
      <c r="Y103" s="1"/>
      <c r="Z103" s="1"/>
    </row>
    <row r="104" spans="1:26" ht="14.4">
      <c r="A104" s="1"/>
      <c r="B104" s="1274" t="s">
        <v>988</v>
      </c>
      <c r="C104" s="809">
        <f t="shared" ref="C104:D104" si="19">C73</f>
        <v>0</v>
      </c>
      <c r="D104" s="1292">
        <f t="shared" si="19"/>
        <v>0</v>
      </c>
      <c r="E104" s="1293">
        <f t="shared" ref="E104:E125" si="20">J12</f>
        <v>0</v>
      </c>
      <c r="F104" s="1293">
        <f t="shared" ref="F104:F126" si="21">H73</f>
        <v>0</v>
      </c>
      <c r="G104" s="1294">
        <f t="shared" ref="G104:G126" si="22">H42</f>
        <v>0</v>
      </c>
      <c r="H104" s="1278">
        <f t="shared" ref="H104:H126" si="23">SUM(E104:G104)</f>
        <v>0</v>
      </c>
      <c r="I104" s="1"/>
      <c r="J104" s="1"/>
      <c r="K104" s="1"/>
      <c r="L104" s="1"/>
      <c r="M104" s="1"/>
      <c r="N104" s="1"/>
      <c r="O104" s="1"/>
      <c r="P104" s="1"/>
      <c r="Q104" s="1"/>
      <c r="R104" s="1"/>
      <c r="S104" s="1"/>
      <c r="T104" s="1"/>
      <c r="U104" s="1"/>
      <c r="V104" s="1"/>
      <c r="W104" s="1"/>
      <c r="X104" s="1"/>
      <c r="Y104" s="1"/>
      <c r="Z104" s="1"/>
    </row>
    <row r="105" spans="1:26" ht="14.4">
      <c r="A105" s="1"/>
      <c r="B105" s="1279" t="s">
        <v>989</v>
      </c>
      <c r="C105" s="1250">
        <f t="shared" ref="C105:D105" si="24">C74</f>
        <v>21655</v>
      </c>
      <c r="D105" s="1292">
        <f t="shared" si="24"/>
        <v>227</v>
      </c>
      <c r="E105" s="1293">
        <f t="shared" si="20"/>
        <v>2.0476072663240812</v>
      </c>
      <c r="F105" s="1293">
        <f t="shared" si="21"/>
        <v>6.0136579914444009E-3</v>
      </c>
      <c r="G105" s="1294">
        <f t="shared" si="22"/>
        <v>8.5372466128541061E-3</v>
      </c>
      <c r="H105" s="1282">
        <f t="shared" si="23"/>
        <v>2.0621581709283796</v>
      </c>
      <c r="I105" s="1"/>
      <c r="J105" s="1"/>
      <c r="K105" s="1"/>
      <c r="L105" s="1"/>
      <c r="M105" s="1"/>
      <c r="N105" s="1"/>
      <c r="O105" s="1"/>
      <c r="P105" s="1"/>
      <c r="Q105" s="1"/>
      <c r="R105" s="1"/>
      <c r="S105" s="1"/>
      <c r="T105" s="1"/>
      <c r="U105" s="1"/>
      <c r="V105" s="1"/>
      <c r="W105" s="1"/>
      <c r="X105" s="1"/>
      <c r="Y105" s="1"/>
      <c r="Z105" s="1"/>
    </row>
    <row r="106" spans="1:26" ht="14.4">
      <c r="A106" s="1"/>
      <c r="B106" s="1279" t="s">
        <v>990</v>
      </c>
      <c r="C106" s="1250">
        <f t="shared" ref="C106:D106" si="25">C75</f>
        <v>19835</v>
      </c>
      <c r="D106" s="1292">
        <f t="shared" si="25"/>
        <v>22046</v>
      </c>
      <c r="E106" s="1293">
        <f t="shared" si="20"/>
        <v>0</v>
      </c>
      <c r="F106" s="1293">
        <f t="shared" si="21"/>
        <v>0</v>
      </c>
      <c r="G106" s="1294">
        <f t="shared" si="22"/>
        <v>0</v>
      </c>
      <c r="H106" s="1282">
        <f t="shared" si="23"/>
        <v>0</v>
      </c>
      <c r="I106" s="1"/>
      <c r="J106" s="1"/>
      <c r="K106" s="1"/>
      <c r="L106" s="1"/>
      <c r="M106" s="1"/>
      <c r="N106" s="1"/>
      <c r="O106" s="1"/>
      <c r="P106" s="1"/>
      <c r="Q106" s="1"/>
      <c r="R106" s="1"/>
      <c r="S106" s="1"/>
      <c r="T106" s="1"/>
      <c r="U106" s="1"/>
      <c r="V106" s="1"/>
      <c r="W106" s="1"/>
      <c r="X106" s="1"/>
      <c r="Y106" s="1"/>
      <c r="Z106" s="1"/>
    </row>
    <row r="107" spans="1:26" ht="28.8">
      <c r="A107" s="1"/>
      <c r="B107" s="1283" t="s">
        <v>991</v>
      </c>
      <c r="C107" s="809">
        <f t="shared" ref="C107:D107" si="26">C76</f>
        <v>0</v>
      </c>
      <c r="D107" s="1292">
        <f t="shared" si="26"/>
        <v>0</v>
      </c>
      <c r="E107" s="1293">
        <f t="shared" si="20"/>
        <v>0</v>
      </c>
      <c r="F107" s="1293">
        <f t="shared" si="21"/>
        <v>0</v>
      </c>
      <c r="G107" s="1294">
        <f t="shared" si="22"/>
        <v>0</v>
      </c>
      <c r="H107" s="1282">
        <f t="shared" si="23"/>
        <v>0</v>
      </c>
      <c r="I107" s="1"/>
      <c r="J107" s="1"/>
      <c r="K107" s="1"/>
      <c r="L107" s="1"/>
      <c r="M107" s="1"/>
      <c r="N107" s="1"/>
      <c r="O107" s="1"/>
      <c r="P107" s="1"/>
      <c r="Q107" s="1"/>
      <c r="R107" s="1"/>
      <c r="S107" s="1"/>
      <c r="T107" s="1"/>
      <c r="U107" s="1"/>
      <c r="V107" s="1"/>
      <c r="W107" s="1"/>
      <c r="X107" s="1"/>
      <c r="Y107" s="1"/>
      <c r="Z107" s="1"/>
    </row>
    <row r="108" spans="1:26" ht="14.4">
      <c r="A108" s="1"/>
      <c r="B108" s="1283" t="s">
        <v>992</v>
      </c>
      <c r="C108" s="1250">
        <f t="shared" ref="C108:D108" si="27">C77</f>
        <v>0</v>
      </c>
      <c r="D108" s="1292">
        <f t="shared" si="27"/>
        <v>0</v>
      </c>
      <c r="E108" s="1293">
        <f t="shared" si="20"/>
        <v>0</v>
      </c>
      <c r="F108" s="1293">
        <f t="shared" si="21"/>
        <v>0</v>
      </c>
      <c r="G108" s="1294">
        <f t="shared" si="22"/>
        <v>0</v>
      </c>
      <c r="H108" s="1282">
        <f t="shared" si="23"/>
        <v>0</v>
      </c>
      <c r="I108" s="1"/>
      <c r="J108" s="1"/>
      <c r="K108" s="1"/>
      <c r="L108" s="1"/>
      <c r="M108" s="1"/>
      <c r="N108" s="1"/>
      <c r="O108" s="1"/>
      <c r="P108" s="1"/>
      <c r="Q108" s="1"/>
      <c r="R108" s="1"/>
      <c r="S108" s="1"/>
      <c r="T108" s="1"/>
      <c r="U108" s="1"/>
      <c r="V108" s="1"/>
      <c r="W108" s="1"/>
      <c r="X108" s="1"/>
      <c r="Y108" s="1"/>
      <c r="Z108" s="1"/>
    </row>
    <row r="109" spans="1:26" ht="14.4">
      <c r="A109" s="1"/>
      <c r="B109" s="1279" t="s">
        <v>703</v>
      </c>
      <c r="C109" s="1250">
        <f t="shared" ref="C109:D109" si="28">C78</f>
        <v>7382</v>
      </c>
      <c r="D109" s="1292">
        <f t="shared" si="28"/>
        <v>96</v>
      </c>
      <c r="E109" s="1293">
        <f t="shared" si="20"/>
        <v>0.54194397179779785</v>
      </c>
      <c r="F109" s="1293">
        <f t="shared" si="21"/>
        <v>6.1343352798670777E-4</v>
      </c>
      <c r="G109" s="1294">
        <f t="shared" si="22"/>
        <v>1.1611420351176967E-3</v>
      </c>
      <c r="H109" s="1282">
        <f t="shared" si="23"/>
        <v>0.5437185473609023</v>
      </c>
      <c r="I109" s="1"/>
      <c r="J109" s="1"/>
      <c r="K109" s="1"/>
      <c r="L109" s="1"/>
      <c r="M109" s="1"/>
      <c r="N109" s="1"/>
      <c r="O109" s="1"/>
      <c r="P109" s="1"/>
      <c r="Q109" s="1"/>
      <c r="R109" s="1"/>
      <c r="S109" s="1"/>
      <c r="T109" s="1"/>
      <c r="U109" s="1"/>
      <c r="V109" s="1"/>
      <c r="W109" s="1"/>
      <c r="X109" s="1"/>
      <c r="Y109" s="1"/>
      <c r="Z109" s="1"/>
    </row>
    <row r="110" spans="1:26" ht="14.4">
      <c r="A110" s="1"/>
      <c r="B110" s="1283" t="s">
        <v>993</v>
      </c>
      <c r="C110" s="809">
        <f t="shared" ref="C110:D110" si="29">C79</f>
        <v>0</v>
      </c>
      <c r="D110" s="1292">
        <f t="shared" si="29"/>
        <v>0</v>
      </c>
      <c r="E110" s="1293">
        <f t="shared" si="20"/>
        <v>0</v>
      </c>
      <c r="F110" s="1293">
        <f t="shared" si="21"/>
        <v>0</v>
      </c>
      <c r="G110" s="1294">
        <f t="shared" si="22"/>
        <v>0</v>
      </c>
      <c r="H110" s="1282">
        <f t="shared" si="23"/>
        <v>0</v>
      </c>
      <c r="I110" s="1"/>
      <c r="J110" s="1"/>
      <c r="K110" s="1"/>
      <c r="L110" s="1"/>
      <c r="M110" s="1"/>
      <c r="N110" s="1"/>
      <c r="O110" s="1"/>
      <c r="P110" s="1"/>
      <c r="Q110" s="1"/>
      <c r="R110" s="1"/>
      <c r="S110" s="1"/>
      <c r="T110" s="1"/>
      <c r="U110" s="1"/>
      <c r="V110" s="1"/>
      <c r="W110" s="1"/>
      <c r="X110" s="1"/>
      <c r="Y110" s="1"/>
      <c r="Z110" s="1"/>
    </row>
    <row r="111" spans="1:26" ht="28.8">
      <c r="A111" s="1"/>
      <c r="B111" s="1283" t="s">
        <v>994</v>
      </c>
      <c r="C111" s="1250">
        <f t="shared" ref="C111:D111" si="30">C80</f>
        <v>0</v>
      </c>
      <c r="D111" s="1292">
        <f t="shared" si="30"/>
        <v>0</v>
      </c>
      <c r="E111" s="1293">
        <f t="shared" si="20"/>
        <v>0</v>
      </c>
      <c r="F111" s="1293">
        <f t="shared" si="21"/>
        <v>0</v>
      </c>
      <c r="G111" s="1294">
        <f t="shared" si="22"/>
        <v>0</v>
      </c>
      <c r="H111" s="1282">
        <f t="shared" si="23"/>
        <v>0</v>
      </c>
      <c r="I111" s="1"/>
      <c r="J111" s="1"/>
      <c r="K111" s="1"/>
      <c r="L111" s="1"/>
      <c r="M111" s="1"/>
      <c r="N111" s="1"/>
      <c r="O111" s="1"/>
      <c r="P111" s="1"/>
      <c r="Q111" s="1"/>
      <c r="R111" s="1"/>
      <c r="S111" s="1"/>
      <c r="T111" s="1"/>
      <c r="U111" s="1"/>
      <c r="V111" s="1"/>
      <c r="W111" s="1"/>
      <c r="X111" s="1"/>
      <c r="Y111" s="1"/>
      <c r="Z111" s="1"/>
    </row>
    <row r="112" spans="1:26" ht="14.4">
      <c r="A112" s="1"/>
      <c r="B112" s="1279" t="s">
        <v>946</v>
      </c>
      <c r="C112" s="1250">
        <f t="shared" ref="C112:D112" si="31">C81</f>
        <v>7</v>
      </c>
      <c r="D112" s="1292">
        <f t="shared" si="31"/>
        <v>0</v>
      </c>
      <c r="E112" s="1293">
        <f t="shared" si="20"/>
        <v>5.1190771706176666E-4</v>
      </c>
      <c r="F112" s="1293">
        <f t="shared" si="21"/>
        <v>5.8935419927353193E-7</v>
      </c>
      <c r="G112" s="1294">
        <f t="shared" si="22"/>
        <v>1.1155633057677565E-6</v>
      </c>
      <c r="H112" s="1282">
        <f t="shared" si="23"/>
        <v>5.1361263456680794E-4</v>
      </c>
      <c r="I112" s="1"/>
      <c r="J112" s="1"/>
      <c r="K112" s="1"/>
      <c r="L112" s="1"/>
      <c r="M112" s="1"/>
      <c r="N112" s="1"/>
      <c r="O112" s="1"/>
      <c r="P112" s="1"/>
      <c r="Q112" s="1"/>
      <c r="R112" s="1"/>
      <c r="S112" s="1"/>
      <c r="T112" s="1"/>
      <c r="U112" s="1"/>
      <c r="V112" s="1"/>
      <c r="W112" s="1"/>
      <c r="X112" s="1"/>
      <c r="Y112" s="1"/>
      <c r="Z112" s="1"/>
    </row>
    <row r="113" spans="1:26" ht="14.4">
      <c r="A113" s="1"/>
      <c r="B113" s="1279" t="s">
        <v>909</v>
      </c>
      <c r="C113" s="809">
        <f t="shared" ref="C113:D113" si="32">C82</f>
        <v>1582</v>
      </c>
      <c r="D113" s="1292">
        <f t="shared" si="32"/>
        <v>1385</v>
      </c>
      <c r="E113" s="1293">
        <f t="shared" si="20"/>
        <v>4.4908538751856214E-2</v>
      </c>
      <c r="F113" s="1293">
        <f t="shared" si="21"/>
        <v>1.6586111036697971E-5</v>
      </c>
      <c r="G113" s="1294">
        <f t="shared" si="22"/>
        <v>3.1395138748035441E-5</v>
      </c>
      <c r="H113" s="1282">
        <f t="shared" si="23"/>
        <v>4.4956520001640951E-2</v>
      </c>
      <c r="I113" s="1"/>
      <c r="J113" s="1"/>
      <c r="K113" s="1"/>
      <c r="L113" s="1"/>
      <c r="M113" s="1"/>
      <c r="N113" s="1"/>
      <c r="O113" s="1"/>
      <c r="P113" s="1"/>
      <c r="Q113" s="1"/>
      <c r="R113" s="1"/>
      <c r="S113" s="1"/>
      <c r="T113" s="1"/>
      <c r="U113" s="1"/>
      <c r="V113" s="1"/>
      <c r="W113" s="1"/>
      <c r="X113" s="1"/>
      <c r="Y113" s="1"/>
      <c r="Z113" s="1"/>
    </row>
    <row r="114" spans="1:26" ht="14.4">
      <c r="A114" s="1"/>
      <c r="B114" s="1279" t="s">
        <v>919</v>
      </c>
      <c r="C114" s="1250">
        <f t="shared" ref="C114:D114" si="33">C83</f>
        <v>1957</v>
      </c>
      <c r="D114" s="1292">
        <f t="shared" si="33"/>
        <v>2063</v>
      </c>
      <c r="E114" s="1293">
        <f t="shared" si="20"/>
        <v>0.12917565110897353</v>
      </c>
      <c r="F114" s="1293">
        <f t="shared" si="21"/>
        <v>0</v>
      </c>
      <c r="G114" s="1294">
        <f t="shared" si="22"/>
        <v>0</v>
      </c>
      <c r="H114" s="1282">
        <f t="shared" si="23"/>
        <v>0.12917565110897353</v>
      </c>
      <c r="I114" s="1"/>
      <c r="J114" s="1"/>
      <c r="K114" s="1"/>
      <c r="L114" s="1"/>
      <c r="M114" s="1"/>
      <c r="N114" s="1"/>
      <c r="O114" s="1"/>
      <c r="P114" s="1"/>
      <c r="Q114" s="1"/>
      <c r="R114" s="1"/>
      <c r="S114" s="1"/>
      <c r="T114" s="1"/>
      <c r="U114" s="1"/>
      <c r="V114" s="1"/>
      <c r="W114" s="1"/>
      <c r="X114" s="1"/>
      <c r="Y114" s="1"/>
      <c r="Z114" s="1"/>
    </row>
    <row r="115" spans="1:26" ht="14.4">
      <c r="A115" s="1"/>
      <c r="B115" s="1279" t="s">
        <v>827</v>
      </c>
      <c r="C115" s="1250">
        <f t="shared" ref="C115:D115" si="34">C84</f>
        <v>4129</v>
      </c>
      <c r="D115" s="1292">
        <f t="shared" si="34"/>
        <v>0</v>
      </c>
      <c r="E115" s="1293">
        <f t="shared" si="20"/>
        <v>0.294609569188721</v>
      </c>
      <c r="F115" s="1293">
        <f t="shared" si="21"/>
        <v>3.4763478411434484E-4</v>
      </c>
      <c r="G115" s="1294">
        <f t="shared" si="22"/>
        <v>6.5802298421643824E-4</v>
      </c>
      <c r="H115" s="1282">
        <f t="shared" si="23"/>
        <v>0.29561522695705178</v>
      </c>
      <c r="I115" s="1"/>
      <c r="J115" s="1"/>
      <c r="K115" s="1"/>
      <c r="L115" s="1"/>
      <c r="M115" s="1"/>
      <c r="N115" s="1"/>
      <c r="O115" s="1"/>
      <c r="P115" s="1"/>
      <c r="Q115" s="1"/>
      <c r="R115" s="1"/>
      <c r="S115" s="1"/>
      <c r="T115" s="1"/>
      <c r="U115" s="1"/>
      <c r="V115" s="1"/>
      <c r="W115" s="1"/>
      <c r="X115" s="1"/>
      <c r="Y115" s="1"/>
      <c r="Z115" s="1"/>
    </row>
    <row r="116" spans="1:26" ht="14.4">
      <c r="A116" s="1"/>
      <c r="B116" s="1283" t="s">
        <v>995</v>
      </c>
      <c r="C116" s="809">
        <f t="shared" ref="C116:D116" si="35">C85</f>
        <v>0</v>
      </c>
      <c r="D116" s="1292">
        <f t="shared" si="35"/>
        <v>0</v>
      </c>
      <c r="E116" s="1293">
        <f t="shared" si="20"/>
        <v>0</v>
      </c>
      <c r="F116" s="1293">
        <f t="shared" si="21"/>
        <v>0</v>
      </c>
      <c r="G116" s="1294">
        <f t="shared" si="22"/>
        <v>0</v>
      </c>
      <c r="H116" s="1282">
        <f t="shared" si="23"/>
        <v>0</v>
      </c>
      <c r="I116" s="1"/>
      <c r="J116" s="1"/>
      <c r="K116" s="1"/>
      <c r="L116" s="1"/>
      <c r="M116" s="1"/>
      <c r="N116" s="1"/>
      <c r="O116" s="1"/>
      <c r="P116" s="1"/>
      <c r="Q116" s="1"/>
      <c r="R116" s="1"/>
      <c r="S116" s="1"/>
      <c r="T116" s="1"/>
      <c r="U116" s="1"/>
      <c r="V116" s="1"/>
      <c r="W116" s="1"/>
      <c r="X116" s="1"/>
      <c r="Y116" s="1"/>
      <c r="Z116" s="1"/>
    </row>
    <row r="117" spans="1:26" ht="14.4">
      <c r="A117" s="1"/>
      <c r="B117" s="1279" t="s">
        <v>996</v>
      </c>
      <c r="C117" s="1250">
        <f t="shared" ref="C117:D117" si="36">C86</f>
        <v>501</v>
      </c>
      <c r="D117" s="1292">
        <f t="shared" si="36"/>
        <v>483</v>
      </c>
      <c r="E117" s="1293">
        <f t="shared" si="20"/>
        <v>3.7307617217817203E-2</v>
      </c>
      <c r="F117" s="1293">
        <f t="shared" si="21"/>
        <v>1.5154822267033682E-6</v>
      </c>
      <c r="G117" s="1294">
        <f t="shared" si="22"/>
        <v>2.8685913576885173E-6</v>
      </c>
      <c r="H117" s="1282">
        <f t="shared" si="23"/>
        <v>3.7312001291401595E-2</v>
      </c>
      <c r="I117" s="1"/>
      <c r="J117" s="1"/>
      <c r="K117" s="1"/>
      <c r="L117" s="1"/>
      <c r="M117" s="1"/>
      <c r="N117" s="1"/>
      <c r="O117" s="1"/>
      <c r="P117" s="1"/>
      <c r="Q117" s="1"/>
      <c r="R117" s="1"/>
      <c r="S117" s="1"/>
      <c r="T117" s="1"/>
      <c r="U117" s="1"/>
      <c r="V117" s="1"/>
      <c r="W117" s="1"/>
      <c r="X117" s="1"/>
      <c r="Y117" s="1"/>
      <c r="Z117" s="1"/>
    </row>
    <row r="118" spans="1:26" ht="14.4">
      <c r="A118" s="1"/>
      <c r="B118" s="1279" t="s">
        <v>997</v>
      </c>
      <c r="C118" s="1250">
        <f t="shared" ref="C118:D118" si="37">C87</f>
        <v>0</v>
      </c>
      <c r="D118" s="1292">
        <f t="shared" si="37"/>
        <v>0</v>
      </c>
      <c r="E118" s="1293">
        <f t="shared" si="20"/>
        <v>0</v>
      </c>
      <c r="F118" s="1293">
        <f t="shared" si="21"/>
        <v>0</v>
      </c>
      <c r="G118" s="1294">
        <f t="shared" si="22"/>
        <v>0</v>
      </c>
      <c r="H118" s="1282">
        <f t="shared" si="23"/>
        <v>0</v>
      </c>
      <c r="I118" s="1"/>
      <c r="J118" s="1"/>
      <c r="K118" s="1"/>
      <c r="L118" s="1"/>
      <c r="M118" s="1"/>
      <c r="N118" s="1"/>
      <c r="O118" s="1"/>
      <c r="P118" s="1"/>
      <c r="Q118" s="1"/>
      <c r="R118" s="1"/>
      <c r="S118" s="1"/>
      <c r="T118" s="1"/>
      <c r="U118" s="1"/>
      <c r="V118" s="1"/>
      <c r="W118" s="1"/>
      <c r="X118" s="1"/>
      <c r="Y118" s="1"/>
      <c r="Z118" s="1"/>
    </row>
    <row r="119" spans="1:26" ht="14.4">
      <c r="A119" s="1"/>
      <c r="B119" s="1279" t="s">
        <v>998</v>
      </c>
      <c r="C119" s="809">
        <f t="shared" ref="C119:D119" si="38">C88</f>
        <v>0</v>
      </c>
      <c r="D119" s="1292">
        <f t="shared" si="38"/>
        <v>0</v>
      </c>
      <c r="E119" s="1293">
        <f t="shared" si="20"/>
        <v>0</v>
      </c>
      <c r="F119" s="1293">
        <f t="shared" si="21"/>
        <v>0</v>
      </c>
      <c r="G119" s="1294">
        <f t="shared" si="22"/>
        <v>0</v>
      </c>
      <c r="H119" s="1282">
        <f t="shared" si="23"/>
        <v>0</v>
      </c>
      <c r="I119" s="1"/>
      <c r="J119" s="1"/>
      <c r="K119" s="1"/>
      <c r="L119" s="1"/>
      <c r="M119" s="1"/>
      <c r="N119" s="1"/>
      <c r="O119" s="1"/>
      <c r="P119" s="1"/>
      <c r="Q119" s="1"/>
      <c r="R119" s="1"/>
      <c r="S119" s="1"/>
      <c r="T119" s="1"/>
      <c r="U119" s="1"/>
      <c r="V119" s="1"/>
      <c r="W119" s="1"/>
      <c r="X119" s="1"/>
      <c r="Y119" s="1"/>
      <c r="Z119" s="1"/>
    </row>
    <row r="120" spans="1:26" ht="14.4">
      <c r="A120" s="1"/>
      <c r="B120" s="1279" t="s">
        <v>704</v>
      </c>
      <c r="C120" s="1250">
        <f t="shared" ref="C120:D120" si="39">C89</f>
        <v>1590</v>
      </c>
      <c r="D120" s="1292">
        <f t="shared" si="39"/>
        <v>0</v>
      </c>
      <c r="E120" s="1293">
        <f t="shared" si="20"/>
        <v>0.119290847056381</v>
      </c>
      <c r="F120" s="1293">
        <f t="shared" si="21"/>
        <v>1.3386759669213084E-4</v>
      </c>
      <c r="G120" s="1294">
        <f t="shared" si="22"/>
        <v>2.5339223659581902E-4</v>
      </c>
      <c r="H120" s="1282">
        <f t="shared" si="23"/>
        <v>0.11967810688966896</v>
      </c>
      <c r="I120" s="1"/>
      <c r="J120" s="1"/>
      <c r="K120" s="1"/>
      <c r="L120" s="1"/>
      <c r="M120" s="1"/>
      <c r="N120" s="1"/>
      <c r="O120" s="1"/>
      <c r="P120" s="1"/>
      <c r="Q120" s="1"/>
      <c r="R120" s="1"/>
      <c r="S120" s="1"/>
      <c r="T120" s="1"/>
      <c r="U120" s="1"/>
      <c r="V120" s="1"/>
      <c r="W120" s="1"/>
      <c r="X120" s="1"/>
      <c r="Y120" s="1"/>
      <c r="Z120" s="1"/>
    </row>
    <row r="121" spans="1:26" ht="14.4">
      <c r="A121" s="1"/>
      <c r="B121" s="1279" t="s">
        <v>999</v>
      </c>
      <c r="C121" s="1250">
        <f t="shared" ref="C121:D121" si="40">C90</f>
        <v>0</v>
      </c>
      <c r="D121" s="1292">
        <f t="shared" si="40"/>
        <v>0</v>
      </c>
      <c r="E121" s="1293">
        <f t="shared" si="20"/>
        <v>0</v>
      </c>
      <c r="F121" s="1293">
        <f t="shared" si="21"/>
        <v>0</v>
      </c>
      <c r="G121" s="1294">
        <f t="shared" si="22"/>
        <v>0</v>
      </c>
      <c r="H121" s="1282">
        <f t="shared" si="23"/>
        <v>0</v>
      </c>
      <c r="I121" s="1"/>
      <c r="J121" s="1"/>
      <c r="K121" s="1"/>
      <c r="L121" s="1"/>
      <c r="M121" s="1"/>
      <c r="N121" s="1"/>
      <c r="O121" s="1"/>
      <c r="P121" s="1"/>
      <c r="Q121" s="1"/>
      <c r="R121" s="1"/>
      <c r="S121" s="1"/>
      <c r="T121" s="1"/>
      <c r="U121" s="1"/>
      <c r="V121" s="1"/>
      <c r="W121" s="1"/>
      <c r="X121" s="1"/>
      <c r="Y121" s="1"/>
      <c r="Z121" s="1"/>
    </row>
    <row r="122" spans="1:26" ht="14.4">
      <c r="A122" s="1"/>
      <c r="B122" s="1279" t="s">
        <v>1000</v>
      </c>
      <c r="C122" s="809">
        <f t="shared" ref="C122:D122" si="41">C91</f>
        <v>535</v>
      </c>
      <c r="D122" s="1292">
        <f t="shared" si="41"/>
        <v>596</v>
      </c>
      <c r="E122" s="1293">
        <f t="shared" si="20"/>
        <v>3.8679477002050502E-2</v>
      </c>
      <c r="F122" s="1293">
        <f t="shared" si="21"/>
        <v>0</v>
      </c>
      <c r="G122" s="1294">
        <f t="shared" si="22"/>
        <v>0</v>
      </c>
      <c r="H122" s="1282">
        <f t="shared" si="23"/>
        <v>3.8679477002050502E-2</v>
      </c>
      <c r="I122" s="1"/>
      <c r="J122" s="1"/>
      <c r="K122" s="1"/>
      <c r="L122" s="1"/>
      <c r="M122" s="1"/>
      <c r="N122" s="1"/>
      <c r="O122" s="1"/>
      <c r="P122" s="1"/>
      <c r="Q122" s="1"/>
      <c r="R122" s="1"/>
      <c r="S122" s="1"/>
      <c r="T122" s="1"/>
      <c r="U122" s="1"/>
      <c r="V122" s="1"/>
      <c r="W122" s="1"/>
      <c r="X122" s="1"/>
      <c r="Y122" s="1"/>
      <c r="Z122" s="1"/>
    </row>
    <row r="123" spans="1:26" ht="14.4">
      <c r="A123" s="1"/>
      <c r="B123" s="1279" t="s">
        <v>1001</v>
      </c>
      <c r="C123" s="1250">
        <f t="shared" ref="C123:D123" si="42">C92</f>
        <v>0</v>
      </c>
      <c r="D123" s="1292">
        <f t="shared" si="42"/>
        <v>0</v>
      </c>
      <c r="E123" s="1293">
        <f t="shared" si="20"/>
        <v>0</v>
      </c>
      <c r="F123" s="1293">
        <f t="shared" si="21"/>
        <v>0</v>
      </c>
      <c r="G123" s="1294">
        <f t="shared" si="22"/>
        <v>0</v>
      </c>
      <c r="H123" s="1282">
        <f t="shared" si="23"/>
        <v>0</v>
      </c>
      <c r="I123" s="1"/>
      <c r="J123" s="1"/>
      <c r="K123" s="1"/>
      <c r="L123" s="1"/>
      <c r="M123" s="1"/>
      <c r="N123" s="1"/>
      <c r="O123" s="1"/>
      <c r="P123" s="1"/>
      <c r="Q123" s="1"/>
      <c r="R123" s="1"/>
      <c r="S123" s="1"/>
      <c r="T123" s="1"/>
      <c r="U123" s="1"/>
      <c r="V123" s="1"/>
      <c r="W123" s="1"/>
      <c r="X123" s="1"/>
      <c r="Y123" s="1"/>
      <c r="Z123" s="1"/>
    </row>
    <row r="124" spans="1:26" ht="14.4">
      <c r="A124" s="1"/>
      <c r="B124" s="1279" t="s">
        <v>1002</v>
      </c>
      <c r="C124" s="1250">
        <f t="shared" ref="C124:D124" si="43">C93</f>
        <v>106</v>
      </c>
      <c r="D124" s="1292">
        <f t="shared" si="43"/>
        <v>120</v>
      </c>
      <c r="E124" s="1293">
        <f t="shared" si="20"/>
        <v>2.639520527910934E-3</v>
      </c>
      <c r="F124" s="1293">
        <f t="shared" si="21"/>
        <v>0</v>
      </c>
      <c r="G124" s="1294">
        <f t="shared" si="22"/>
        <v>0</v>
      </c>
      <c r="H124" s="1282">
        <f t="shared" si="23"/>
        <v>2.639520527910934E-3</v>
      </c>
      <c r="I124" s="1"/>
      <c r="J124" s="1"/>
      <c r="K124" s="1"/>
      <c r="L124" s="1"/>
      <c r="M124" s="1"/>
      <c r="N124" s="1"/>
      <c r="O124" s="1"/>
      <c r="P124" s="1"/>
      <c r="Q124" s="1"/>
      <c r="R124" s="1"/>
      <c r="S124" s="1"/>
      <c r="T124" s="1"/>
      <c r="U124" s="1"/>
      <c r="V124" s="1"/>
      <c r="W124" s="1"/>
      <c r="X124" s="1"/>
      <c r="Y124" s="1"/>
      <c r="Z124" s="1"/>
    </row>
    <row r="125" spans="1:26" ht="14.4">
      <c r="A125" s="1"/>
      <c r="B125" s="1279" t="s">
        <v>295</v>
      </c>
      <c r="C125" s="809">
        <f t="shared" ref="C125:D125" si="44">C94</f>
        <v>21808</v>
      </c>
      <c r="D125" s="1292">
        <f t="shared" si="44"/>
        <v>688</v>
      </c>
      <c r="E125" s="1293">
        <f t="shared" si="20"/>
        <v>1.1333591541034964</v>
      </c>
      <c r="F125" s="1293">
        <f t="shared" si="21"/>
        <v>5.615260461048269E-4</v>
      </c>
      <c r="G125" s="1294">
        <f t="shared" si="22"/>
        <v>5.3144429363492557E-4</v>
      </c>
      <c r="H125" s="1282">
        <f t="shared" si="23"/>
        <v>1.1344521244432362</v>
      </c>
      <c r="I125" s="1"/>
      <c r="J125" s="1"/>
      <c r="K125" s="1"/>
      <c r="L125" s="1"/>
      <c r="M125" s="1"/>
      <c r="N125" s="1"/>
      <c r="O125" s="1"/>
      <c r="P125" s="1"/>
      <c r="Q125" s="1"/>
      <c r="R125" s="1"/>
      <c r="S125" s="1"/>
      <c r="T125" s="1"/>
      <c r="U125" s="1"/>
      <c r="V125" s="1"/>
      <c r="W125" s="1"/>
      <c r="X125" s="1"/>
      <c r="Y125" s="1"/>
      <c r="Z125" s="1"/>
    </row>
    <row r="126" spans="1:26" ht="14.4">
      <c r="A126" s="1"/>
      <c r="B126" s="276" t="s">
        <v>808</v>
      </c>
      <c r="C126" s="1250">
        <f t="shared" ref="C126:D126" si="45">C95</f>
        <v>9240</v>
      </c>
      <c r="D126" s="1292" t="str">
        <f t="shared" si="45"/>
        <v>NA</v>
      </c>
      <c r="E126" s="1295">
        <f>0</f>
        <v>0</v>
      </c>
      <c r="F126" s="1293">
        <f t="shared" si="21"/>
        <v>7.3700293551258525E-3</v>
      </c>
      <c r="G126" s="1294">
        <f t="shared" si="22"/>
        <v>9.3002751386111956E-3</v>
      </c>
      <c r="H126" s="1296">
        <f t="shared" si="23"/>
        <v>1.6670304493737048E-2</v>
      </c>
      <c r="I126" s="1"/>
      <c r="J126" s="1"/>
      <c r="K126" s="1"/>
      <c r="L126" s="1"/>
      <c r="M126" s="1"/>
      <c r="N126" s="1"/>
      <c r="O126" s="1"/>
      <c r="P126" s="1"/>
      <c r="Q126" s="1"/>
      <c r="R126" s="1"/>
      <c r="S126" s="1"/>
      <c r="T126" s="1"/>
      <c r="U126" s="1"/>
      <c r="V126" s="1"/>
      <c r="W126" s="1"/>
      <c r="X126" s="1"/>
      <c r="Y126" s="1"/>
      <c r="Z126" s="1"/>
    </row>
    <row r="127" spans="1:26" ht="14.4">
      <c r="A127" s="1"/>
      <c r="B127" s="1279"/>
      <c r="C127" s="1250">
        <f>C96</f>
        <v>0</v>
      </c>
      <c r="D127" s="1284"/>
      <c r="E127" s="1284"/>
      <c r="F127" s="1297">
        <f>SUM(F102:F126)</f>
        <v>1.5058840248930939E-2</v>
      </c>
      <c r="G127" s="1298" t="s">
        <v>177</v>
      </c>
      <c r="H127" s="1299">
        <f>SUM(H104:H126)</f>
        <v>4.4255692636395194</v>
      </c>
      <c r="I127" s="1"/>
      <c r="J127" s="1"/>
      <c r="K127" s="1"/>
      <c r="L127" s="1"/>
      <c r="M127" s="1"/>
      <c r="N127" s="1"/>
      <c r="O127" s="1"/>
      <c r="P127" s="1"/>
      <c r="Q127" s="1"/>
      <c r="R127" s="1"/>
      <c r="S127" s="1"/>
      <c r="T127" s="1"/>
      <c r="U127" s="1"/>
      <c r="V127" s="1"/>
      <c r="W127" s="1"/>
      <c r="X127" s="1"/>
      <c r="Y127" s="1"/>
      <c r="Z127" s="1"/>
    </row>
    <row r="128" spans="1:26" ht="14.4">
      <c r="A128" s="1"/>
      <c r="B128" s="1286"/>
      <c r="C128" s="1287"/>
      <c r="D128" s="1287"/>
      <c r="E128" s="1287"/>
      <c r="F128" s="1287"/>
      <c r="G128" s="1287"/>
      <c r="H128" s="1288"/>
      <c r="I128" s="1"/>
      <c r="J128" s="1"/>
      <c r="K128" s="1"/>
      <c r="L128" s="1"/>
      <c r="M128" s="1"/>
      <c r="N128" s="1"/>
      <c r="O128" s="1"/>
      <c r="P128" s="1"/>
      <c r="Q128" s="1"/>
      <c r="R128" s="1"/>
      <c r="S128" s="1"/>
      <c r="T128" s="1"/>
      <c r="U128" s="1"/>
      <c r="V128" s="1"/>
      <c r="W128" s="1"/>
      <c r="X128" s="1"/>
      <c r="Y128" s="1"/>
      <c r="Z128" s="1"/>
    </row>
    <row r="129" spans="1:26" ht="1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4">
      <c r="A131" s="1"/>
      <c r="B131" s="2245" t="s">
        <v>964</v>
      </c>
      <c r="C131" s="2243"/>
      <c r="D131" s="2243"/>
      <c r="E131" s="2243"/>
      <c r="F131" s="2243"/>
      <c r="G131" s="2243"/>
      <c r="H131" s="2243"/>
      <c r="I131" s="1"/>
      <c r="J131" s="1"/>
      <c r="K131" s="1"/>
      <c r="L131" s="1"/>
      <c r="M131" s="1"/>
      <c r="N131" s="1"/>
      <c r="O131" s="1"/>
      <c r="P131" s="1"/>
      <c r="Q131" s="1"/>
      <c r="R131" s="1"/>
      <c r="S131" s="1"/>
      <c r="T131" s="1"/>
      <c r="U131" s="1"/>
      <c r="V131" s="1"/>
      <c r="W131" s="1"/>
      <c r="X131" s="1"/>
      <c r="Y131" s="1"/>
      <c r="Z131" s="1"/>
    </row>
    <row r="132" spans="1:26" ht="1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sheetData>
  <mergeCells count="3">
    <mergeCell ref="A6:J6"/>
    <mergeCell ref="L9:M9"/>
    <mergeCell ref="B131:H131"/>
  </mergeCells>
  <pageMargins left="0.7" right="0.7" top="0.75" bottom="0.75" header="0" footer="0"/>
  <pageSetup orientation="landscape"/>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E6D3471F7F04449211EBF97CCD3EEF" ma:contentTypeVersion="11" ma:contentTypeDescription="Create a new document." ma:contentTypeScope="" ma:versionID="1fa121f0f7dadc83016221ac4c0a73d5">
  <xsd:schema xmlns:xsd="http://www.w3.org/2001/XMLSchema" xmlns:xs="http://www.w3.org/2001/XMLSchema" xmlns:p="http://schemas.microsoft.com/office/2006/metadata/properties" xmlns:ns1="http://schemas.microsoft.com/sharepoint/v3" targetNamespace="http://schemas.microsoft.com/office/2006/metadata/properties" ma:root="true" ma:fieldsID="0f1c3a5fe40b69cf375f6490498fc6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D3C556C-BDE5-4B8B-8E08-5F342730CE20}"/>
</file>

<file path=customXml/itemProps2.xml><?xml version="1.0" encoding="utf-8"?>
<ds:datastoreItem xmlns:ds="http://schemas.openxmlformats.org/officeDocument/2006/customXml" ds:itemID="{AA4BB9A7-7EF3-43C1-AE48-600B01989733}"/>
</file>

<file path=customXml/itemProps3.xml><?xml version="1.0" encoding="utf-8"?>
<ds:datastoreItem xmlns:ds="http://schemas.openxmlformats.org/officeDocument/2006/customXml" ds:itemID="{656A2006-D35B-432C-96FD-DEBAD036814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Summary</vt:lpstr>
      <vt:lpstr>EGU Production ALL Units</vt:lpstr>
      <vt:lpstr>EGU Details</vt:lpstr>
      <vt:lpstr>Severstal</vt:lpstr>
      <vt:lpstr>Luke</vt:lpstr>
      <vt:lpstr>Imported Electricity</vt:lpstr>
      <vt:lpstr>Residential</vt:lpstr>
      <vt:lpstr>Commercial</vt:lpstr>
      <vt:lpstr>Industrial</vt:lpstr>
      <vt:lpstr>Transportation</vt:lpstr>
      <vt:lpstr>Natural Gas and Oil</vt:lpstr>
      <vt:lpstr>Mining</vt:lpstr>
      <vt:lpstr>Cement</vt:lpstr>
      <vt:lpstr>LimeT&amp;DSodaODS</vt:lpstr>
      <vt:lpstr>Iron And Steel</vt:lpstr>
      <vt:lpstr>Ammonia &amp; Urea Consumption</vt:lpstr>
      <vt:lpstr>Agricultural</vt:lpstr>
      <vt:lpstr>Agriculture_Liming</vt:lpstr>
      <vt:lpstr>Incinerators</vt:lpstr>
      <vt:lpstr>Landfills</vt:lpstr>
      <vt:lpstr>Wastewater</vt:lpstr>
      <vt:lpstr>OpenBurn</vt:lpstr>
      <vt:lpstr>Land_Use</vt:lpstr>
      <vt:lpstr>Graphs</vt:lpstr>
      <vt:lpstr>Graphs!_Toc284401718</vt:lpstr>
      <vt:lpstr>Graphs!_Toc352228849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Casey</dc:creator>
  <cp:lastModifiedBy>Susan Casey</cp:lastModifiedBy>
  <dcterms:created xsi:type="dcterms:W3CDTF">2022-09-25T15:47:48Z</dcterms:created>
  <dcterms:modified xsi:type="dcterms:W3CDTF">2022-09-25T15:47:49Z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0x010100D5E6D3471F7F04449211EBF97CCD3EEF</vt:lpwstr>
  </property>
</Properties>
</file>