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6.xml" ContentType="application/vnd.openxmlformats-officedocument.spreadsheetml.comments+xml"/>
  <Override PartName="/xl/comments15.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xl/comments1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13" ContentType="application/binary"/>
  <Override PartName="/xl/commentsmeta14" ContentType="application/binary"/>
  <Override PartName="/xl/commentsmeta6" ContentType="application/binary"/>
  <Override PartName="/xl/commentsmeta7" ContentType="application/binary"/>
  <Override PartName="/xl/commentsmeta5"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Override PartName="/xl/commentsmeta15" ContentType="application/binary"/>
  <Override PartName="/xl/commentsmeta16"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https://d.docs.live.net/a2fb40ee25bb041e/Documents/Inventories/"/>
    </mc:Choice>
  </mc:AlternateContent>
  <xr:revisionPtr revIDLastSave="0" documentId="8_{07211B87-0340-4F5E-90BD-233306426F62}" xr6:coauthVersionLast="47" xr6:coauthVersionMax="47" xr10:uidLastSave="{00000000-0000-0000-0000-000000000000}"/>
  <workbookProtection workbookAlgorithmName="SHA-512" workbookHashValue="lcRR2kksd8ALhmUvJTu5hjvlOAqW6TE008fweJcjhDLcikjGlTf+fznHUeUGWRXBFd0Ca8RQEkLZOz8W253ZDw==" workbookSaltValue="JTu4XuFTLOrpQ/I6zaNPTQ==" workbookSpinCount="100000" lockStructure="1"/>
  <bookViews>
    <workbookView xWindow="-120" yWindow="-120" windowWidth="20730" windowHeight="11160" tabRatio="690" xr2:uid="{00000000-000D-0000-FFFF-FFFF00000000}"/>
  </bookViews>
  <sheets>
    <sheet name="Summ GHG Rpt Expanded" sheetId="1" r:id="rId1"/>
    <sheet name="Severstal" sheetId="2" r:id="rId2"/>
    <sheet name="Luke" sheetId="3" r:id="rId3"/>
    <sheet name="EGU Production ALL Units" sheetId="4" r:id="rId4"/>
    <sheet name="EGU Details" sheetId="5" r:id="rId5"/>
    <sheet name="Imported Electricity" sheetId="6" r:id="rId6"/>
    <sheet name="Transportation" sheetId="7" r:id="rId7"/>
    <sheet name="Residential" sheetId="8" r:id="rId8"/>
    <sheet name="Commercial" sheetId="9" r:id="rId9"/>
    <sheet name="Industrial" sheetId="10" r:id="rId10"/>
    <sheet name="LimeT&amp;DSodaODS" sheetId="11" r:id="rId11"/>
    <sheet name="Cement" sheetId="12" r:id="rId12"/>
    <sheet name="Ammonia &amp; Urea Consumption" sheetId="13" r:id="rId13"/>
    <sheet name="Iron And Steel" sheetId="14" r:id="rId14"/>
    <sheet name="Landfills" sheetId="15" r:id="rId15"/>
    <sheet name="Incinerators" sheetId="16" r:id="rId16"/>
    <sheet name="OpenBurn" sheetId="17" r:id="rId17"/>
    <sheet name="Natural Gas and Oil" sheetId="18" r:id="rId18"/>
    <sheet name="Mining" sheetId="19" r:id="rId19"/>
    <sheet name="Wastewater" sheetId="20" r:id="rId20"/>
    <sheet name="Agricultural" sheetId="21" r:id="rId21"/>
    <sheet name="Land Use" sheetId="22" r:id="rId22"/>
    <sheet name="Graphs" sheetId="23" state="hidden" r:id="rId23"/>
  </sheets>
  <definedNames>
    <definedName name="_Key1">#REF!</definedName>
    <definedName name="_Sort">#REF!</definedName>
    <definedName name="_Toc284401718" localSheetId="22">Graphs!$I$45</definedName>
    <definedName name="_Toc352228849" localSheetId="22">Graphs!$I$22</definedName>
    <definedName name="CementCorrectionFactor">#REF!</definedName>
    <definedName name="CH4GWP">#REF!</definedName>
    <definedName name="CoalCCs">#REF!</definedName>
    <definedName name="CoalGrowth">#REF!</definedName>
    <definedName name="data">#REF!</definedName>
    <definedName name="ElecProj">#REF!</definedName>
    <definedName name="EntFermEFs">#REF!</definedName>
    <definedName name="EntFermEFs2">#REF!</definedName>
    <definedName name="EPS">#REF!</definedName>
    <definedName name="EPSFraction">#REF!</definedName>
    <definedName name="FCFchoice">#REF!</definedName>
    <definedName name="FertData">#REF!</definedName>
    <definedName name="FertTypes">#REF!</definedName>
    <definedName name="FFFactors">#REF!</definedName>
    <definedName name="FullName">#REF!</definedName>
    <definedName name="GasProj">#REF!</definedName>
    <definedName name="GWP">#REF!</definedName>
    <definedName name="GWPCH4">#REF!</definedName>
    <definedName name="GWPN2O">#REF!</definedName>
    <definedName name="IndustrialPercent">#REF!</definedName>
    <definedName name="kg.MT">#REF!</definedName>
    <definedName name="LiquidEF">#REF!</definedName>
    <definedName name="MCFs">#REF!</definedName>
    <definedName name="MMFactors">#REF!</definedName>
    <definedName name="MT_per_T">#REF!</definedName>
    <definedName name="N20GWP">#REF!</definedName>
    <definedName name="N2OGWP">#REF!</definedName>
    <definedName name="NetOutElecExports">#REF!</definedName>
    <definedName name="NEU">#REF!</definedName>
    <definedName name="NGCH4meth">#REF!</definedName>
    <definedName name="nobedEF">#REF!</definedName>
    <definedName name="open">#REF!</definedName>
    <definedName name="OxidationFactor">#REF!</definedName>
    <definedName name="PopGrid">#REF!</definedName>
    <definedName name="SelectedState">#REF!</definedName>
    <definedName name="Short_metric">#REF!</definedName>
    <definedName name="SolidEF">#REF!</definedName>
    <definedName name="State">#REF!</definedName>
    <definedName name="StateChoice">#REF!</definedName>
    <definedName name="StateList">#REF!</definedName>
    <definedName name="States">#REF!</definedName>
    <definedName name="StatFactors">#REF!</definedName>
    <definedName name="StorageFactors">#REF!</definedName>
    <definedName name="TransData">#REF!</definedName>
    <definedName name="TransProj">#REF!</definedName>
    <definedName name="UFactor">#REF!</definedName>
    <definedName name="Units">#REF!</definedName>
    <definedName name="VersionDate">#REF!</definedName>
    <definedName name="VersionNumber">#REF!</definedName>
    <definedName name="VolPercent">#REF!</definedName>
    <definedName name="VS_BeefReplace">#REF!</definedName>
    <definedName name="VS_BeefReplace2">#REF!</definedName>
    <definedName name="VS_feedlotheifer">#REF!</definedName>
    <definedName name="VS_feedlotheifer2">#REF!</definedName>
    <definedName name="VS_feedlotsteer">#REF!</definedName>
    <definedName name="VS_feedlotsteer2">#REF!</definedName>
    <definedName name="VS_NOFcows">#REF!</definedName>
    <definedName name="VS_NOFcows2">#REF!</definedName>
    <definedName name="VS_NOFheifers">#REF!</definedName>
    <definedName name="VS_NOFheifers2">#REF!</definedName>
    <definedName name="VS_NOFsteers">#REF!</definedName>
    <definedName name="VS_NOFsteers2">#REF!</definedName>
    <definedName name="VT_mi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5" roundtripDataSignature="AMtx7mh5arzzPyJBekWvRxq3BpZVVNX50w=="/>
    </ext>
  </extLst>
</workbook>
</file>

<file path=xl/calcChain.xml><?xml version="1.0" encoding="utf-8"?>
<calcChain xmlns="http://schemas.openxmlformats.org/spreadsheetml/2006/main">
  <c r="X308" i="23" l="1"/>
  <c r="V308" i="23"/>
  <c r="C184" i="23"/>
  <c r="C183" i="23"/>
  <c r="C182" i="23"/>
  <c r="C181" i="23"/>
  <c r="D70" i="22"/>
  <c r="D69" i="22"/>
  <c r="D68" i="22"/>
  <c r="S60" i="22" s="1"/>
  <c r="D67" i="22"/>
  <c r="V58" i="22" s="1"/>
  <c r="D66" i="22"/>
  <c r="S59" i="22"/>
  <c r="E59" i="22"/>
  <c r="Y53" i="22"/>
  <c r="X53" i="22"/>
  <c r="W53" i="22"/>
  <c r="V53" i="22"/>
  <c r="U53" i="22"/>
  <c r="T53" i="22"/>
  <c r="S53" i="22"/>
  <c r="R53" i="22"/>
  <c r="Q53" i="22"/>
  <c r="P53" i="22"/>
  <c r="O53" i="22"/>
  <c r="N53" i="22"/>
  <c r="M53" i="22"/>
  <c r="L53" i="22"/>
  <c r="K53" i="22"/>
  <c r="J53" i="22"/>
  <c r="I53" i="22"/>
  <c r="H53" i="22"/>
  <c r="G53" i="22"/>
  <c r="F53" i="22"/>
  <c r="E53" i="22"/>
  <c r="D53" i="22"/>
  <c r="Y26" i="22"/>
  <c r="C245" i="21"/>
  <c r="E234" i="21"/>
  <c r="W222" i="21"/>
  <c r="Y222" i="21" s="1"/>
  <c r="I222" i="21"/>
  <c r="W221" i="21"/>
  <c r="Y221" i="21" s="1"/>
  <c r="I221" i="21"/>
  <c r="W220" i="21"/>
  <c r="Y220" i="21" s="1"/>
  <c r="I220" i="21"/>
  <c r="I219" i="21"/>
  <c r="W219" i="21" s="1"/>
  <c r="Y219" i="21" s="1"/>
  <c r="I218" i="21"/>
  <c r="W218" i="21" s="1"/>
  <c r="Y218" i="21" s="1"/>
  <c r="Y217" i="21"/>
  <c r="W217" i="21"/>
  <c r="W216" i="21"/>
  <c r="Y216" i="21" s="1"/>
  <c r="I216" i="21"/>
  <c r="W215" i="21"/>
  <c r="Y215" i="21" s="1"/>
  <c r="I215" i="21"/>
  <c r="I214" i="21"/>
  <c r="W214" i="21" s="1"/>
  <c r="Y214" i="21" s="1"/>
  <c r="W207" i="21"/>
  <c r="Y207" i="21" s="1"/>
  <c r="I207" i="21"/>
  <c r="W206" i="21"/>
  <c r="Y206" i="21" s="1"/>
  <c r="I206" i="21"/>
  <c r="W205" i="21"/>
  <c r="Y205" i="21" s="1"/>
  <c r="I205" i="21"/>
  <c r="I204" i="21"/>
  <c r="W204" i="21" s="1"/>
  <c r="Y204" i="21" s="1"/>
  <c r="I203" i="21"/>
  <c r="W203" i="21" s="1"/>
  <c r="Y203" i="21" s="1"/>
  <c r="Y202" i="21"/>
  <c r="W202" i="21"/>
  <c r="I201" i="21"/>
  <c r="W201" i="21" s="1"/>
  <c r="Y201" i="21" s="1"/>
  <c r="W200" i="21"/>
  <c r="Y200" i="21" s="1"/>
  <c r="I200" i="21"/>
  <c r="Y199" i="21"/>
  <c r="I199" i="21"/>
  <c r="W199" i="21" s="1"/>
  <c r="U184" i="21"/>
  <c r="O184" i="21"/>
  <c r="I184" i="21"/>
  <c r="K184" i="21" s="1"/>
  <c r="O183" i="21"/>
  <c r="U183" i="21" s="1"/>
  <c r="I183" i="21"/>
  <c r="K183" i="21" s="1"/>
  <c r="U182" i="21"/>
  <c r="O182" i="21"/>
  <c r="M182" i="21"/>
  <c r="S182" i="21" s="1"/>
  <c r="I182" i="21"/>
  <c r="K182" i="21" s="1"/>
  <c r="S181" i="21"/>
  <c r="O181" i="21"/>
  <c r="U181" i="21" s="1"/>
  <c r="M181" i="21"/>
  <c r="I181" i="21"/>
  <c r="K181" i="21" s="1"/>
  <c r="O179" i="21"/>
  <c r="U179" i="21" s="1"/>
  <c r="M179" i="21"/>
  <c r="S179" i="21" s="1"/>
  <c r="I179" i="21"/>
  <c r="K179" i="21" s="1"/>
  <c r="M178" i="21"/>
  <c r="S178" i="21" s="1"/>
  <c r="I178" i="21"/>
  <c r="K178" i="21" s="1"/>
  <c r="M177" i="21"/>
  <c r="S177" i="21" s="1"/>
  <c r="I177" i="21"/>
  <c r="K177" i="21" s="1"/>
  <c r="M176" i="21"/>
  <c r="S176" i="21" s="1"/>
  <c r="I176" i="21"/>
  <c r="K176" i="21" s="1"/>
  <c r="M175" i="21"/>
  <c r="S175" i="21" s="1"/>
  <c r="I175" i="21"/>
  <c r="K175" i="21" s="1"/>
  <c r="U172" i="21"/>
  <c r="O172" i="21"/>
  <c r="M172" i="21"/>
  <c r="S172" i="21" s="1"/>
  <c r="I172" i="21"/>
  <c r="K172" i="21" s="1"/>
  <c r="U171" i="21"/>
  <c r="O171" i="21"/>
  <c r="M171" i="21"/>
  <c r="S171" i="21" s="1"/>
  <c r="I171" i="21"/>
  <c r="K171" i="21" s="1"/>
  <c r="O170" i="21"/>
  <c r="U170" i="21" s="1"/>
  <c r="M170" i="21"/>
  <c r="S170" i="21" s="1"/>
  <c r="I170" i="21"/>
  <c r="K170" i="21" s="1"/>
  <c r="U169" i="21"/>
  <c r="S169" i="21"/>
  <c r="O169" i="21"/>
  <c r="M169" i="21"/>
  <c r="I169" i="21"/>
  <c r="K169" i="21" s="1"/>
  <c r="U168" i="21"/>
  <c r="S168" i="21"/>
  <c r="O168" i="21"/>
  <c r="M168" i="21"/>
  <c r="I168" i="21"/>
  <c r="K168" i="21" s="1"/>
  <c r="U166" i="21"/>
  <c r="O166" i="21"/>
  <c r="I166" i="21"/>
  <c r="K166" i="21" s="1"/>
  <c r="O165" i="21"/>
  <c r="U165" i="21" s="1"/>
  <c r="I165" i="21"/>
  <c r="K165" i="21" s="1"/>
  <c r="U164" i="21"/>
  <c r="O164" i="21"/>
  <c r="K164" i="21"/>
  <c r="I164" i="21"/>
  <c r="U163" i="21"/>
  <c r="O163" i="21"/>
  <c r="K163" i="21"/>
  <c r="I163" i="21"/>
  <c r="O162" i="21"/>
  <c r="U162" i="21" s="1"/>
  <c r="I162" i="21"/>
  <c r="K162" i="21" s="1"/>
  <c r="M161" i="21"/>
  <c r="S161" i="21" s="1"/>
  <c r="K161" i="21"/>
  <c r="I161" i="21"/>
  <c r="S160" i="21"/>
  <c r="M160" i="21"/>
  <c r="K160" i="21"/>
  <c r="I160" i="21"/>
  <c r="W158" i="21"/>
  <c r="U158" i="21"/>
  <c r="Q158" i="21"/>
  <c r="Q185" i="21" s="1"/>
  <c r="O158" i="21"/>
  <c r="M158" i="21"/>
  <c r="M185" i="21" s="1"/>
  <c r="I158" i="21"/>
  <c r="K158" i="21" s="1"/>
  <c r="AQ157" i="21"/>
  <c r="S157" i="21"/>
  <c r="Q157" i="21"/>
  <c r="O157" i="21"/>
  <c r="M157" i="21"/>
  <c r="I157" i="21"/>
  <c r="K157" i="21" s="1"/>
  <c r="C140" i="21"/>
  <c r="E132" i="21"/>
  <c r="E131" i="21"/>
  <c r="E130" i="21"/>
  <c r="E129" i="21"/>
  <c r="E128" i="21"/>
  <c r="E127" i="21"/>
  <c r="E126" i="21"/>
  <c r="M124" i="21"/>
  <c r="E124" i="21"/>
  <c r="K124" i="21" s="1"/>
  <c r="C124" i="21"/>
  <c r="W116" i="21"/>
  <c r="K116" i="21"/>
  <c r="K115" i="21"/>
  <c r="W115" i="21" s="1"/>
  <c r="K114" i="21"/>
  <c r="W114" i="21" s="1"/>
  <c r="K113" i="21"/>
  <c r="W113" i="21" s="1"/>
  <c r="W112" i="21"/>
  <c r="K112" i="21"/>
  <c r="W111" i="21"/>
  <c r="S111" i="21"/>
  <c r="K111" i="21"/>
  <c r="K110" i="21"/>
  <c r="W109" i="21"/>
  <c r="S109" i="21"/>
  <c r="K109" i="21"/>
  <c r="K108" i="21"/>
  <c r="S108" i="21" s="1"/>
  <c r="S107" i="21"/>
  <c r="K107" i="21"/>
  <c r="W107" i="21" s="1"/>
  <c r="W106" i="21"/>
  <c r="K106" i="21"/>
  <c r="S106" i="21" s="1"/>
  <c r="S105" i="21"/>
  <c r="K105" i="21"/>
  <c r="W105" i="21" s="1"/>
  <c r="S104" i="21"/>
  <c r="K104" i="21"/>
  <c r="K103" i="21"/>
  <c r="S103" i="21" s="1"/>
  <c r="S102" i="21"/>
  <c r="K102" i="21"/>
  <c r="S101" i="21"/>
  <c r="K101" i="21"/>
  <c r="S100" i="21"/>
  <c r="K100" i="21"/>
  <c r="K99" i="21"/>
  <c r="S99" i="21" s="1"/>
  <c r="S98" i="21"/>
  <c r="K98" i="21"/>
  <c r="S97" i="21"/>
  <c r="K97" i="21"/>
  <c r="W96" i="21"/>
  <c r="K96" i="21"/>
  <c r="O60" i="21"/>
  <c r="Q60" i="21" s="1"/>
  <c r="S60" i="21" s="1"/>
  <c r="I60" i="21"/>
  <c r="S59" i="21"/>
  <c r="O59" i="21"/>
  <c r="Q59" i="21" s="1"/>
  <c r="I59" i="21"/>
  <c r="I58" i="21"/>
  <c r="O58" i="21" s="1"/>
  <c r="Q58" i="21" s="1"/>
  <c r="S58" i="21" s="1"/>
  <c r="S57" i="21"/>
  <c r="O57" i="21"/>
  <c r="Q57" i="21" s="1"/>
  <c r="I57" i="21"/>
  <c r="Q55" i="21"/>
  <c r="S55" i="21" s="1"/>
  <c r="O55" i="21"/>
  <c r="I55" i="21"/>
  <c r="I54" i="21"/>
  <c r="O54" i="21" s="1"/>
  <c r="Q54" i="21" s="1"/>
  <c r="S54" i="21" s="1"/>
  <c r="O53" i="21"/>
  <c r="Q53" i="21" s="1"/>
  <c r="S53" i="21" s="1"/>
  <c r="I53" i="21"/>
  <c r="O52" i="21"/>
  <c r="Q52" i="21" s="1"/>
  <c r="S52" i="21" s="1"/>
  <c r="I52" i="21"/>
  <c r="O51" i="21"/>
  <c r="Q51" i="21" s="1"/>
  <c r="S51" i="21" s="1"/>
  <c r="I51" i="21"/>
  <c r="O48" i="21"/>
  <c r="Q48" i="21" s="1"/>
  <c r="S48" i="21" s="1"/>
  <c r="I48" i="21"/>
  <c r="I47" i="21"/>
  <c r="O47" i="21" s="1"/>
  <c r="Q47" i="21" s="1"/>
  <c r="S47" i="21" s="1"/>
  <c r="S46" i="21"/>
  <c r="O46" i="21"/>
  <c r="Q46" i="21" s="1"/>
  <c r="I46" i="21"/>
  <c r="Q45" i="21"/>
  <c r="S45" i="21" s="1"/>
  <c r="O45" i="21"/>
  <c r="I45" i="21"/>
  <c r="I44" i="21"/>
  <c r="O44" i="21" s="1"/>
  <c r="Q44" i="21" s="1"/>
  <c r="S44" i="21" s="1"/>
  <c r="O42" i="21"/>
  <c r="Q42" i="21" s="1"/>
  <c r="S42" i="21" s="1"/>
  <c r="I42" i="21"/>
  <c r="O41" i="21"/>
  <c r="Q41" i="21" s="1"/>
  <c r="S41" i="21" s="1"/>
  <c r="I41" i="21"/>
  <c r="O40" i="21"/>
  <c r="Q40" i="21" s="1"/>
  <c r="S40" i="21" s="1"/>
  <c r="I40" i="21"/>
  <c r="S39" i="21"/>
  <c r="O39" i="21"/>
  <c r="Q39" i="21" s="1"/>
  <c r="I39" i="21"/>
  <c r="I38" i="21"/>
  <c r="O38" i="21" s="1"/>
  <c r="Q38" i="21" s="1"/>
  <c r="S38" i="21" s="1"/>
  <c r="S37" i="21"/>
  <c r="O37" i="21"/>
  <c r="Q37" i="21" s="1"/>
  <c r="I37" i="21"/>
  <c r="Q36" i="21"/>
  <c r="S36" i="21" s="1"/>
  <c r="O36" i="21"/>
  <c r="I36" i="21"/>
  <c r="I35" i="21"/>
  <c r="O35" i="21" s="1"/>
  <c r="Q35" i="21" s="1"/>
  <c r="S35" i="21" s="1"/>
  <c r="O33" i="21"/>
  <c r="Q33" i="21" s="1"/>
  <c r="S33" i="21" s="1"/>
  <c r="I33" i="21"/>
  <c r="O32" i="21"/>
  <c r="I32" i="21"/>
  <c r="I24" i="21"/>
  <c r="G24" i="21"/>
  <c r="I23" i="21"/>
  <c r="G23" i="21"/>
  <c r="I22" i="21"/>
  <c r="G22" i="21"/>
  <c r="G21" i="21"/>
  <c r="I21" i="21" s="1"/>
  <c r="I19" i="21"/>
  <c r="G19" i="21"/>
  <c r="I18" i="21"/>
  <c r="G18" i="21"/>
  <c r="I17" i="21"/>
  <c r="G17" i="21"/>
  <c r="G16" i="21"/>
  <c r="I16" i="21" s="1"/>
  <c r="I15" i="21"/>
  <c r="G15" i="21"/>
  <c r="G14" i="21"/>
  <c r="I14" i="21" s="1"/>
  <c r="I13" i="21"/>
  <c r="G13" i="21"/>
  <c r="I12" i="21"/>
  <c r="G12" i="21"/>
  <c r="I11" i="21"/>
  <c r="G11" i="21"/>
  <c r="AG10" i="21"/>
  <c r="AG9" i="21"/>
  <c r="I9" i="21"/>
  <c r="G9" i="21"/>
  <c r="AG8" i="21"/>
  <c r="I8" i="21"/>
  <c r="G8" i="21"/>
  <c r="AG7" i="21"/>
  <c r="I7" i="21"/>
  <c r="G7" i="21"/>
  <c r="AG6" i="21"/>
  <c r="I6" i="21"/>
  <c r="I25" i="21" s="1"/>
  <c r="C240" i="21" s="1"/>
  <c r="G6" i="21"/>
  <c r="W22" i="20"/>
  <c r="O22" i="20"/>
  <c r="S22" i="20" s="1"/>
  <c r="AE16" i="20"/>
  <c r="AC16" i="20"/>
  <c r="W16" i="20"/>
  <c r="Y16" i="20" s="1"/>
  <c r="Q16" i="20"/>
  <c r="M16" i="20"/>
  <c r="Q10" i="20"/>
  <c r="O10" i="20"/>
  <c r="K10" i="20"/>
  <c r="AD9" i="20"/>
  <c r="AD8" i="20"/>
  <c r="AD7" i="20"/>
  <c r="AA16" i="20" s="1"/>
  <c r="AD6" i="20"/>
  <c r="U22" i="20" s="1"/>
  <c r="Y22" i="20" s="1"/>
  <c r="AA22" i="20" s="1"/>
  <c r="C33" i="20" s="1"/>
  <c r="C31" i="20" s="1"/>
  <c r="AD5" i="20"/>
  <c r="U5" i="20"/>
  <c r="O5" i="20"/>
  <c r="C61" i="19"/>
  <c r="C56" i="19"/>
  <c r="C55" i="19"/>
  <c r="C54" i="19"/>
  <c r="J29" i="19"/>
  <c r="C63" i="19" s="1"/>
  <c r="H29" i="19"/>
  <c r="J28" i="19"/>
  <c r="C62" i="19" s="1"/>
  <c r="H28" i="19"/>
  <c r="J27" i="19"/>
  <c r="H27" i="19"/>
  <c r="R18" i="19"/>
  <c r="R17" i="19"/>
  <c r="R16" i="19"/>
  <c r="R15" i="19"/>
  <c r="L9" i="19" s="1"/>
  <c r="D21" i="19" s="1"/>
  <c r="H15" i="19"/>
  <c r="J15" i="19" s="1"/>
  <c r="R14" i="19"/>
  <c r="J13" i="19"/>
  <c r="H13" i="19"/>
  <c r="H17" i="19" s="1"/>
  <c r="J9" i="19"/>
  <c r="H9" i="19"/>
  <c r="N6" i="19"/>
  <c r="D20" i="19" s="1"/>
  <c r="J6" i="19"/>
  <c r="L6" i="19" s="1"/>
  <c r="C72" i="18"/>
  <c r="H70" i="18"/>
  <c r="E50" i="18"/>
  <c r="C50" i="18"/>
  <c r="C49" i="18"/>
  <c r="E49" i="18" s="1"/>
  <c r="E48" i="18"/>
  <c r="E33" i="18"/>
  <c r="E32" i="18"/>
  <c r="E31" i="18"/>
  <c r="I29" i="18"/>
  <c r="I28" i="18"/>
  <c r="E28" i="18"/>
  <c r="I27" i="18"/>
  <c r="I70" i="18" s="1"/>
  <c r="D85" i="1" s="1"/>
  <c r="E27" i="18"/>
  <c r="I26" i="18"/>
  <c r="J70" i="18" s="1"/>
  <c r="E26" i="18"/>
  <c r="I25" i="18"/>
  <c r="E25" i="18"/>
  <c r="E8" i="18"/>
  <c r="C47" i="16"/>
  <c r="C46" i="16"/>
  <c r="C45" i="16"/>
  <c r="C44" i="16"/>
  <c r="C43" i="16"/>
  <c r="U35" i="16"/>
  <c r="M35" i="16"/>
  <c r="F35" i="16"/>
  <c r="Y33" i="16"/>
  <c r="Y29" i="16" s="1"/>
  <c r="D33" i="16"/>
  <c r="Y32" i="16"/>
  <c r="L32" i="16"/>
  <c r="L33" i="16" s="1"/>
  <c r="E32" i="16"/>
  <c r="E33" i="16" s="1"/>
  <c r="C32" i="16"/>
  <c r="C33" i="16" s="1"/>
  <c r="F33" i="16" s="1"/>
  <c r="U29" i="16"/>
  <c r="M29" i="16"/>
  <c r="F29" i="16"/>
  <c r="S26" i="16"/>
  <c r="S27" i="16" s="1"/>
  <c r="E26" i="16"/>
  <c r="E27" i="16" s="1"/>
  <c r="C26" i="16"/>
  <c r="C27" i="16" s="1"/>
  <c r="U23" i="16"/>
  <c r="AC23" i="16" s="1"/>
  <c r="M23" i="16"/>
  <c r="F23" i="16"/>
  <c r="E23" i="16"/>
  <c r="D23" i="16"/>
  <c r="C23" i="16"/>
  <c r="Y21" i="16"/>
  <c r="T21" i="16"/>
  <c r="S21" i="16"/>
  <c r="R21" i="16"/>
  <c r="Q21" i="16"/>
  <c r="L21" i="16"/>
  <c r="K21" i="16"/>
  <c r="J21" i="16"/>
  <c r="Y19" i="16"/>
  <c r="F19" i="16"/>
  <c r="Y17" i="16"/>
  <c r="J17" i="16"/>
  <c r="J19" i="16" s="1"/>
  <c r="E17" i="16"/>
  <c r="E19" i="16" s="1"/>
  <c r="D17" i="16"/>
  <c r="D19" i="16" s="1"/>
  <c r="C17" i="16"/>
  <c r="C19" i="16" s="1"/>
  <c r="Y13" i="16"/>
  <c r="Q13" i="16"/>
  <c r="L13" i="16"/>
  <c r="L26" i="16" s="1"/>
  <c r="K13" i="16"/>
  <c r="J13" i="16"/>
  <c r="E13" i="16"/>
  <c r="D13" i="16"/>
  <c r="D32" i="16" s="1"/>
  <c r="C13" i="16"/>
  <c r="U9" i="16"/>
  <c r="T9" i="16"/>
  <c r="T13" i="16" s="1"/>
  <c r="S9" i="16"/>
  <c r="S13" i="16" s="1"/>
  <c r="R9" i="16"/>
  <c r="R13" i="16" s="1"/>
  <c r="Q9" i="16"/>
  <c r="M9" i="16"/>
  <c r="F9" i="16"/>
  <c r="D90" i="15"/>
  <c r="D89" i="15"/>
  <c r="D88" i="15"/>
  <c r="D87" i="15"/>
  <c r="W19" i="15" s="1"/>
  <c r="D86" i="15"/>
  <c r="K77" i="15"/>
  <c r="J77" i="15"/>
  <c r="R76" i="15"/>
  <c r="K76" i="15"/>
  <c r="G76" i="15"/>
  <c r="E76" i="15"/>
  <c r="R74" i="15"/>
  <c r="Q74" i="15"/>
  <c r="P74" i="15"/>
  <c r="O74" i="15"/>
  <c r="M74" i="15"/>
  <c r="G74" i="15"/>
  <c r="E74" i="15"/>
  <c r="T72" i="15"/>
  <c r="U72" i="15" s="1"/>
  <c r="V72" i="15" s="1"/>
  <c r="R72" i="15"/>
  <c r="K72" i="15"/>
  <c r="J72" i="15"/>
  <c r="G72" i="15"/>
  <c r="E72" i="15"/>
  <c r="U71" i="15"/>
  <c r="V71" i="15" s="1"/>
  <c r="T71" i="15"/>
  <c r="R71" i="15"/>
  <c r="G71" i="15"/>
  <c r="E71" i="15"/>
  <c r="V70" i="15"/>
  <c r="T70" i="15"/>
  <c r="U70" i="15" s="1"/>
  <c r="R70" i="15"/>
  <c r="G70" i="15"/>
  <c r="T68" i="15"/>
  <c r="R68" i="15"/>
  <c r="U68" i="15" s="1"/>
  <c r="V68" i="15" s="1"/>
  <c r="G68" i="15"/>
  <c r="E68" i="15"/>
  <c r="E67" i="15"/>
  <c r="T66" i="15"/>
  <c r="R66" i="15"/>
  <c r="U66" i="15" s="1"/>
  <c r="V66" i="15" s="1"/>
  <c r="G66" i="15"/>
  <c r="U65" i="15"/>
  <c r="V65" i="15" s="1"/>
  <c r="T65" i="15"/>
  <c r="R65" i="15"/>
  <c r="G65" i="15"/>
  <c r="R63" i="15"/>
  <c r="G63" i="15"/>
  <c r="E63" i="15"/>
  <c r="U62" i="15"/>
  <c r="T62" i="15"/>
  <c r="R62" i="15"/>
  <c r="M62" i="15"/>
  <c r="G62" i="15"/>
  <c r="E62" i="15"/>
  <c r="R61" i="15"/>
  <c r="T61" i="15" s="1"/>
  <c r="U61" i="15" s="1"/>
  <c r="Q61" i="15"/>
  <c r="V61" i="15" s="1"/>
  <c r="O61" i="15"/>
  <c r="P61" i="15" s="1"/>
  <c r="M61" i="15"/>
  <c r="G61" i="15"/>
  <c r="E61" i="15"/>
  <c r="R60" i="15"/>
  <c r="Q60" i="15"/>
  <c r="O60" i="15"/>
  <c r="P60" i="15" s="1"/>
  <c r="M60" i="15"/>
  <c r="G60" i="15"/>
  <c r="E60" i="15"/>
  <c r="K57" i="15"/>
  <c r="J57" i="15"/>
  <c r="D57" i="15"/>
  <c r="T56" i="15"/>
  <c r="R56" i="15"/>
  <c r="Q56" i="15"/>
  <c r="M56" i="15"/>
  <c r="O56" i="15" s="1"/>
  <c r="P56" i="15" s="1"/>
  <c r="K56" i="15"/>
  <c r="J56" i="15"/>
  <c r="D56" i="15"/>
  <c r="R54" i="15"/>
  <c r="G54" i="15"/>
  <c r="E54" i="15"/>
  <c r="U52" i="15"/>
  <c r="T52" i="15"/>
  <c r="R52" i="15"/>
  <c r="M52" i="15"/>
  <c r="G52" i="15"/>
  <c r="E52" i="15"/>
  <c r="K50" i="15"/>
  <c r="R50" i="15" s="1"/>
  <c r="J50" i="15"/>
  <c r="G50" i="15"/>
  <c r="E50" i="15"/>
  <c r="R48" i="15"/>
  <c r="G48" i="15"/>
  <c r="E48" i="15"/>
  <c r="R47" i="15"/>
  <c r="T47" i="15" s="1"/>
  <c r="U47" i="15" s="1"/>
  <c r="V47" i="15" s="1"/>
  <c r="G47" i="15"/>
  <c r="E47" i="15"/>
  <c r="T45" i="15"/>
  <c r="U45" i="15" s="1"/>
  <c r="V45" i="15" s="1"/>
  <c r="R45" i="15"/>
  <c r="K45" i="15"/>
  <c r="J45" i="15"/>
  <c r="G45" i="15"/>
  <c r="E45" i="15"/>
  <c r="Q44" i="15"/>
  <c r="O44" i="15"/>
  <c r="P44" i="15" s="1"/>
  <c r="M44" i="15"/>
  <c r="K44" i="15"/>
  <c r="R44" i="15" s="1"/>
  <c r="J44" i="15"/>
  <c r="G44" i="15"/>
  <c r="E44" i="15"/>
  <c r="U43" i="15"/>
  <c r="V43" i="15" s="1"/>
  <c r="T43" i="15"/>
  <c r="R43" i="15"/>
  <c r="G43" i="15"/>
  <c r="E43" i="15"/>
  <c r="U41" i="15"/>
  <c r="V41" i="15" s="1"/>
  <c r="T41" i="15"/>
  <c r="R41" i="15"/>
  <c r="K41" i="15"/>
  <c r="E41" i="15"/>
  <c r="U40" i="15"/>
  <c r="V40" i="15" s="1"/>
  <c r="T40" i="15"/>
  <c r="R40" i="15"/>
  <c r="G40" i="15"/>
  <c r="E40" i="15"/>
  <c r="R38" i="15"/>
  <c r="G38" i="15"/>
  <c r="E38" i="15"/>
  <c r="R37" i="15"/>
  <c r="K37" i="15"/>
  <c r="J37" i="15"/>
  <c r="G37" i="15"/>
  <c r="E37" i="15"/>
  <c r="T35" i="15"/>
  <c r="R35" i="15"/>
  <c r="Q35" i="15"/>
  <c r="M35" i="15"/>
  <c r="O35" i="15" s="1"/>
  <c r="P35" i="15" s="1"/>
  <c r="E35" i="15"/>
  <c r="K32" i="15"/>
  <c r="J32" i="15"/>
  <c r="D32" i="15"/>
  <c r="U30" i="15"/>
  <c r="R30" i="15"/>
  <c r="T30" i="15" s="1"/>
  <c r="Q30" i="15"/>
  <c r="P30" i="15"/>
  <c r="O30" i="15"/>
  <c r="M30" i="15"/>
  <c r="G30" i="15"/>
  <c r="E30" i="15"/>
  <c r="R29" i="15"/>
  <c r="T29" i="15" s="1"/>
  <c r="U29" i="15" s="1"/>
  <c r="V29" i="15" s="1"/>
  <c r="G29" i="15"/>
  <c r="E29" i="15"/>
  <c r="T27" i="15"/>
  <c r="R27" i="15"/>
  <c r="G27" i="15"/>
  <c r="E27" i="15"/>
  <c r="R26" i="15"/>
  <c r="G26" i="15"/>
  <c r="E26" i="15"/>
  <c r="U23" i="15"/>
  <c r="O23" i="15"/>
  <c r="P23" i="15" s="1"/>
  <c r="M23" i="15"/>
  <c r="Q23" i="15" s="1"/>
  <c r="K23" i="15"/>
  <c r="R23" i="15" s="1"/>
  <c r="T23" i="15" s="1"/>
  <c r="R22" i="15"/>
  <c r="O22" i="15"/>
  <c r="P22" i="15" s="1"/>
  <c r="M22" i="15"/>
  <c r="Q22" i="15" s="1"/>
  <c r="K22" i="15"/>
  <c r="J22" i="15"/>
  <c r="G22" i="15"/>
  <c r="E22" i="15"/>
  <c r="U21" i="15"/>
  <c r="V21" i="15" s="1"/>
  <c r="T21" i="15"/>
  <c r="R21" i="15"/>
  <c r="G21" i="15"/>
  <c r="E21" i="15"/>
  <c r="T19" i="15"/>
  <c r="U19" i="15" s="1"/>
  <c r="V19" i="15" s="1"/>
  <c r="R19" i="15"/>
  <c r="K19" i="15"/>
  <c r="J19" i="15"/>
  <c r="R18" i="15"/>
  <c r="K18" i="15"/>
  <c r="M18" i="15" s="1"/>
  <c r="J18" i="15"/>
  <c r="R17" i="15"/>
  <c r="T17" i="15" s="1"/>
  <c r="G17" i="15"/>
  <c r="E17" i="15"/>
  <c r="R16" i="15"/>
  <c r="T16" i="15" s="1"/>
  <c r="U16" i="15" s="1"/>
  <c r="Q16" i="15"/>
  <c r="M16" i="15"/>
  <c r="O16" i="15" s="1"/>
  <c r="P16" i="15" s="1"/>
  <c r="G16" i="15"/>
  <c r="E16" i="15"/>
  <c r="K15" i="15"/>
  <c r="J15" i="15"/>
  <c r="J79" i="15" s="1"/>
  <c r="U105" i="15" s="1"/>
  <c r="U107" i="15" s="1"/>
  <c r="G15" i="15"/>
  <c r="E15" i="15"/>
  <c r="R14" i="15"/>
  <c r="G14" i="15"/>
  <c r="E14" i="15"/>
  <c r="U12" i="15"/>
  <c r="V12" i="15" s="1"/>
  <c r="T12" i="15"/>
  <c r="R12" i="15"/>
  <c r="G12" i="15"/>
  <c r="E12" i="15"/>
  <c r="T11" i="15"/>
  <c r="U11" i="15" s="1"/>
  <c r="R11" i="15"/>
  <c r="M11" i="15"/>
  <c r="G11" i="15"/>
  <c r="E11" i="15"/>
  <c r="G20" i="14"/>
  <c r="F20" i="14"/>
  <c r="F19" i="14"/>
  <c r="F18" i="14"/>
  <c r="G16" i="14"/>
  <c r="G14" i="14"/>
  <c r="G18" i="14" s="1"/>
  <c r="K13" i="14"/>
  <c r="K12" i="14"/>
  <c r="F12" i="14"/>
  <c r="K11" i="14"/>
  <c r="F11" i="14"/>
  <c r="K10" i="14"/>
  <c r="G10" i="14"/>
  <c r="K9" i="14"/>
  <c r="G9" i="14"/>
  <c r="G19" i="14" s="1"/>
  <c r="G8" i="14"/>
  <c r="I8" i="13"/>
  <c r="J8" i="13" s="1"/>
  <c r="I7" i="13"/>
  <c r="G7" i="13"/>
  <c r="I72" i="12"/>
  <c r="H72" i="12"/>
  <c r="G72" i="12"/>
  <c r="I70" i="12"/>
  <c r="H70" i="12"/>
  <c r="I68" i="12"/>
  <c r="H68" i="12"/>
  <c r="I66" i="12"/>
  <c r="H66" i="12"/>
  <c r="G66" i="12"/>
  <c r="H57" i="12"/>
  <c r="I50" i="12"/>
  <c r="I57" i="12" s="1"/>
  <c r="H50" i="12"/>
  <c r="G50" i="12"/>
  <c r="G57" i="12" s="1"/>
  <c r="G59" i="12" s="1"/>
  <c r="G70" i="12" s="1"/>
  <c r="G76" i="12" s="1"/>
  <c r="G78" i="12" s="1"/>
  <c r="G80" i="12" s="1"/>
  <c r="G33" i="12"/>
  <c r="I31" i="12"/>
  <c r="G26" i="12"/>
  <c r="G37" i="12" s="1"/>
  <c r="I17" i="12"/>
  <c r="I19" i="12" s="1"/>
  <c r="H17" i="12"/>
  <c r="G11" i="12"/>
  <c r="G17" i="12" s="1"/>
  <c r="G21" i="12" s="1"/>
  <c r="G35" i="12" s="1"/>
  <c r="D51" i="11"/>
  <c r="D47" i="11"/>
  <c r="D45" i="11"/>
  <c r="D43" i="11"/>
  <c r="J32" i="11"/>
  <c r="L32" i="11" s="1"/>
  <c r="D56" i="11" s="1"/>
  <c r="H27" i="11"/>
  <c r="L22" i="11"/>
  <c r="J22" i="11"/>
  <c r="D22" i="11"/>
  <c r="L17" i="11"/>
  <c r="J17" i="11"/>
  <c r="L16" i="11"/>
  <c r="J16" i="11"/>
  <c r="H16" i="11"/>
  <c r="J12" i="11"/>
  <c r="D44" i="11" s="1"/>
  <c r="H12" i="11"/>
  <c r="J11" i="11"/>
  <c r="H11" i="11" s="1"/>
  <c r="P10" i="11"/>
  <c r="P9" i="11"/>
  <c r="J27" i="11" s="1"/>
  <c r="L27" i="11" s="1"/>
  <c r="D54" i="11" s="1"/>
  <c r="D118" i="1" s="1"/>
  <c r="P8" i="11"/>
  <c r="P7" i="11"/>
  <c r="J7" i="11"/>
  <c r="H7" i="11"/>
  <c r="P6" i="11"/>
  <c r="J6" i="11"/>
  <c r="H6" i="11"/>
  <c r="J5" i="11"/>
  <c r="H5" i="11"/>
  <c r="H120" i="10"/>
  <c r="H119" i="10"/>
  <c r="H117" i="10"/>
  <c r="H114" i="10"/>
  <c r="H113" i="10"/>
  <c r="H112" i="10"/>
  <c r="H110" i="10"/>
  <c r="H104" i="10"/>
  <c r="H100" i="10"/>
  <c r="F91" i="10"/>
  <c r="F90" i="10"/>
  <c r="F89" i="10"/>
  <c r="F88" i="10"/>
  <c r="F87" i="10"/>
  <c r="F86" i="10"/>
  <c r="F85" i="10"/>
  <c r="F84" i="10"/>
  <c r="F83" i="10"/>
  <c r="F82" i="10"/>
  <c r="F81" i="10"/>
  <c r="F80" i="10"/>
  <c r="F79" i="10"/>
  <c r="F78" i="10"/>
  <c r="F77" i="10"/>
  <c r="F76" i="10"/>
  <c r="F75" i="10"/>
  <c r="F74" i="10"/>
  <c r="F73" i="10"/>
  <c r="F72" i="10"/>
  <c r="F71" i="10"/>
  <c r="F70" i="10"/>
  <c r="F69" i="10"/>
  <c r="F60" i="10"/>
  <c r="F59" i="10"/>
  <c r="F58" i="10"/>
  <c r="F57" i="10"/>
  <c r="F56" i="10"/>
  <c r="F55" i="10"/>
  <c r="F54" i="10"/>
  <c r="F53" i="10"/>
  <c r="F52" i="10"/>
  <c r="F51" i="10"/>
  <c r="F50" i="10"/>
  <c r="F49" i="10"/>
  <c r="F48" i="10"/>
  <c r="F47" i="10"/>
  <c r="F46" i="10"/>
  <c r="F45" i="10"/>
  <c r="F44" i="10"/>
  <c r="F43" i="10"/>
  <c r="F42" i="10"/>
  <c r="F41" i="10"/>
  <c r="F40" i="10"/>
  <c r="F39" i="10"/>
  <c r="F38" i="10"/>
  <c r="F29" i="10"/>
  <c r="I29" i="10" s="1"/>
  <c r="J29" i="10" s="1"/>
  <c r="F28" i="10"/>
  <c r="I28" i="10" s="1"/>
  <c r="J28" i="10" s="1"/>
  <c r="I27" i="10"/>
  <c r="J27" i="10" s="1"/>
  <c r="F27" i="10"/>
  <c r="I26" i="10"/>
  <c r="J26" i="10" s="1"/>
  <c r="F26" i="10"/>
  <c r="I25" i="10"/>
  <c r="J25" i="10" s="1"/>
  <c r="F25" i="10"/>
  <c r="F24" i="10"/>
  <c r="I24" i="10" s="1"/>
  <c r="J24" i="10" s="1"/>
  <c r="J23" i="10"/>
  <c r="I23" i="10"/>
  <c r="F23" i="10"/>
  <c r="F22" i="10"/>
  <c r="I22" i="10" s="1"/>
  <c r="J22" i="10" s="1"/>
  <c r="F21" i="10"/>
  <c r="I21" i="10" s="1"/>
  <c r="J21" i="10" s="1"/>
  <c r="F20" i="10"/>
  <c r="I20" i="10" s="1"/>
  <c r="J20" i="10" s="1"/>
  <c r="I19" i="10"/>
  <c r="J19" i="10" s="1"/>
  <c r="F19" i="10"/>
  <c r="I18" i="10"/>
  <c r="J18" i="10" s="1"/>
  <c r="F18" i="10"/>
  <c r="I17" i="10"/>
  <c r="J17" i="10" s="1"/>
  <c r="F17" i="10"/>
  <c r="J16" i="10"/>
  <c r="F16" i="10"/>
  <c r="I16" i="10" s="1"/>
  <c r="J15" i="10"/>
  <c r="I15" i="10"/>
  <c r="F15" i="10"/>
  <c r="J14" i="10"/>
  <c r="F14" i="10"/>
  <c r="I14" i="10" s="1"/>
  <c r="F13" i="10"/>
  <c r="I13" i="10" s="1"/>
  <c r="J13" i="10" s="1"/>
  <c r="F12" i="10"/>
  <c r="I12" i="10" s="1"/>
  <c r="J12" i="10" s="1"/>
  <c r="M11" i="10"/>
  <c r="J11" i="10"/>
  <c r="F11" i="10"/>
  <c r="I11" i="10" s="1"/>
  <c r="M10" i="10"/>
  <c r="F10" i="10"/>
  <c r="I10" i="10" s="1"/>
  <c r="J10" i="10" s="1"/>
  <c r="M9" i="10"/>
  <c r="G109" i="10" s="1"/>
  <c r="F9" i="10"/>
  <c r="I9" i="10" s="1"/>
  <c r="J9" i="10" s="1"/>
  <c r="M8" i="10"/>
  <c r="F108" i="10" s="1"/>
  <c r="F8" i="10"/>
  <c r="I8" i="10" s="1"/>
  <c r="M7" i="10"/>
  <c r="E44" i="9"/>
  <c r="E43" i="9"/>
  <c r="E42" i="9"/>
  <c r="E41" i="9"/>
  <c r="E40" i="9"/>
  <c r="E39" i="9"/>
  <c r="E38" i="9"/>
  <c r="E37" i="9"/>
  <c r="E29" i="9"/>
  <c r="E28" i="9"/>
  <c r="E27" i="9"/>
  <c r="E26" i="9"/>
  <c r="E25" i="9"/>
  <c r="E24" i="9"/>
  <c r="E23" i="9"/>
  <c r="E22" i="9"/>
  <c r="G14" i="9"/>
  <c r="D60" i="9" s="1"/>
  <c r="F14" i="9"/>
  <c r="F13" i="9"/>
  <c r="G13" i="9" s="1"/>
  <c r="D59" i="9" s="1"/>
  <c r="F12" i="9"/>
  <c r="G12" i="9" s="1"/>
  <c r="D58" i="9" s="1"/>
  <c r="J11" i="9"/>
  <c r="F11" i="9"/>
  <c r="G11" i="9" s="1"/>
  <c r="D57" i="9" s="1"/>
  <c r="J10" i="9"/>
  <c r="F10" i="9"/>
  <c r="G10" i="9" s="1"/>
  <c r="D56" i="9" s="1"/>
  <c r="J9" i="9"/>
  <c r="F26" i="9" s="1"/>
  <c r="G26" i="9" s="1"/>
  <c r="F58" i="9" s="1"/>
  <c r="G9" i="9"/>
  <c r="D55" i="9" s="1"/>
  <c r="F9" i="9"/>
  <c r="J8" i="9"/>
  <c r="F38" i="9" s="1"/>
  <c r="G38" i="9" s="1"/>
  <c r="E55" i="9" s="1"/>
  <c r="G8" i="9"/>
  <c r="F8" i="9"/>
  <c r="J7" i="9"/>
  <c r="E36" i="8"/>
  <c r="E35" i="8"/>
  <c r="E34" i="8"/>
  <c r="E33" i="8"/>
  <c r="E32" i="8"/>
  <c r="E31" i="8"/>
  <c r="E23" i="8"/>
  <c r="E22" i="8"/>
  <c r="E21" i="8"/>
  <c r="E20" i="8"/>
  <c r="E19" i="8"/>
  <c r="E18" i="8"/>
  <c r="J11" i="8"/>
  <c r="G11" i="8"/>
  <c r="C50" i="8" s="1"/>
  <c r="F11" i="8"/>
  <c r="J10" i="8"/>
  <c r="F10" i="8"/>
  <c r="G10" i="8" s="1"/>
  <c r="C49" i="8" s="1"/>
  <c r="J9" i="8"/>
  <c r="F22" i="8" s="1"/>
  <c r="F9" i="8"/>
  <c r="G9" i="8" s="1"/>
  <c r="C48" i="8" s="1"/>
  <c r="J8" i="8"/>
  <c r="F36" i="8" s="1"/>
  <c r="F8" i="8"/>
  <c r="G8" i="8" s="1"/>
  <c r="C47" i="8" s="1"/>
  <c r="J7" i="8"/>
  <c r="F7" i="8"/>
  <c r="G7" i="8" s="1"/>
  <c r="AA107" i="7"/>
  <c r="T107" i="7"/>
  <c r="E107" i="7"/>
  <c r="K107" i="7" s="1"/>
  <c r="M107" i="7" s="1"/>
  <c r="O107" i="7" s="1"/>
  <c r="AA106" i="7"/>
  <c r="T106" i="7"/>
  <c r="E106" i="7"/>
  <c r="K106" i="7" s="1"/>
  <c r="M106" i="7" s="1"/>
  <c r="O106" i="7" s="1"/>
  <c r="O108" i="7" s="1"/>
  <c r="I92" i="7"/>
  <c r="K92" i="7" s="1"/>
  <c r="M92" i="7" s="1"/>
  <c r="I91" i="7"/>
  <c r="K91" i="7" s="1"/>
  <c r="M91" i="7" s="1"/>
  <c r="I90" i="7"/>
  <c r="K90" i="7" s="1"/>
  <c r="Q82" i="7"/>
  <c r="S82" i="7" s="1"/>
  <c r="C82" i="7"/>
  <c r="I82" i="7" s="1"/>
  <c r="O82" i="7" s="1"/>
  <c r="K73" i="7"/>
  <c r="M73" i="7" s="1"/>
  <c r="O73" i="7" s="1"/>
  <c r="K72" i="7"/>
  <c r="M72" i="7" s="1"/>
  <c r="O72" i="7" s="1"/>
  <c r="E72" i="7"/>
  <c r="M71" i="7"/>
  <c r="O71" i="7" s="1"/>
  <c r="E71" i="7"/>
  <c r="K71" i="7" s="1"/>
  <c r="T70" i="7"/>
  <c r="K70" i="7"/>
  <c r="M70" i="7" s="1"/>
  <c r="O70" i="7" s="1"/>
  <c r="C70" i="7"/>
  <c r="E70" i="7" s="1"/>
  <c r="M69" i="7"/>
  <c r="O69" i="7" s="1"/>
  <c r="E69" i="7"/>
  <c r="K69" i="7" s="1"/>
  <c r="C69" i="7"/>
  <c r="T69" i="7" s="1"/>
  <c r="T68" i="7"/>
  <c r="K68" i="7"/>
  <c r="M68" i="7" s="1"/>
  <c r="O68" i="7" s="1"/>
  <c r="C68" i="7"/>
  <c r="E68" i="7" s="1"/>
  <c r="M67" i="7"/>
  <c r="O67" i="7" s="1"/>
  <c r="E67" i="7"/>
  <c r="K67" i="7" s="1"/>
  <c r="C67" i="7"/>
  <c r="T67" i="7" s="1"/>
  <c r="T66" i="7"/>
  <c r="C66" i="7"/>
  <c r="C75" i="7" s="1"/>
  <c r="O65" i="7"/>
  <c r="K65" i="7"/>
  <c r="M65" i="7" s="1"/>
  <c r="E65" i="7"/>
  <c r="O64" i="7"/>
  <c r="K64" i="7"/>
  <c r="M64" i="7" s="1"/>
  <c r="E63" i="7"/>
  <c r="C63" i="7"/>
  <c r="T62" i="7"/>
  <c r="C62" i="7"/>
  <c r="C61" i="7"/>
  <c r="E61" i="7" s="1"/>
  <c r="K61" i="7" s="1"/>
  <c r="M61" i="7" s="1"/>
  <c r="O61" i="7" s="1"/>
  <c r="M60" i="7"/>
  <c r="O60" i="7" s="1"/>
  <c r="E60" i="7"/>
  <c r="K60" i="7" s="1"/>
  <c r="C60" i="7"/>
  <c r="AA60" i="7" s="1"/>
  <c r="C59" i="7"/>
  <c r="E59" i="7" s="1"/>
  <c r="K59" i="7" s="1"/>
  <c r="M59" i="7" s="1"/>
  <c r="O59" i="7" s="1"/>
  <c r="M58" i="7"/>
  <c r="O58" i="7" s="1"/>
  <c r="E58" i="7"/>
  <c r="K58" i="7" s="1"/>
  <c r="C58" i="7"/>
  <c r="AA58" i="7" s="1"/>
  <c r="AA57" i="7"/>
  <c r="T57" i="7"/>
  <c r="K57" i="7"/>
  <c r="M57" i="7" s="1"/>
  <c r="O57" i="7" s="1"/>
  <c r="E57" i="7"/>
  <c r="C57" i="7"/>
  <c r="I45" i="7"/>
  <c r="I44" i="7"/>
  <c r="I42" i="7"/>
  <c r="I37" i="7"/>
  <c r="K36" i="7" s="1"/>
  <c r="M36" i="7"/>
  <c r="M35" i="7"/>
  <c r="M34" i="7"/>
  <c r="M33" i="7"/>
  <c r="M39" i="7" s="1"/>
  <c r="M32" i="7"/>
  <c r="K32" i="7"/>
  <c r="I28" i="7"/>
  <c r="K26" i="7"/>
  <c r="I26" i="7"/>
  <c r="K25" i="7"/>
  <c r="K24" i="7"/>
  <c r="M23" i="7"/>
  <c r="K23" i="7"/>
  <c r="M22" i="7"/>
  <c r="K22" i="7"/>
  <c r="M21" i="7"/>
  <c r="K21" i="7"/>
  <c r="M20" i="7"/>
  <c r="M26" i="7" s="1"/>
  <c r="K20" i="7"/>
  <c r="M19" i="7"/>
  <c r="K19" i="7"/>
  <c r="E14" i="7"/>
  <c r="C71" i="7" s="1"/>
  <c r="E13" i="7"/>
  <c r="C72" i="7" s="1"/>
  <c r="P12" i="7"/>
  <c r="E12" i="7"/>
  <c r="P11" i="7"/>
  <c r="G11" i="7"/>
  <c r="E11" i="7"/>
  <c r="C11" i="7"/>
  <c r="P10" i="7"/>
  <c r="V107" i="7" s="1"/>
  <c r="X107" i="7" s="1"/>
  <c r="D52" i="1" s="1"/>
  <c r="E10" i="7"/>
  <c r="P9" i="7"/>
  <c r="AC106" i="7" s="1"/>
  <c r="AE106" i="7" s="1"/>
  <c r="E9" i="7"/>
  <c r="C65" i="7" s="1"/>
  <c r="P8" i="7"/>
  <c r="E8" i="7"/>
  <c r="E6" i="7"/>
  <c r="E5" i="7"/>
  <c r="N86" i="6"/>
  <c r="F86" i="6"/>
  <c r="K72" i="6"/>
  <c r="I72" i="6"/>
  <c r="D72" i="6"/>
  <c r="C72" i="6"/>
  <c r="C76" i="6" s="1"/>
  <c r="C78" i="6" s="1"/>
  <c r="N70" i="6"/>
  <c r="I64" i="6"/>
  <c r="S59" i="6"/>
  <c r="S86" i="6" s="1"/>
  <c r="R59" i="6"/>
  <c r="R86" i="6" s="1"/>
  <c r="P59" i="6"/>
  <c r="P86" i="6" s="1"/>
  <c r="N59" i="6"/>
  <c r="K59" i="6"/>
  <c r="K86" i="6" s="1"/>
  <c r="J59" i="6"/>
  <c r="J86" i="6" s="1"/>
  <c r="H59" i="6"/>
  <c r="H86" i="6" s="1"/>
  <c r="F59" i="6"/>
  <c r="C59" i="6"/>
  <c r="C86" i="6" s="1"/>
  <c r="W52" i="6"/>
  <c r="W59" i="6" s="1"/>
  <c r="U52" i="6"/>
  <c r="T52" i="6"/>
  <c r="T59" i="6" s="1"/>
  <c r="T86" i="6" s="1"/>
  <c r="S52" i="6"/>
  <c r="R52" i="6"/>
  <c r="Q52" i="6"/>
  <c r="Q59" i="6" s="1"/>
  <c r="Q86" i="6" s="1"/>
  <c r="P52" i="6"/>
  <c r="O52" i="6"/>
  <c r="O59" i="6" s="1"/>
  <c r="O86" i="6" s="1"/>
  <c r="N52" i="6"/>
  <c r="M52" i="6"/>
  <c r="M59" i="6" s="1"/>
  <c r="M86" i="6" s="1"/>
  <c r="L52" i="6"/>
  <c r="L59" i="6" s="1"/>
  <c r="L86" i="6" s="1"/>
  <c r="K52" i="6"/>
  <c r="J52" i="6"/>
  <c r="I52" i="6"/>
  <c r="I59" i="6" s="1"/>
  <c r="I86" i="6" s="1"/>
  <c r="H52" i="6"/>
  <c r="G52" i="6"/>
  <c r="G59" i="6" s="1"/>
  <c r="G86" i="6" s="1"/>
  <c r="F52" i="6"/>
  <c r="E52" i="6"/>
  <c r="E59" i="6" s="1"/>
  <c r="E86" i="6" s="1"/>
  <c r="D52" i="6"/>
  <c r="D59" i="6" s="1"/>
  <c r="D86" i="6" s="1"/>
  <c r="C52" i="6"/>
  <c r="V51" i="6"/>
  <c r="V52" i="6" s="1"/>
  <c r="V59" i="6" s="1"/>
  <c r="V86" i="6" s="1"/>
  <c r="U51" i="6"/>
  <c r="V40" i="6"/>
  <c r="R40" i="6"/>
  <c r="O40" i="6"/>
  <c r="N40" i="6"/>
  <c r="J40" i="6"/>
  <c r="G40" i="6"/>
  <c r="F40" i="6"/>
  <c r="V33" i="6"/>
  <c r="T33" i="6"/>
  <c r="T40" i="6" s="1"/>
  <c r="S33" i="6"/>
  <c r="S40" i="6" s="1"/>
  <c r="R33" i="6"/>
  <c r="Q33" i="6"/>
  <c r="Q40" i="6" s="1"/>
  <c r="P33" i="6"/>
  <c r="P40" i="6" s="1"/>
  <c r="O33" i="6"/>
  <c r="N33" i="6"/>
  <c r="M33" i="6"/>
  <c r="M40" i="6" s="1"/>
  <c r="L33" i="6"/>
  <c r="L40" i="6" s="1"/>
  <c r="K33" i="6"/>
  <c r="K40" i="6" s="1"/>
  <c r="J33" i="6"/>
  <c r="I33" i="6"/>
  <c r="I40" i="6" s="1"/>
  <c r="H33" i="6"/>
  <c r="H40" i="6" s="1"/>
  <c r="G33" i="6"/>
  <c r="F33" i="6"/>
  <c r="E33" i="6"/>
  <c r="E40" i="6" s="1"/>
  <c r="D33" i="6"/>
  <c r="D40" i="6" s="1"/>
  <c r="C33" i="6"/>
  <c r="C40" i="6" s="1"/>
  <c r="W28" i="6"/>
  <c r="W33" i="6" s="1"/>
  <c r="W40" i="6" s="1"/>
  <c r="U28" i="6"/>
  <c r="J289" i="5"/>
  <c r="J286" i="5"/>
  <c r="J283" i="5"/>
  <c r="J282" i="5"/>
  <c r="J281" i="5"/>
  <c r="J280" i="5"/>
  <c r="J279" i="5"/>
  <c r="J278" i="5"/>
  <c r="J277" i="5"/>
  <c r="J273" i="5"/>
  <c r="J272" i="5"/>
  <c r="J271" i="5"/>
  <c r="J270" i="5"/>
  <c r="J266" i="5"/>
  <c r="J265" i="5"/>
  <c r="J264" i="5"/>
  <c r="J263" i="5"/>
  <c r="J257" i="5"/>
  <c r="J256" i="5"/>
  <c r="J253" i="5"/>
  <c r="J252" i="5"/>
  <c r="J249" i="5"/>
  <c r="J248" i="5"/>
  <c r="J247" i="5"/>
  <c r="L246" i="5" s="1"/>
  <c r="M246" i="5"/>
  <c r="J246" i="5"/>
  <c r="J245" i="5"/>
  <c r="J243" i="5"/>
  <c r="J242" i="5"/>
  <c r="J241" i="5"/>
  <c r="J240" i="5"/>
  <c r="J236" i="5"/>
  <c r="J235" i="5"/>
  <c r="J234" i="5"/>
  <c r="J233" i="5"/>
  <c r="J232" i="5"/>
  <c r="J231" i="5"/>
  <c r="J230" i="5"/>
  <c r="J229" i="5"/>
  <c r="J228" i="5"/>
  <c r="J227" i="5"/>
  <c r="F223" i="5"/>
  <c r="F222" i="5"/>
  <c r="F221" i="5"/>
  <c r="F220" i="5"/>
  <c r="F219" i="5"/>
  <c r="J215" i="5"/>
  <c r="J214" i="5"/>
  <c r="J213" i="5"/>
  <c r="J212" i="5"/>
  <c r="J208" i="5"/>
  <c r="J207" i="5"/>
  <c r="J206" i="5"/>
  <c r="J205" i="5"/>
  <c r="J204" i="5"/>
  <c r="J203" i="5"/>
  <c r="J202" i="5"/>
  <c r="J201" i="5"/>
  <c r="J196" i="5"/>
  <c r="J195" i="5"/>
  <c r="J193" i="5"/>
  <c r="L192" i="5" s="1"/>
  <c r="J192" i="5"/>
  <c r="J191" i="5"/>
  <c r="J187" i="5"/>
  <c r="J186" i="5"/>
  <c r="J185" i="5"/>
  <c r="J184" i="5"/>
  <c r="J183" i="5"/>
  <c r="J182" i="5"/>
  <c r="J181" i="5"/>
  <c r="J180" i="5"/>
  <c r="M177" i="5"/>
  <c r="J177" i="5"/>
  <c r="L177" i="5" s="1"/>
  <c r="L176" i="5"/>
  <c r="K176" i="5"/>
  <c r="J176" i="5"/>
  <c r="J178" i="5" s="1"/>
  <c r="J173" i="5"/>
  <c r="J172" i="5"/>
  <c r="J167" i="5"/>
  <c r="J166" i="5"/>
  <c r="J163" i="5"/>
  <c r="J162" i="5"/>
  <c r="J157" i="5"/>
  <c r="J154" i="5"/>
  <c r="J153" i="5"/>
  <c r="J150" i="5"/>
  <c r="J149" i="5"/>
  <c r="J146" i="5"/>
  <c r="J145" i="5"/>
  <c r="J141" i="5"/>
  <c r="J137" i="5"/>
  <c r="J135" i="5"/>
  <c r="J132" i="5"/>
  <c r="J131" i="5"/>
  <c r="J128" i="5"/>
  <c r="J126" i="5"/>
  <c r="J124" i="5"/>
  <c r="J122" i="5"/>
  <c r="J118" i="5"/>
  <c r="J117" i="5"/>
  <c r="J115" i="5"/>
  <c r="J114" i="5"/>
  <c r="L115" i="5" s="1"/>
  <c r="J111" i="5"/>
  <c r="J109" i="5"/>
  <c r="J107" i="5"/>
  <c r="J105" i="5"/>
  <c r="L102" i="5"/>
  <c r="K102" i="5"/>
  <c r="J102" i="5"/>
  <c r="L101" i="5" s="1"/>
  <c r="M101" i="5"/>
  <c r="K101" i="5"/>
  <c r="J101" i="5"/>
  <c r="J103" i="5" s="1"/>
  <c r="J98" i="5"/>
  <c r="M95" i="5"/>
  <c r="J95" i="5"/>
  <c r="J94" i="5"/>
  <c r="M94" i="5" s="1"/>
  <c r="M92" i="5"/>
  <c r="J92" i="5"/>
  <c r="J91" i="5"/>
  <c r="M89" i="5"/>
  <c r="J89" i="5"/>
  <c r="J88" i="5"/>
  <c r="M88" i="5" s="1"/>
  <c r="J86" i="5"/>
  <c r="J82" i="5"/>
  <c r="K81" i="5"/>
  <c r="J81" i="5"/>
  <c r="J77" i="5"/>
  <c r="J76" i="5"/>
  <c r="J75" i="5"/>
  <c r="J72" i="5"/>
  <c r="M71" i="5"/>
  <c r="K71" i="5"/>
  <c r="J71" i="5"/>
  <c r="L71" i="5" s="1"/>
  <c r="J69" i="5"/>
  <c r="M68" i="5"/>
  <c r="K68" i="5"/>
  <c r="J68" i="5"/>
  <c r="L68" i="5" s="1"/>
  <c r="J66" i="5"/>
  <c r="M65" i="5"/>
  <c r="K65" i="5"/>
  <c r="J65" i="5"/>
  <c r="L65" i="5" s="1"/>
  <c r="J63" i="5"/>
  <c r="M62" i="5"/>
  <c r="K62" i="5"/>
  <c r="J62" i="5"/>
  <c r="L62" i="5" s="1"/>
  <c r="J58" i="5"/>
  <c r="J55" i="5"/>
  <c r="J54" i="5"/>
  <c r="J53" i="5"/>
  <c r="L50" i="5"/>
  <c r="J50" i="5"/>
  <c r="J49" i="5"/>
  <c r="M48" i="5" s="1"/>
  <c r="K48" i="5"/>
  <c r="J48" i="5"/>
  <c r="J45" i="5"/>
  <c r="M44" i="5"/>
  <c r="K44" i="5"/>
  <c r="J44" i="5"/>
  <c r="J43" i="5"/>
  <c r="K41" i="5"/>
  <c r="J41" i="5"/>
  <c r="J40" i="5"/>
  <c r="M39" i="5"/>
  <c r="K39" i="5"/>
  <c r="J39" i="5"/>
  <c r="J35" i="5"/>
  <c r="J33" i="5"/>
  <c r="J31" i="5"/>
  <c r="J28" i="5"/>
  <c r="K28" i="5" s="1"/>
  <c r="J27" i="5"/>
  <c r="M27" i="5" s="1"/>
  <c r="L25" i="5"/>
  <c r="J25" i="5"/>
  <c r="K25" i="5" s="1"/>
  <c r="J24" i="5"/>
  <c r="M24" i="5" s="1"/>
  <c r="J20" i="5"/>
  <c r="K20" i="5" s="1"/>
  <c r="J19" i="5"/>
  <c r="M19" i="5" s="1"/>
  <c r="L17" i="5"/>
  <c r="J17" i="5"/>
  <c r="K17" i="5" s="1"/>
  <c r="J16" i="5"/>
  <c r="M16" i="5" s="1"/>
  <c r="J11" i="5"/>
  <c r="J10" i="5"/>
  <c r="M8" i="5"/>
  <c r="J8" i="5"/>
  <c r="J9" i="5" s="1"/>
  <c r="M7" i="5"/>
  <c r="L7" i="5"/>
  <c r="K7" i="5"/>
  <c r="J428" i="4"/>
  <c r="J427" i="4"/>
  <c r="J426" i="4"/>
  <c r="F436" i="4" s="1"/>
  <c r="J425" i="4"/>
  <c r="F426" i="4" s="1"/>
  <c r="J424" i="4"/>
  <c r="M390" i="4"/>
  <c r="L390" i="4"/>
  <c r="K390" i="4"/>
  <c r="M388" i="4"/>
  <c r="L388" i="4"/>
  <c r="K388" i="4"/>
  <c r="M284" i="4"/>
  <c r="L284" i="4"/>
  <c r="K284" i="4"/>
  <c r="J284" i="4"/>
  <c r="F280" i="4"/>
  <c r="J222" i="4"/>
  <c r="F188" i="4"/>
  <c r="F186" i="4"/>
  <c r="F243" i="4" s="1"/>
  <c r="J62" i="4"/>
  <c r="F55" i="4"/>
  <c r="D65" i="3"/>
  <c r="J39" i="3"/>
  <c r="J38" i="3"/>
  <c r="J37" i="3"/>
  <c r="J36" i="3"/>
  <c r="J35" i="3"/>
  <c r="K28" i="3"/>
  <c r="K27" i="3"/>
  <c r="K26" i="3"/>
  <c r="K24" i="3"/>
  <c r="K23" i="3"/>
  <c r="K22" i="3"/>
  <c r="K20" i="3"/>
  <c r="K19" i="3"/>
  <c r="K18" i="3"/>
  <c r="H16" i="3"/>
  <c r="G16" i="3"/>
  <c r="F16" i="3"/>
  <c r="J280" i="4" s="1"/>
  <c r="J287" i="4" s="1"/>
  <c r="E16" i="3"/>
  <c r="D16" i="3"/>
  <c r="F87" i="2"/>
  <c r="E87" i="2" s="1"/>
  <c r="F85" i="2"/>
  <c r="E85" i="2"/>
  <c r="G83" i="2"/>
  <c r="F83" i="2"/>
  <c r="E83" i="2"/>
  <c r="E89" i="2" s="1"/>
  <c r="F89" i="2" s="1"/>
  <c r="F74" i="2"/>
  <c r="G74" i="2" s="1"/>
  <c r="F72" i="2"/>
  <c r="E72" i="2" s="1"/>
  <c r="G70" i="2"/>
  <c r="F70" i="2"/>
  <c r="E70" i="2"/>
  <c r="D62" i="2"/>
  <c r="F60" i="2"/>
  <c r="G60" i="2" s="1"/>
  <c r="D60" i="2"/>
  <c r="J59" i="2"/>
  <c r="J58" i="2"/>
  <c r="F58" i="2"/>
  <c r="E58" i="2" s="1"/>
  <c r="D58" i="2"/>
  <c r="J57" i="2"/>
  <c r="G87" i="2" s="1"/>
  <c r="J56" i="2"/>
  <c r="G56" i="2"/>
  <c r="F56" i="2"/>
  <c r="F62" i="2" s="1"/>
  <c r="G62" i="2" s="1"/>
  <c r="E56" i="2"/>
  <c r="D56" i="2"/>
  <c r="J55" i="2"/>
  <c r="G48" i="2"/>
  <c r="F388" i="4" s="1"/>
  <c r="F48" i="2"/>
  <c r="F390" i="4" s="1"/>
  <c r="E48" i="2"/>
  <c r="F284" i="4" s="1"/>
  <c r="F287" i="4" s="1"/>
  <c r="H43" i="2"/>
  <c r="I43" i="2" s="1"/>
  <c r="H42" i="2"/>
  <c r="I42" i="2" s="1"/>
  <c r="H41" i="2"/>
  <c r="I41" i="2" s="1"/>
  <c r="H39" i="2"/>
  <c r="H33" i="2"/>
  <c r="I33" i="2" s="1"/>
  <c r="H32" i="2"/>
  <c r="I32" i="2" s="1"/>
  <c r="I31" i="2"/>
  <c r="H31" i="2"/>
  <c r="H29" i="2"/>
  <c r="H23" i="2"/>
  <c r="I23" i="2" s="1"/>
  <c r="H22" i="2"/>
  <c r="I22" i="2" s="1"/>
  <c r="H21" i="2"/>
  <c r="I21" i="2" s="1"/>
  <c r="H19" i="2"/>
  <c r="I13" i="2"/>
  <c r="H13" i="2"/>
  <c r="H12" i="2"/>
  <c r="I12" i="2" s="1"/>
  <c r="H11" i="2"/>
  <c r="I11" i="2" s="1"/>
  <c r="H9" i="2"/>
  <c r="C190" i="1"/>
  <c r="C189" i="1"/>
  <c r="C188" i="1"/>
  <c r="C187" i="1"/>
  <c r="D182" i="1"/>
  <c r="D174" i="1"/>
  <c r="D172" i="1"/>
  <c r="D166" i="1"/>
  <c r="D165" i="1"/>
  <c r="D154" i="1"/>
  <c r="D149" i="1"/>
  <c r="D148" i="1" s="1"/>
  <c r="D127" i="1"/>
  <c r="D124" i="1"/>
  <c r="D123" i="1" s="1"/>
  <c r="D119" i="1"/>
  <c r="D114" i="1"/>
  <c r="D111" i="1"/>
  <c r="D108" i="1"/>
  <c r="D107" i="1" s="1"/>
  <c r="D104" i="1"/>
  <c r="D103" i="1"/>
  <c r="D100" i="1"/>
  <c r="D99" i="1"/>
  <c r="D96" i="1"/>
  <c r="D95" i="1"/>
  <c r="D86" i="1"/>
  <c r="D83" i="1"/>
  <c r="D74" i="1"/>
  <c r="D73" i="1" s="1"/>
  <c r="D66" i="1"/>
  <c r="D59" i="1"/>
  <c r="D58" i="1"/>
  <c r="D50" i="1"/>
  <c r="D45" i="1"/>
  <c r="D41" i="1"/>
  <c r="D37" i="1"/>
  <c r="F425" i="4" l="1"/>
  <c r="L15" i="19"/>
  <c r="D115" i="1"/>
  <c r="D94" i="1" s="1"/>
  <c r="O59" i="22"/>
  <c r="W68" i="15"/>
  <c r="F424" i="4"/>
  <c r="W43" i="15"/>
  <c r="J59" i="22"/>
  <c r="D60" i="22"/>
  <c r="U59" i="22"/>
  <c r="I60" i="22"/>
  <c r="O60" i="22"/>
  <c r="W12" i="15"/>
  <c r="W41" i="15"/>
  <c r="W65" i="15"/>
  <c r="W72" i="15"/>
  <c r="M58" i="22"/>
  <c r="W45" i="15"/>
  <c r="W66" i="15"/>
  <c r="W71" i="15"/>
  <c r="AC29" i="16"/>
  <c r="D155" i="1" s="1"/>
  <c r="W21" i="15"/>
  <c r="K58" i="22"/>
  <c r="W40" i="15"/>
  <c r="F50" i="18"/>
  <c r="X58" i="22"/>
  <c r="W70" i="15"/>
  <c r="Y58" i="22"/>
  <c r="D176" i="1" s="1"/>
  <c r="W47" i="15"/>
  <c r="W29" i="15"/>
  <c r="G59" i="22"/>
  <c r="W59" i="22"/>
  <c r="Q60" i="22"/>
  <c r="T60" i="22"/>
  <c r="K59" i="22"/>
  <c r="E60" i="22"/>
  <c r="U60" i="22"/>
  <c r="M59" i="22"/>
  <c r="G60" i="22"/>
  <c r="W60" i="22"/>
  <c r="Y60" i="22"/>
  <c r="D173" i="1" s="1"/>
  <c r="R59" i="22"/>
  <c r="L60" i="22"/>
  <c r="M60" i="22"/>
  <c r="AA215" i="21"/>
  <c r="AC215" i="21" s="1"/>
  <c r="AA214" i="21"/>
  <c r="AC214" i="21" s="1"/>
  <c r="U124" i="21"/>
  <c r="Q75" i="21"/>
  <c r="S75" i="21" s="1"/>
  <c r="U75" i="21" s="1"/>
  <c r="Q85" i="21"/>
  <c r="S85" i="21" s="1"/>
  <c r="U85" i="21" s="1"/>
  <c r="AA216" i="21"/>
  <c r="AC216" i="21" s="1"/>
  <c r="AC97" i="21"/>
  <c r="Q189" i="21"/>
  <c r="Q78" i="21"/>
  <c r="S78" i="21" s="1"/>
  <c r="U78" i="21" s="1"/>
  <c r="E246" i="21"/>
  <c r="AA219" i="21"/>
  <c r="AC219" i="21" s="1"/>
  <c r="I192" i="21"/>
  <c r="Q69" i="21"/>
  <c r="S69" i="21" s="1"/>
  <c r="U69" i="21" s="1"/>
  <c r="Q81" i="21"/>
  <c r="S81" i="21" s="1"/>
  <c r="U81" i="21" s="1"/>
  <c r="E245" i="21"/>
  <c r="AA220" i="21"/>
  <c r="AC220" i="21" s="1"/>
  <c r="I191" i="21"/>
  <c r="Q71" i="21"/>
  <c r="S71" i="21" s="1"/>
  <c r="U71" i="21" s="1"/>
  <c r="Q82" i="21"/>
  <c r="S82" i="21" s="1"/>
  <c r="U82" i="21" s="1"/>
  <c r="AC96" i="21"/>
  <c r="E244" i="21"/>
  <c r="AA221" i="21"/>
  <c r="AC221" i="21" s="1"/>
  <c r="I190" i="21"/>
  <c r="Q72" i="21"/>
  <c r="S72" i="21" s="1"/>
  <c r="U72" i="21" s="1"/>
  <c r="Q83" i="21"/>
  <c r="S83" i="21" s="1"/>
  <c r="U83" i="21" s="1"/>
  <c r="Q76" i="21"/>
  <c r="S76" i="21" s="1"/>
  <c r="U76" i="21" s="1"/>
  <c r="AA217" i="21"/>
  <c r="AC217" i="21" s="1"/>
  <c r="Q88" i="21"/>
  <c r="S88" i="21" s="1"/>
  <c r="U88" i="21" s="1"/>
  <c r="AA218" i="21"/>
  <c r="AC218" i="21" s="1"/>
  <c r="Q68" i="21"/>
  <c r="S68" i="21" s="1"/>
  <c r="U68" i="21" s="1"/>
  <c r="C233" i="21"/>
  <c r="AA222" i="21"/>
  <c r="AC222" i="21" s="1"/>
  <c r="I189" i="21"/>
  <c r="Q74" i="21"/>
  <c r="S74" i="21" s="1"/>
  <c r="U74" i="21" s="1"/>
  <c r="Q84" i="21"/>
  <c r="S84" i="21" s="1"/>
  <c r="U84" i="21" s="1"/>
  <c r="Q191" i="21"/>
  <c r="S124" i="21"/>
  <c r="Q87" i="21"/>
  <c r="S87" i="21" s="1"/>
  <c r="U87" i="21" s="1"/>
  <c r="Q190" i="21"/>
  <c r="Q77" i="21"/>
  <c r="S77" i="21" s="1"/>
  <c r="U77" i="21" s="1"/>
  <c r="E247" i="21"/>
  <c r="F438" i="4"/>
  <c r="E242" i="21"/>
  <c r="AA202" i="21"/>
  <c r="AC202" i="21" s="1"/>
  <c r="U40" i="21"/>
  <c r="W40" i="21" s="1"/>
  <c r="U51" i="21"/>
  <c r="W51" i="21" s="1"/>
  <c r="U60" i="21"/>
  <c r="W60" i="21" s="1"/>
  <c r="K14" i="21"/>
  <c r="M14" i="21" s="1"/>
  <c r="K23" i="21"/>
  <c r="M23" i="21" s="1"/>
  <c r="E241" i="21"/>
  <c r="AA203" i="21"/>
  <c r="U41" i="21"/>
  <c r="W41" i="21" s="1"/>
  <c r="U52" i="21"/>
  <c r="W52" i="21" s="1"/>
  <c r="U32" i="21"/>
  <c r="K15" i="21"/>
  <c r="M15" i="21" s="1"/>
  <c r="K24" i="21"/>
  <c r="M24" i="21" s="1"/>
  <c r="E240" i="21"/>
  <c r="AA204" i="21"/>
  <c r="AC204" i="21" s="1"/>
  <c r="U33" i="21"/>
  <c r="W33" i="21" s="1"/>
  <c r="U42" i="21"/>
  <c r="W42" i="21" s="1"/>
  <c r="U53" i="21"/>
  <c r="W53" i="21" s="1"/>
  <c r="K7" i="21"/>
  <c r="M7" i="21" s="1"/>
  <c r="K16" i="21"/>
  <c r="M16" i="21" s="1"/>
  <c r="K6" i="21"/>
  <c r="M6" i="21" s="1"/>
  <c r="U55" i="21"/>
  <c r="W55" i="21" s="1"/>
  <c r="K18" i="21"/>
  <c r="M18" i="21" s="1"/>
  <c r="AA207" i="21"/>
  <c r="AC207" i="21" s="1"/>
  <c r="U46" i="21"/>
  <c r="W46" i="21" s="1"/>
  <c r="K11" i="21"/>
  <c r="M11" i="21" s="1"/>
  <c r="E239" i="21"/>
  <c r="AA205" i="21"/>
  <c r="AC205" i="21" s="1"/>
  <c r="U35" i="21"/>
  <c r="W35" i="21" s="1"/>
  <c r="U44" i="21"/>
  <c r="W44" i="21" s="1"/>
  <c r="U54" i="21"/>
  <c r="W54" i="21" s="1"/>
  <c r="K8" i="21"/>
  <c r="K17" i="21"/>
  <c r="M17" i="21" s="1"/>
  <c r="AA206" i="21"/>
  <c r="AC206" i="21" s="1"/>
  <c r="U36" i="21"/>
  <c r="W36" i="21" s="1"/>
  <c r="U45" i="21"/>
  <c r="W45" i="21" s="1"/>
  <c r="K9" i="21"/>
  <c r="M9" i="21" s="1"/>
  <c r="U37" i="21"/>
  <c r="W37" i="21" s="1"/>
  <c r="U57" i="21"/>
  <c r="W57" i="21" s="1"/>
  <c r="K19" i="21"/>
  <c r="M19" i="21" s="1"/>
  <c r="AA200" i="21"/>
  <c r="AC200" i="21" s="1"/>
  <c r="AA199" i="21"/>
  <c r="U38" i="21"/>
  <c r="W38" i="21" s="1"/>
  <c r="U47" i="21"/>
  <c r="W47" i="21" s="1"/>
  <c r="U58" i="21"/>
  <c r="W58" i="21" s="1"/>
  <c r="K12" i="21"/>
  <c r="M12" i="21" s="1"/>
  <c r="K21" i="21"/>
  <c r="M21" i="21" s="1"/>
  <c r="E243" i="21"/>
  <c r="AA201" i="21"/>
  <c r="AC201" i="21" s="1"/>
  <c r="U39" i="21"/>
  <c r="W39" i="21" s="1"/>
  <c r="U48" i="21"/>
  <c r="W48" i="21" s="1"/>
  <c r="U59" i="21"/>
  <c r="W59" i="21" s="1"/>
  <c r="K13" i="21"/>
  <c r="M13" i="21" s="1"/>
  <c r="K22" i="21"/>
  <c r="M22" i="21" s="1"/>
  <c r="F27" i="18"/>
  <c r="F8" i="18"/>
  <c r="AC203" i="21"/>
  <c r="F9" i="18"/>
  <c r="E58" i="22"/>
  <c r="Q58" i="22"/>
  <c r="G85" i="2"/>
  <c r="V57" i="7"/>
  <c r="X57" i="7" s="1"/>
  <c r="G53" i="10"/>
  <c r="H53" i="10" s="1"/>
  <c r="L29" i="19"/>
  <c r="Q5" i="20"/>
  <c r="W5" i="20" s="1"/>
  <c r="Y5" i="20" s="1"/>
  <c r="C29" i="20" s="1"/>
  <c r="D163" i="1" s="1"/>
  <c r="G58" i="22"/>
  <c r="S58" i="22"/>
  <c r="L13" i="19"/>
  <c r="H58" i="22"/>
  <c r="U58" i="22"/>
  <c r="L27" i="19"/>
  <c r="C37" i="19" s="1"/>
  <c r="I58" i="22"/>
  <c r="W58" i="22"/>
  <c r="F42" i="9"/>
  <c r="G42" i="9" s="1"/>
  <c r="E59" i="9" s="1"/>
  <c r="L28" i="19"/>
  <c r="C48" i="19" s="1"/>
  <c r="O58" i="22"/>
  <c r="G89" i="2"/>
  <c r="G82" i="10"/>
  <c r="H82" i="10" s="1"/>
  <c r="P58" i="22"/>
  <c r="AC57" i="7"/>
  <c r="AE57" i="7" s="1"/>
  <c r="G43" i="10"/>
  <c r="H43" i="10" s="1"/>
  <c r="G60" i="10"/>
  <c r="H60" i="10" s="1"/>
  <c r="G90" i="10"/>
  <c r="H90" i="10" s="1"/>
  <c r="G111" i="10"/>
  <c r="G121" i="10"/>
  <c r="F28" i="18"/>
  <c r="F49" i="18"/>
  <c r="AC58" i="7"/>
  <c r="AE58" i="7" s="1"/>
  <c r="V68" i="7"/>
  <c r="X68" i="7" s="1"/>
  <c r="AC107" i="7"/>
  <c r="AE107" i="7" s="1"/>
  <c r="D51" i="1" s="1"/>
  <c r="G122" i="10"/>
  <c r="F25" i="18"/>
  <c r="V62" i="7"/>
  <c r="X62" i="7" s="1"/>
  <c r="V69" i="7"/>
  <c r="X69" i="7" s="1"/>
  <c r="F22" i="9"/>
  <c r="G22" i="9" s="1"/>
  <c r="F54" i="9" s="1"/>
  <c r="G44" i="10"/>
  <c r="H44" i="10" s="1"/>
  <c r="V66" i="7"/>
  <c r="X66" i="7" s="1"/>
  <c r="F28" i="9"/>
  <c r="G28" i="9" s="1"/>
  <c r="F60" i="9" s="1"/>
  <c r="F40" i="9"/>
  <c r="G40" i="9" s="1"/>
  <c r="E57" i="9" s="1"/>
  <c r="G51" i="10"/>
  <c r="H51" i="10" s="1"/>
  <c r="G101" i="10"/>
  <c r="F26" i="18"/>
  <c r="F31" i="18"/>
  <c r="AG16" i="20"/>
  <c r="V67" i="7"/>
  <c r="X67" i="7" s="1"/>
  <c r="V106" i="7"/>
  <c r="X106" i="7" s="1"/>
  <c r="D60" i="1" s="1"/>
  <c r="G45" i="10"/>
  <c r="AC60" i="7"/>
  <c r="AE60" i="7" s="1"/>
  <c r="F24" i="9"/>
  <c r="G24" i="9" s="1"/>
  <c r="F56" i="9" s="1"/>
  <c r="F29" i="9"/>
  <c r="G29" i="9" s="1"/>
  <c r="F61" i="9" s="1"/>
  <c r="F41" i="9"/>
  <c r="G41" i="9" s="1"/>
  <c r="E58" i="9" s="1"/>
  <c r="G58" i="9" s="1"/>
  <c r="G52" i="10"/>
  <c r="H52" i="10" s="1"/>
  <c r="G105" i="10"/>
  <c r="G118" i="10"/>
  <c r="AC35" i="16"/>
  <c r="D156" i="1" s="1"/>
  <c r="F32" i="18"/>
  <c r="G59" i="10"/>
  <c r="H59" i="10" s="1"/>
  <c r="F33" i="18"/>
  <c r="M10" i="20"/>
  <c r="AI16" i="20"/>
  <c r="F393" i="4"/>
  <c r="D62" i="1"/>
  <c r="D26" i="3"/>
  <c r="C426" i="4"/>
  <c r="C438" i="4" s="1"/>
  <c r="C452" i="4" s="1"/>
  <c r="G27" i="3"/>
  <c r="M253" i="5"/>
  <c r="G58" i="2"/>
  <c r="G72" i="2"/>
  <c r="I16" i="3"/>
  <c r="E27" i="3" s="1"/>
  <c r="G26" i="3"/>
  <c r="D36" i="3"/>
  <c r="D52" i="3"/>
  <c r="M53" i="5"/>
  <c r="L53" i="5"/>
  <c r="K114" i="5"/>
  <c r="K195" i="5"/>
  <c r="AA61" i="7"/>
  <c r="AC61" i="7" s="1"/>
  <c r="AE61" i="7" s="1"/>
  <c r="D67" i="1" s="1"/>
  <c r="H22" i="3"/>
  <c r="E74" i="2"/>
  <c r="E76" i="2" s="1"/>
  <c r="F76" i="2" s="1"/>
  <c r="G76" i="2" s="1"/>
  <c r="F19" i="3"/>
  <c r="H20" i="3"/>
  <c r="D23" i="3"/>
  <c r="H26" i="3"/>
  <c r="D28" i="3"/>
  <c r="J241" i="4"/>
  <c r="J243" i="4" s="1"/>
  <c r="L20" i="5"/>
  <c r="L28" i="5"/>
  <c r="M40" i="5"/>
  <c r="L40" i="5"/>
  <c r="K40" i="5"/>
  <c r="M45" i="5"/>
  <c r="L45" i="5"/>
  <c r="K45" i="5"/>
  <c r="K53" i="5"/>
  <c r="K89" i="5"/>
  <c r="L88" i="5"/>
  <c r="K95" i="5"/>
  <c r="L94" i="5"/>
  <c r="M115" i="5"/>
  <c r="G19" i="3"/>
  <c r="G24" i="3"/>
  <c r="J384" i="4"/>
  <c r="J393" i="4" s="1"/>
  <c r="M20" i="5"/>
  <c r="M28" i="5"/>
  <c r="L41" i="5"/>
  <c r="L48" i="5"/>
  <c r="M54" i="5"/>
  <c r="M63" i="5"/>
  <c r="L63" i="5"/>
  <c r="K63" i="5"/>
  <c r="M69" i="5"/>
  <c r="L69" i="5"/>
  <c r="K69" i="5"/>
  <c r="M81" i="5"/>
  <c r="L81" i="5"/>
  <c r="L89" i="5"/>
  <c r="L95" i="5"/>
  <c r="K35" i="7"/>
  <c r="I39" i="7"/>
  <c r="K39" i="7" s="1"/>
  <c r="K38" i="7"/>
  <c r="K34" i="7"/>
  <c r="K149" i="5"/>
  <c r="F18" i="3"/>
  <c r="H19" i="3"/>
  <c r="D22" i="3"/>
  <c r="F23" i="3"/>
  <c r="H24" i="3"/>
  <c r="D27" i="3"/>
  <c r="F28" i="3"/>
  <c r="D63" i="3"/>
  <c r="D67" i="3"/>
  <c r="J53" i="4"/>
  <c r="J55" i="4" s="1"/>
  <c r="C405" i="4" s="1"/>
  <c r="C424" i="4" s="1"/>
  <c r="C436" i="4" s="1"/>
  <c r="C450" i="4" s="1"/>
  <c r="L54" i="5"/>
  <c r="M117" i="5"/>
  <c r="L117" i="5"/>
  <c r="J151" i="5"/>
  <c r="M191" i="5"/>
  <c r="L191" i="5"/>
  <c r="U59" i="6"/>
  <c r="U86" i="6" s="1"/>
  <c r="K37" i="7"/>
  <c r="D54" i="9"/>
  <c r="G15" i="9"/>
  <c r="J8" i="10"/>
  <c r="J30" i="10" s="1"/>
  <c r="I30" i="10"/>
  <c r="T32" i="16"/>
  <c r="T33" i="16" s="1"/>
  <c r="T17" i="16"/>
  <c r="T19" i="16" s="1"/>
  <c r="T26" i="16"/>
  <c r="T27" i="16" s="1"/>
  <c r="Q17" i="16"/>
  <c r="Q19" i="16" s="1"/>
  <c r="Q26" i="16"/>
  <c r="Q27" i="16" s="1"/>
  <c r="Q32" i="16"/>
  <c r="Q33" i="16" s="1"/>
  <c r="E60" i="2"/>
  <c r="E62" i="2" s="1"/>
  <c r="G18" i="3"/>
  <c r="E22" i="3"/>
  <c r="G23" i="3"/>
  <c r="G28" i="3"/>
  <c r="D40" i="3"/>
  <c r="D50" i="3"/>
  <c r="D54" i="3"/>
  <c r="M41" i="5"/>
  <c r="M55" i="5"/>
  <c r="L55" i="5"/>
  <c r="M82" i="5"/>
  <c r="M91" i="5"/>
  <c r="K117" i="5"/>
  <c r="K191" i="5"/>
  <c r="J197" i="5"/>
  <c r="M245" i="5"/>
  <c r="L245" i="5"/>
  <c r="K245" i="5"/>
  <c r="J72" i="6"/>
  <c r="J76" i="6" s="1"/>
  <c r="J78" i="6" s="1"/>
  <c r="H72" i="6"/>
  <c r="H76" i="6" s="1"/>
  <c r="H78" i="6" s="1"/>
  <c r="W86" i="6"/>
  <c r="G72" i="6"/>
  <c r="N72" i="6"/>
  <c r="F72" i="6"/>
  <c r="F76" i="6" s="1"/>
  <c r="F78" i="6" s="1"/>
  <c r="M72" i="6"/>
  <c r="E72" i="6"/>
  <c r="E76" i="6" s="1"/>
  <c r="L72" i="6"/>
  <c r="K33" i="7"/>
  <c r="T59" i="7"/>
  <c r="V59" i="7" s="1"/>
  <c r="X59" i="7" s="1"/>
  <c r="H18" i="3"/>
  <c r="D20" i="3"/>
  <c r="F22" i="3"/>
  <c r="H23" i="3"/>
  <c r="F27" i="3"/>
  <c r="H28" i="3"/>
  <c r="M43" i="5"/>
  <c r="L43" i="5"/>
  <c r="K43" i="5"/>
  <c r="M49" i="5"/>
  <c r="L49" i="5"/>
  <c r="K55" i="5"/>
  <c r="L82" i="5"/>
  <c r="K92" i="5"/>
  <c r="L91" i="5"/>
  <c r="M118" i="5"/>
  <c r="J174" i="5"/>
  <c r="M172" i="5" s="1"/>
  <c r="M192" i="5"/>
  <c r="M114" i="5"/>
  <c r="L114" i="5"/>
  <c r="U40" i="6"/>
  <c r="U33" i="6"/>
  <c r="G22" i="3"/>
  <c r="D38" i="3"/>
  <c r="F439" i="4"/>
  <c r="F437" i="4"/>
  <c r="M25" i="5"/>
  <c r="L39" i="5"/>
  <c r="L44" i="5"/>
  <c r="M50" i="5"/>
  <c r="M66" i="5"/>
  <c r="L66" i="5"/>
  <c r="K66" i="5"/>
  <c r="M72" i="5"/>
  <c r="L72" i="5"/>
  <c r="K72" i="5"/>
  <c r="J83" i="5"/>
  <c r="L92" i="5"/>
  <c r="L118" i="5"/>
  <c r="J147" i="5"/>
  <c r="L145" i="5" s="1"/>
  <c r="K246" i="5"/>
  <c r="AA59" i="7"/>
  <c r="AC59" i="7" s="1"/>
  <c r="AE59" i="7" s="1"/>
  <c r="T61" i="7"/>
  <c r="V61" i="7" s="1"/>
  <c r="X61" i="7" s="1"/>
  <c r="M102" i="5"/>
  <c r="J155" i="5"/>
  <c r="M154" i="5" s="1"/>
  <c r="M176" i="5"/>
  <c r="J250" i="5"/>
  <c r="K248" i="5" s="1"/>
  <c r="T58" i="7"/>
  <c r="V58" i="7" s="1"/>
  <c r="X58" i="7" s="1"/>
  <c r="T60" i="7"/>
  <c r="V60" i="7" s="1"/>
  <c r="X60" i="7" s="1"/>
  <c r="T63" i="7"/>
  <c r="V63" i="7" s="1"/>
  <c r="X63" i="7" s="1"/>
  <c r="K63" i="7"/>
  <c r="M63" i="7" s="1"/>
  <c r="O63" i="7" s="1"/>
  <c r="D78" i="1" s="1"/>
  <c r="AA63" i="7"/>
  <c r="AC63" i="7" s="1"/>
  <c r="AE63" i="7" s="1"/>
  <c r="M90" i="7"/>
  <c r="M93" i="7" s="1"/>
  <c r="K93" i="7"/>
  <c r="F35" i="8"/>
  <c r="G35" i="8" s="1"/>
  <c r="E50" i="8" s="1"/>
  <c r="F115" i="10"/>
  <c r="F107" i="10"/>
  <c r="G89" i="10"/>
  <c r="H89" i="10" s="1"/>
  <c r="G81" i="10"/>
  <c r="H81" i="10" s="1"/>
  <c r="G73" i="10"/>
  <c r="H73" i="10" s="1"/>
  <c r="F122" i="10"/>
  <c r="F118" i="10"/>
  <c r="F103" i="10"/>
  <c r="H103" i="10" s="1"/>
  <c r="G86" i="10"/>
  <c r="H86" i="10" s="1"/>
  <c r="G78" i="10"/>
  <c r="H78" i="10" s="1"/>
  <c r="G70" i="10"/>
  <c r="H70" i="10" s="1"/>
  <c r="F109" i="10"/>
  <c r="H109" i="10" s="1"/>
  <c r="G91" i="10"/>
  <c r="H91" i="10" s="1"/>
  <c r="G83" i="10"/>
  <c r="H83" i="10" s="1"/>
  <c r="G75" i="10"/>
  <c r="H75" i="10" s="1"/>
  <c r="F106" i="10"/>
  <c r="F102" i="10"/>
  <c r="H102" i="10" s="1"/>
  <c r="G88" i="10"/>
  <c r="H88" i="10" s="1"/>
  <c r="G80" i="10"/>
  <c r="H80" i="10" s="1"/>
  <c r="G72" i="10"/>
  <c r="H72" i="10" s="1"/>
  <c r="F121" i="10"/>
  <c r="G85" i="10"/>
  <c r="H85" i="10" s="1"/>
  <c r="G77" i="10"/>
  <c r="H77" i="10" s="1"/>
  <c r="G69" i="10"/>
  <c r="H69" i="10" s="1"/>
  <c r="F111" i="10"/>
  <c r="F105" i="10"/>
  <c r="F101" i="10"/>
  <c r="G87" i="10"/>
  <c r="H87" i="10" s="1"/>
  <c r="G79" i="10"/>
  <c r="H79" i="10" s="1"/>
  <c r="G71" i="10"/>
  <c r="H71" i="10" s="1"/>
  <c r="G84" i="10"/>
  <c r="H84" i="10" s="1"/>
  <c r="G76" i="10"/>
  <c r="H76" i="10" s="1"/>
  <c r="D50" i="11"/>
  <c r="V16" i="15"/>
  <c r="W16" i="15" s="1"/>
  <c r="O18" i="15"/>
  <c r="P18" i="15" s="1"/>
  <c r="Q18" i="15"/>
  <c r="K16" i="5"/>
  <c r="M17" i="5" s="1"/>
  <c r="K19" i="5"/>
  <c r="K24" i="5"/>
  <c r="K27" i="5"/>
  <c r="K88" i="5"/>
  <c r="K91" i="5"/>
  <c r="K94" i="5"/>
  <c r="K153" i="5"/>
  <c r="J254" i="5"/>
  <c r="E66" i="7"/>
  <c r="K66" i="7" s="1"/>
  <c r="M66" i="7" s="1"/>
  <c r="O66" i="7" s="1"/>
  <c r="D54" i="1" s="1"/>
  <c r="G12" i="8"/>
  <c r="C46" i="8"/>
  <c r="G36" i="8"/>
  <c r="E51" i="8" s="1"/>
  <c r="K8" i="5"/>
  <c r="L16" i="5"/>
  <c r="L19" i="5"/>
  <c r="L24" i="5"/>
  <c r="L27" i="5"/>
  <c r="J133" i="5"/>
  <c r="L131" i="5" s="1"/>
  <c r="L153" i="5"/>
  <c r="J164" i="5"/>
  <c r="L162" i="5" s="1"/>
  <c r="K177" i="5"/>
  <c r="L248" i="5"/>
  <c r="K252" i="5"/>
  <c r="J258" i="5"/>
  <c r="M257" i="5" s="1"/>
  <c r="E62" i="7"/>
  <c r="K62" i="7" s="1"/>
  <c r="M62" i="7" s="1"/>
  <c r="O62" i="7" s="1"/>
  <c r="D70" i="1" s="1"/>
  <c r="AA62" i="7"/>
  <c r="AC62" i="7" s="1"/>
  <c r="AE62" i="7" s="1"/>
  <c r="V70" i="7"/>
  <c r="X70" i="7" s="1"/>
  <c r="H19" i="12"/>
  <c r="H31" i="12"/>
  <c r="T60" i="15"/>
  <c r="U60" i="15" s="1"/>
  <c r="V60" i="15" s="1"/>
  <c r="W60" i="15" s="1"/>
  <c r="F427" i="4"/>
  <c r="L8" i="5"/>
  <c r="K50" i="5"/>
  <c r="K54" i="5"/>
  <c r="K82" i="5"/>
  <c r="K115" i="5"/>
  <c r="K118" i="5"/>
  <c r="K131" i="5"/>
  <c r="K146" i="5"/>
  <c r="K162" i="5"/>
  <c r="J168" i="5"/>
  <c r="L166" i="5" s="1"/>
  <c r="K192" i="5"/>
  <c r="T71" i="7"/>
  <c r="V71" i="7" s="1"/>
  <c r="X71" i="7" s="1"/>
  <c r="AA71" i="7"/>
  <c r="AC71" i="7" s="1"/>
  <c r="AE71" i="7" s="1"/>
  <c r="G22" i="8"/>
  <c r="D50" i="8" s="1"/>
  <c r="I33" i="12"/>
  <c r="I26" i="12"/>
  <c r="I37" i="12" s="1"/>
  <c r="T22" i="15"/>
  <c r="U22" i="15" s="1"/>
  <c r="V22" i="15" s="1"/>
  <c r="W22" i="15" s="1"/>
  <c r="F32" i="8"/>
  <c r="G32" i="8" s="1"/>
  <c r="E47" i="8" s="1"/>
  <c r="F31" i="8"/>
  <c r="G31" i="8" s="1"/>
  <c r="F33" i="8"/>
  <c r="G33" i="8" s="1"/>
  <c r="E48" i="8" s="1"/>
  <c r="R57" i="15"/>
  <c r="M57" i="15"/>
  <c r="M8" i="21"/>
  <c r="G74" i="10"/>
  <c r="H74" i="10" s="1"/>
  <c r="F116" i="10"/>
  <c r="D40" i="11"/>
  <c r="G31" i="12"/>
  <c r="Q11" i="15"/>
  <c r="O11" i="15"/>
  <c r="V23" i="15"/>
  <c r="W23" i="15" s="1"/>
  <c r="F20" i="8"/>
  <c r="G20" i="8" s="1"/>
  <c r="D48" i="8" s="1"/>
  <c r="F19" i="8"/>
  <c r="G19" i="8" s="1"/>
  <c r="D47" i="8" s="1"/>
  <c r="F21" i="8"/>
  <c r="G21" i="8" s="1"/>
  <c r="D49" i="8" s="1"/>
  <c r="F18" i="8"/>
  <c r="G18" i="8" s="1"/>
  <c r="F23" i="8"/>
  <c r="G23" i="8" s="1"/>
  <c r="D51" i="8" s="1"/>
  <c r="F34" i="8"/>
  <c r="G34" i="8" s="1"/>
  <c r="E49" i="8" s="1"/>
  <c r="H45" i="10"/>
  <c r="F44" i="9"/>
  <c r="G44" i="9" s="1"/>
  <c r="E61" i="9" s="1"/>
  <c r="G39" i="10"/>
  <c r="H39" i="10" s="1"/>
  <c r="G47" i="10"/>
  <c r="H47" i="10" s="1"/>
  <c r="G55" i="10"/>
  <c r="H55" i="10" s="1"/>
  <c r="G107" i="10"/>
  <c r="G115" i="10"/>
  <c r="U17" i="15"/>
  <c r="V17" i="15" s="1"/>
  <c r="W17" i="15" s="1"/>
  <c r="T18" i="15"/>
  <c r="U18" i="15" s="1"/>
  <c r="V30" i="15"/>
  <c r="W30" i="15" s="1"/>
  <c r="U44" i="15"/>
  <c r="V44" i="15" s="1"/>
  <c r="W44" i="15" s="1"/>
  <c r="T44" i="15"/>
  <c r="Q52" i="15"/>
  <c r="V52" i="15" s="1"/>
  <c r="O52" i="15"/>
  <c r="P52" i="15" s="1"/>
  <c r="W61" i="15"/>
  <c r="U74" i="15"/>
  <c r="T74" i="15"/>
  <c r="R26" i="16"/>
  <c r="R27" i="16" s="1"/>
  <c r="R32" i="16"/>
  <c r="R33" i="16" s="1"/>
  <c r="R17" i="16"/>
  <c r="R19" i="16" s="1"/>
  <c r="K17" i="16"/>
  <c r="K19" i="16" s="1"/>
  <c r="K26" i="16"/>
  <c r="K32" i="16"/>
  <c r="K33" i="16" s="1"/>
  <c r="Y224" i="21"/>
  <c r="C247" i="21" s="1"/>
  <c r="D147" i="1" s="1"/>
  <c r="AA67" i="7"/>
  <c r="AC67" i="7" s="1"/>
  <c r="AE67" i="7" s="1"/>
  <c r="AA69" i="7"/>
  <c r="AC69" i="7" s="1"/>
  <c r="AE69" i="7" s="1"/>
  <c r="F27" i="9"/>
  <c r="G27" i="9" s="1"/>
  <c r="F59" i="9" s="1"/>
  <c r="F39" i="9"/>
  <c r="G39" i="9" s="1"/>
  <c r="E56" i="9" s="1"/>
  <c r="G42" i="10"/>
  <c r="H42" i="10" s="1"/>
  <c r="G50" i="10"/>
  <c r="H50" i="10" s="1"/>
  <c r="G58" i="10"/>
  <c r="H58" i="10" s="1"/>
  <c r="T38" i="15"/>
  <c r="U38" i="15" s="1"/>
  <c r="V38" i="15" s="1"/>
  <c r="W38" i="15" s="1"/>
  <c r="U48" i="15"/>
  <c r="V48" i="15" s="1"/>
  <c r="W48" i="15" s="1"/>
  <c r="T48" i="15"/>
  <c r="S32" i="16"/>
  <c r="S33" i="16" s="1"/>
  <c r="S17" i="16"/>
  <c r="S19" i="16" s="1"/>
  <c r="G25" i="21"/>
  <c r="F25" i="9"/>
  <c r="G25" i="9" s="1"/>
  <c r="F57" i="9" s="1"/>
  <c r="F37" i="9"/>
  <c r="G37" i="9" s="1"/>
  <c r="G40" i="10"/>
  <c r="H40" i="10" s="1"/>
  <c r="G48" i="10"/>
  <c r="H48" i="10" s="1"/>
  <c r="G56" i="10"/>
  <c r="H56" i="10" s="1"/>
  <c r="G108" i="10"/>
  <c r="H108" i="10" s="1"/>
  <c r="G116" i="10"/>
  <c r="U27" i="15"/>
  <c r="V27" i="15" s="1"/>
  <c r="W27" i="15" s="1"/>
  <c r="C53" i="19"/>
  <c r="K117" i="21"/>
  <c r="S110" i="21"/>
  <c r="S117" i="21" s="1"/>
  <c r="AA96" i="21" s="1"/>
  <c r="W110" i="21"/>
  <c r="K185" i="21"/>
  <c r="G189" i="21" s="1"/>
  <c r="K79" i="15"/>
  <c r="K83" i="15" s="1"/>
  <c r="T37" i="15"/>
  <c r="U37" i="15" s="1"/>
  <c r="V37" i="15" s="1"/>
  <c r="W37" i="15" s="1"/>
  <c r="Q62" i="15"/>
  <c r="V62" i="15" s="1"/>
  <c r="O62" i="15"/>
  <c r="P62" i="15" s="1"/>
  <c r="U76" i="15"/>
  <c r="V76" i="15" s="1"/>
  <c r="W76" i="15" s="1"/>
  <c r="T76" i="15"/>
  <c r="AA66" i="7"/>
  <c r="AC66" i="7" s="1"/>
  <c r="AE66" i="7" s="1"/>
  <c r="AA68" i="7"/>
  <c r="AC68" i="7" s="1"/>
  <c r="AE68" i="7" s="1"/>
  <c r="AA70" i="7"/>
  <c r="AC70" i="7" s="1"/>
  <c r="AE70" i="7" s="1"/>
  <c r="F23" i="9"/>
  <c r="G23" i="9" s="1"/>
  <c r="F43" i="9"/>
  <c r="G43" i="9" s="1"/>
  <c r="E60" i="9" s="1"/>
  <c r="G38" i="10"/>
  <c r="H38" i="10" s="1"/>
  <c r="G46" i="10"/>
  <c r="H46" i="10" s="1"/>
  <c r="G54" i="10"/>
  <c r="H54" i="10" s="1"/>
  <c r="G106" i="10"/>
  <c r="T14" i="15"/>
  <c r="R15" i="15"/>
  <c r="R32" i="15"/>
  <c r="M32" i="15"/>
  <c r="U35" i="15"/>
  <c r="V35" i="15" s="1"/>
  <c r="W35" i="15" s="1"/>
  <c r="U50" i="15"/>
  <c r="V50" i="15" s="1"/>
  <c r="W50" i="15" s="1"/>
  <c r="T50" i="15"/>
  <c r="J17" i="19"/>
  <c r="E125" i="21"/>
  <c r="U157" i="21"/>
  <c r="U185" i="21" s="1"/>
  <c r="O185" i="21"/>
  <c r="G41" i="10"/>
  <c r="H41" i="10" s="1"/>
  <c r="G49" i="10"/>
  <c r="H49" i="10" s="1"/>
  <c r="G57" i="10"/>
  <c r="H57" i="10" s="1"/>
  <c r="G68" i="12"/>
  <c r="U56" i="15"/>
  <c r="V56" i="15" s="1"/>
  <c r="W56" i="15" s="1"/>
  <c r="R77" i="15"/>
  <c r="M77" i="15"/>
  <c r="U84" i="15"/>
  <c r="O84" i="15"/>
  <c r="K84" i="15"/>
  <c r="U90" i="15"/>
  <c r="AC9" i="16"/>
  <c r="AC13" i="16" s="1"/>
  <c r="E51" i="18"/>
  <c r="F48" i="18"/>
  <c r="L17" i="19"/>
  <c r="D22" i="19" s="1"/>
  <c r="D19" i="19" s="1"/>
  <c r="W209" i="21"/>
  <c r="T26" i="15"/>
  <c r="U26" i="15" s="1"/>
  <c r="V26" i="15" s="1"/>
  <c r="W26" i="15" s="1"/>
  <c r="V74" i="15"/>
  <c r="W74" i="15" s="1"/>
  <c r="E34" i="18"/>
  <c r="K70" i="18"/>
  <c r="C87" i="18" s="1"/>
  <c r="L17" i="16"/>
  <c r="L19" i="16" s="1"/>
  <c r="D26" i="16"/>
  <c r="D27" i="16" s="1"/>
  <c r="F27" i="16" s="1"/>
  <c r="C60" i="19"/>
  <c r="Q32" i="21"/>
  <c r="O61" i="21"/>
  <c r="I185" i="21"/>
  <c r="W161" i="21" s="1"/>
  <c r="W162" i="21" s="1"/>
  <c r="O191" i="21" s="1"/>
  <c r="W224" i="21"/>
  <c r="Y209" i="21"/>
  <c r="C243" i="21" s="1"/>
  <c r="D146" i="1" s="1"/>
  <c r="T54" i="15"/>
  <c r="U54" i="15" s="1"/>
  <c r="V54" i="15" s="1"/>
  <c r="W54" i="15" s="1"/>
  <c r="T63" i="15"/>
  <c r="U63" i="15" s="1"/>
  <c r="V63" i="15" s="1"/>
  <c r="W63" i="15" s="1"/>
  <c r="S10" i="20"/>
  <c r="U10" i="20" s="1"/>
  <c r="W108" i="21"/>
  <c r="W117" i="21" s="1"/>
  <c r="AA97" i="21" s="1"/>
  <c r="S158" i="21"/>
  <c r="S185" i="21" s="1"/>
  <c r="J32" i="16"/>
  <c r="J33" i="16" s="1"/>
  <c r="J26" i="16"/>
  <c r="J58" i="22"/>
  <c r="R58" i="22"/>
  <c r="D59" i="22"/>
  <c r="L59" i="22"/>
  <c r="T59" i="22"/>
  <c r="F60" i="22"/>
  <c r="N60" i="22"/>
  <c r="V60" i="22"/>
  <c r="D58" i="22"/>
  <c r="L58" i="22"/>
  <c r="T58" i="22"/>
  <c r="F59" i="22"/>
  <c r="N59" i="22"/>
  <c r="V59" i="22"/>
  <c r="H60" i="22"/>
  <c r="P60" i="22"/>
  <c r="X60" i="22"/>
  <c r="F58" i="22"/>
  <c r="N58" i="22"/>
  <c r="H59" i="22"/>
  <c r="P59" i="22"/>
  <c r="X59" i="22"/>
  <c r="J60" i="22"/>
  <c r="R60" i="22"/>
  <c r="I59" i="22"/>
  <c r="Q59" i="22"/>
  <c r="Y59" i="22"/>
  <c r="D177" i="1" s="1"/>
  <c r="K60" i="22"/>
  <c r="H105" i="10" l="1"/>
  <c r="F10" i="18"/>
  <c r="C84" i="18" s="1"/>
  <c r="D188" i="1"/>
  <c r="AG57" i="7"/>
  <c r="AG68" i="7"/>
  <c r="C38" i="19"/>
  <c r="D80" i="1"/>
  <c r="H118" i="10"/>
  <c r="D49" i="1"/>
  <c r="D79" i="1"/>
  <c r="C47" i="19"/>
  <c r="H111" i="10"/>
  <c r="AG69" i="7"/>
  <c r="AG62" i="7"/>
  <c r="AG106" i="7"/>
  <c r="AA224" i="21"/>
  <c r="D175" i="1"/>
  <c r="D171" i="1" s="1"/>
  <c r="Q89" i="21"/>
  <c r="S89" i="21" s="1"/>
  <c r="U89" i="21" s="1"/>
  <c r="D139" i="1" s="1"/>
  <c r="D153" i="1"/>
  <c r="AC224" i="21"/>
  <c r="H122" i="10"/>
  <c r="D57" i="1"/>
  <c r="M25" i="21"/>
  <c r="D134" i="1" s="1"/>
  <c r="K25" i="21"/>
  <c r="F51" i="18"/>
  <c r="C85" i="18" s="1"/>
  <c r="D63" i="1"/>
  <c r="AG60" i="7"/>
  <c r="D144" i="1"/>
  <c r="G57" i="9"/>
  <c r="F48" i="8"/>
  <c r="C49" i="19"/>
  <c r="C39" i="19"/>
  <c r="D56" i="1"/>
  <c r="F34" i="18"/>
  <c r="C86" i="18" s="1"/>
  <c r="D57" i="11"/>
  <c r="AK16" i="20"/>
  <c r="AM16" i="20" s="1"/>
  <c r="C30" i="20" s="1"/>
  <c r="AG59" i="7"/>
  <c r="G56" i="9"/>
  <c r="G59" i="9"/>
  <c r="F50" i="8"/>
  <c r="AG107" i="7"/>
  <c r="G61" i="9"/>
  <c r="H121" i="10"/>
  <c r="AE108" i="7"/>
  <c r="AG67" i="7"/>
  <c r="G60" i="9"/>
  <c r="H101" i="10"/>
  <c r="C35" i="19"/>
  <c r="C45" i="19"/>
  <c r="C253" i="21"/>
  <c r="AE97" i="21"/>
  <c r="C252" i="21"/>
  <c r="AE96" i="21"/>
  <c r="C425" i="4"/>
  <c r="C437" i="4" s="1"/>
  <c r="C451" i="4" s="1"/>
  <c r="C407" i="4"/>
  <c r="H61" i="10"/>
  <c r="F51" i="8"/>
  <c r="D47" i="1"/>
  <c r="F55" i="9"/>
  <c r="G55" i="9" s="1"/>
  <c r="G30" i="9"/>
  <c r="AG61" i="7"/>
  <c r="D68" i="1"/>
  <c r="E46" i="8"/>
  <c r="G37" i="8"/>
  <c r="AC32" i="16"/>
  <c r="AC33" i="16" s="1"/>
  <c r="AC26" i="16"/>
  <c r="AC27" i="16" s="1"/>
  <c r="AC17" i="16"/>
  <c r="AC19" i="16" s="1"/>
  <c r="O79" i="15"/>
  <c r="P11" i="15"/>
  <c r="D38" i="1"/>
  <c r="T57" i="15"/>
  <c r="U57" i="15" s="1"/>
  <c r="D46" i="1"/>
  <c r="M196" i="5"/>
  <c r="K196" i="5"/>
  <c r="L249" i="5"/>
  <c r="K249" i="5"/>
  <c r="O74" i="7"/>
  <c r="M384" i="4"/>
  <c r="M393" i="4" s="1"/>
  <c r="E67" i="3"/>
  <c r="F67" i="3" s="1"/>
  <c r="G67" i="3" s="1"/>
  <c r="L195" i="5"/>
  <c r="D46" i="8"/>
  <c r="D35" i="1" s="1"/>
  <c r="G24" i="8"/>
  <c r="D55" i="1"/>
  <c r="M33" i="16"/>
  <c r="E54" i="9"/>
  <c r="G54" i="9" s="1"/>
  <c r="G45" i="9"/>
  <c r="V11" i="15"/>
  <c r="W11" i="15" s="1"/>
  <c r="D33" i="1"/>
  <c r="U14" i="15"/>
  <c r="V14" i="15" s="1"/>
  <c r="W14" i="15" s="1"/>
  <c r="K154" i="5"/>
  <c r="L172" i="5"/>
  <c r="M248" i="5"/>
  <c r="L280" i="4"/>
  <c r="L287" i="4" s="1"/>
  <c r="M195" i="5"/>
  <c r="K166" i="5"/>
  <c r="M166" i="5"/>
  <c r="AC199" i="21"/>
  <c r="AC209" i="21" s="1"/>
  <c r="AA209" i="21"/>
  <c r="K85" i="15"/>
  <c r="D42" i="1"/>
  <c r="L154" i="5"/>
  <c r="L132" i="5"/>
  <c r="M53" i="4"/>
  <c r="M55" i="4" s="1"/>
  <c r="E78" i="6"/>
  <c r="N78" i="6" s="1"/>
  <c r="N76" i="6"/>
  <c r="L257" i="5"/>
  <c r="M173" i="5"/>
  <c r="K62" i="4"/>
  <c r="K64" i="4" s="1"/>
  <c r="D26" i="1" s="1"/>
  <c r="L196" i="5"/>
  <c r="K167" i="5"/>
  <c r="D42" i="3"/>
  <c r="Q57" i="15"/>
  <c r="O57" i="15"/>
  <c r="C258" i="21"/>
  <c r="K189" i="21"/>
  <c r="L173" i="5"/>
  <c r="L146" i="5"/>
  <c r="K145" i="5"/>
  <c r="M132" i="5"/>
  <c r="E40" i="3"/>
  <c r="F40" i="3" s="1"/>
  <c r="G40" i="3" s="1"/>
  <c r="K384" i="4"/>
  <c r="K393" i="4" s="1"/>
  <c r="K163" i="5"/>
  <c r="L163" i="5"/>
  <c r="K280" i="4"/>
  <c r="K287" i="4" s="1"/>
  <c r="M145" i="5"/>
  <c r="C409" i="4"/>
  <c r="C427" i="4"/>
  <c r="C439" i="4" s="1"/>
  <c r="C453" i="4" s="1"/>
  <c r="K172" i="5"/>
  <c r="L167" i="5"/>
  <c r="K257" i="5"/>
  <c r="L256" i="5"/>
  <c r="Q32" i="15"/>
  <c r="Q79" i="15" s="1"/>
  <c r="O32" i="15"/>
  <c r="P32" i="15" s="1"/>
  <c r="D39" i="1"/>
  <c r="H116" i="10"/>
  <c r="AG71" i="7"/>
  <c r="AG70" i="7"/>
  <c r="D72" i="1"/>
  <c r="M252" i="5"/>
  <c r="L253" i="5"/>
  <c r="K253" i="5"/>
  <c r="H107" i="10"/>
  <c r="K132" i="5"/>
  <c r="AG66" i="7"/>
  <c r="M249" i="5"/>
  <c r="M153" i="5"/>
  <c r="M163" i="5"/>
  <c r="D69" i="3"/>
  <c r="M162" i="5"/>
  <c r="M167" i="5"/>
  <c r="E26" i="3"/>
  <c r="E20" i="3"/>
  <c r="F20" i="3"/>
  <c r="M280" i="4" s="1"/>
  <c r="M287" i="4" s="1"/>
  <c r="D24" i="3"/>
  <c r="E28" i="3"/>
  <c r="E23" i="3"/>
  <c r="E18" i="3"/>
  <c r="D18" i="3"/>
  <c r="E24" i="3"/>
  <c r="G20" i="3"/>
  <c r="M62" i="4" s="1"/>
  <c r="M64" i="4" s="1"/>
  <c r="D28" i="1" s="1"/>
  <c r="E19" i="3"/>
  <c r="F26" i="3"/>
  <c r="D19" i="3"/>
  <c r="M256" i="5"/>
  <c r="G190" i="21"/>
  <c r="G191" i="21"/>
  <c r="K191" i="21" s="1"/>
  <c r="T32" i="15"/>
  <c r="U32" i="15" s="1"/>
  <c r="W62" i="15"/>
  <c r="W52" i="15"/>
  <c r="H92" i="10"/>
  <c r="F47" i="8"/>
  <c r="K256" i="5"/>
  <c r="H33" i="12"/>
  <c r="H26" i="12"/>
  <c r="H37" i="12" s="1"/>
  <c r="D71" i="1"/>
  <c r="K173" i="5"/>
  <c r="H115" i="10"/>
  <c r="AG63" i="7"/>
  <c r="L252" i="5"/>
  <c r="M146" i="5"/>
  <c r="U27" i="16"/>
  <c r="M150" i="5"/>
  <c r="K150" i="5"/>
  <c r="L149" i="5"/>
  <c r="L62" i="4"/>
  <c r="L64" i="4" s="1"/>
  <c r="D27" i="1" s="1"/>
  <c r="L150" i="5"/>
  <c r="H27" i="3"/>
  <c r="L384" i="4" s="1"/>
  <c r="L393" i="4" s="1"/>
  <c r="AG58" i="7"/>
  <c r="D64" i="1"/>
  <c r="C261" i="21"/>
  <c r="S191" i="21"/>
  <c r="Q77" i="15"/>
  <c r="O77" i="15"/>
  <c r="P77" i="15" s="1"/>
  <c r="S32" i="21"/>
  <c r="Q61" i="21"/>
  <c r="U77" i="15"/>
  <c r="T77" i="15"/>
  <c r="E135" i="21"/>
  <c r="C125" i="21"/>
  <c r="E133" i="21"/>
  <c r="E134" i="21" s="1"/>
  <c r="T15" i="15"/>
  <c r="T79" i="15" s="1"/>
  <c r="U89" i="15" s="1"/>
  <c r="U91" i="15" s="1"/>
  <c r="V18" i="15"/>
  <c r="W18" i="15" s="1"/>
  <c r="H106" i="10"/>
  <c r="F49" i="8"/>
  <c r="U19" i="16"/>
  <c r="M131" i="5"/>
  <c r="M149" i="5"/>
  <c r="F24" i="3"/>
  <c r="C46" i="19" l="1"/>
  <c r="C231" i="21"/>
  <c r="C36" i="19"/>
  <c r="D92" i="1" s="1"/>
  <c r="D77" i="1"/>
  <c r="D65" i="1"/>
  <c r="C83" i="18"/>
  <c r="D185" i="1"/>
  <c r="D84" i="1"/>
  <c r="D82" i="1" s="1"/>
  <c r="D53" i="1"/>
  <c r="D43" i="1"/>
  <c r="C235" i="21"/>
  <c r="E235" i="21" s="1"/>
  <c r="D61" i="1"/>
  <c r="D69" i="1"/>
  <c r="D44" i="1"/>
  <c r="D132" i="1"/>
  <c r="D36" i="1"/>
  <c r="D34" i="1"/>
  <c r="G62" i="9"/>
  <c r="H123" i="10"/>
  <c r="F46" i="8"/>
  <c r="F52" i="8" s="1"/>
  <c r="D164" i="1"/>
  <c r="C36" i="20"/>
  <c r="S37" i="20"/>
  <c r="D427" i="4"/>
  <c r="E427" i="4" s="1"/>
  <c r="G427" i="4" s="1"/>
  <c r="F453" i="4" s="1"/>
  <c r="L395" i="4"/>
  <c r="D19" i="1" s="1"/>
  <c r="U95" i="15"/>
  <c r="U97" i="15" s="1"/>
  <c r="U93" i="15"/>
  <c r="M125" i="21"/>
  <c r="Q124" i="21" s="1"/>
  <c r="K125" i="21"/>
  <c r="M241" i="4"/>
  <c r="M243" i="4" s="1"/>
  <c r="E65" i="3"/>
  <c r="F65" i="3" s="1"/>
  <c r="G65" i="3" s="1"/>
  <c r="G192" i="21"/>
  <c r="K190" i="21"/>
  <c r="P57" i="15"/>
  <c r="U83" i="15"/>
  <c r="U85" i="15" s="1"/>
  <c r="U87" i="15" s="1"/>
  <c r="D25" i="1"/>
  <c r="D426" i="4"/>
  <c r="E426" i="4" s="1"/>
  <c r="G426" i="4" s="1"/>
  <c r="F452" i="4" s="1"/>
  <c r="L289" i="4"/>
  <c r="E231" i="21"/>
  <c r="E54" i="3"/>
  <c r="F54" i="3" s="1"/>
  <c r="G54" i="3" s="1"/>
  <c r="U15" i="15"/>
  <c r="V15" i="15" s="1"/>
  <c r="W15" i="15" s="1"/>
  <c r="K53" i="4"/>
  <c r="K55" i="4" s="1"/>
  <c r="E36" i="3"/>
  <c r="V57" i="15"/>
  <c r="S61" i="21"/>
  <c r="C241" i="21" s="1"/>
  <c r="V77" i="15"/>
  <c r="W77" i="15" s="1"/>
  <c r="K241" i="4"/>
  <c r="K243" i="4" s="1"/>
  <c r="E38" i="3"/>
  <c r="F38" i="3" s="1"/>
  <c r="G38" i="3" s="1"/>
  <c r="K86" i="15"/>
  <c r="K89" i="15" s="1"/>
  <c r="K395" i="4"/>
  <c r="D18" i="1" s="1"/>
  <c r="D453" i="4"/>
  <c r="D409" i="4"/>
  <c r="E409" i="4" s="1"/>
  <c r="F409" i="4" s="1"/>
  <c r="G409" i="4" s="1"/>
  <c r="C133" i="21"/>
  <c r="C135" i="21" s="1"/>
  <c r="M395" i="4"/>
  <c r="D20" i="1" s="1"/>
  <c r="D439" i="4"/>
  <c r="E439" i="4" s="1"/>
  <c r="G439" i="4" s="1"/>
  <c r="E453" i="4" s="1"/>
  <c r="M289" i="4"/>
  <c r="D438" i="4"/>
  <c r="E438" i="4" s="1"/>
  <c r="G438" i="4" s="1"/>
  <c r="E452" i="4" s="1"/>
  <c r="V32" i="15"/>
  <c r="W32" i="15" s="1"/>
  <c r="R87" i="6"/>
  <c r="D30" i="1"/>
  <c r="C52" i="19"/>
  <c r="C59" i="19"/>
  <c r="L53" i="4"/>
  <c r="L55" i="4" s="1"/>
  <c r="E50" i="3"/>
  <c r="D452" i="4"/>
  <c r="K289" i="4"/>
  <c r="E63" i="3"/>
  <c r="D32" i="1"/>
  <c r="P79" i="15"/>
  <c r="U101" i="15" s="1"/>
  <c r="U103" i="15" s="1"/>
  <c r="D158" i="1" s="1"/>
  <c r="L241" i="4"/>
  <c r="L243" i="4" s="1"/>
  <c r="E52" i="3"/>
  <c r="F52" i="3" s="1"/>
  <c r="G52" i="3" s="1"/>
  <c r="D436" i="4"/>
  <c r="E436" i="4" s="1"/>
  <c r="G436" i="4" s="1"/>
  <c r="M57" i="4"/>
  <c r="D16" i="1" s="1"/>
  <c r="O83" i="15"/>
  <c r="O85" i="15" s="1"/>
  <c r="D40" i="1" l="1"/>
  <c r="D17" i="1"/>
  <c r="G452" i="4"/>
  <c r="O89" i="15"/>
  <c r="O91" i="15" s="1"/>
  <c r="D48" i="1"/>
  <c r="D186" i="1"/>
  <c r="D161" i="1"/>
  <c r="D90" i="1"/>
  <c r="K91" i="15"/>
  <c r="D437" i="4"/>
  <c r="E437" i="4" s="1"/>
  <c r="G437" i="4" s="1"/>
  <c r="E451" i="4" s="1"/>
  <c r="M245" i="4"/>
  <c r="M293" i="4" s="1"/>
  <c r="D24" i="1" s="1"/>
  <c r="F50" i="3"/>
  <c r="E56" i="3"/>
  <c r="D424" i="4"/>
  <c r="L57" i="4"/>
  <c r="D15" i="1" s="1"/>
  <c r="F63" i="3"/>
  <c r="E69" i="3"/>
  <c r="W57" i="15"/>
  <c r="W157" i="21"/>
  <c r="W159" i="21" s="1"/>
  <c r="O124" i="21"/>
  <c r="C134" i="21"/>
  <c r="F36" i="3"/>
  <c r="E42" i="3"/>
  <c r="C257" i="21"/>
  <c r="Y124" i="21"/>
  <c r="D451" i="4"/>
  <c r="K245" i="4"/>
  <c r="K293" i="4" s="1"/>
  <c r="D22" i="1" s="1"/>
  <c r="D405" i="4"/>
  <c r="K57" i="4"/>
  <c r="D14" i="1" s="1"/>
  <c r="E450" i="4"/>
  <c r="D407" i="4"/>
  <c r="E407" i="4" s="1"/>
  <c r="F407" i="4" s="1"/>
  <c r="G407" i="4" s="1"/>
  <c r="W32" i="21"/>
  <c r="W61" i="21" s="1"/>
  <c r="U61" i="21"/>
  <c r="D425" i="4"/>
  <c r="E425" i="4" s="1"/>
  <c r="G425" i="4" s="1"/>
  <c r="F451" i="4" s="1"/>
  <c r="L245" i="4"/>
  <c r="L293" i="4" s="1"/>
  <c r="D23" i="1" s="1"/>
  <c r="G453" i="4"/>
  <c r="C239" i="21"/>
  <c r="C255" i="21"/>
  <c r="K192" i="21"/>
  <c r="U99" i="15" l="1"/>
  <c r="U110" i="15" s="1"/>
  <c r="D159" i="1" s="1"/>
  <c r="D31" i="1"/>
  <c r="D184" i="1" s="1"/>
  <c r="D157" i="1"/>
  <c r="D152" i="1" s="1"/>
  <c r="G440" i="4"/>
  <c r="D81" i="1"/>
  <c r="E454" i="4"/>
  <c r="G36" i="3"/>
  <c r="G42" i="3" s="1"/>
  <c r="F42" i="3"/>
  <c r="E424" i="4"/>
  <c r="G424" i="4" s="1"/>
  <c r="D428" i="4"/>
  <c r="D13" i="1"/>
  <c r="D411" i="4"/>
  <c r="E405" i="4"/>
  <c r="D450" i="4"/>
  <c r="C251" i="21"/>
  <c r="C250" i="21" s="1"/>
  <c r="W124" i="21"/>
  <c r="C246" i="21"/>
  <c r="F56" i="3"/>
  <c r="G50" i="3"/>
  <c r="G56" i="3" s="1"/>
  <c r="D21" i="1"/>
  <c r="W164" i="21"/>
  <c r="O189" i="21" s="1"/>
  <c r="O190" i="21"/>
  <c r="C232" i="21"/>
  <c r="D138" i="1"/>
  <c r="G451" i="4"/>
  <c r="G63" i="3"/>
  <c r="G69" i="3" s="1"/>
  <c r="F69" i="3"/>
  <c r="D190" i="1" l="1"/>
  <c r="D187" i="1"/>
  <c r="D136" i="1"/>
  <c r="D12" i="1"/>
  <c r="E232" i="21"/>
  <c r="S189" i="21"/>
  <c r="C259" i="21"/>
  <c r="C256" i="21" s="1"/>
  <c r="C262" i="21" s="1"/>
  <c r="E233" i="21" s="1"/>
  <c r="D143" i="1" s="1"/>
  <c r="E411" i="4"/>
  <c r="F411" i="4" s="1"/>
  <c r="F405" i="4"/>
  <c r="G405" i="4" s="1"/>
  <c r="G411" i="4" s="1"/>
  <c r="D454" i="4"/>
  <c r="C244" i="21"/>
  <c r="C260" i="21"/>
  <c r="S190" i="21"/>
  <c r="F450" i="4"/>
  <c r="F454" i="4" s="1"/>
  <c r="G428" i="4"/>
  <c r="D11" i="1" l="1"/>
  <c r="D183" i="1" s="1"/>
  <c r="G450" i="4"/>
  <c r="D140" i="1"/>
  <c r="D131" i="1"/>
  <c r="G454" i="4"/>
  <c r="C236" i="21"/>
  <c r="E236" i="21" s="1"/>
  <c r="D10" i="1" l="1"/>
  <c r="D169" i="1"/>
  <c r="D178" i="1" s="1"/>
  <c r="D18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5" authorId="0" shapeId="0" xr:uid="{00000000-0006-0000-0200-000006000000}">
      <text>
        <r>
          <rPr>
            <sz val="8"/>
            <color rgb="FF000000"/>
            <rFont val="Arial"/>
            <family val="2"/>
          </rPr>
          <t>======
ID#AAAAIbggj-M
    (2021-05-10 11:38:16)
10,862 Btu/lb HHV</t>
        </r>
      </text>
    </comment>
    <comment ref="E15" authorId="0" shapeId="0" xr:uid="{00000000-0006-0000-0200-000002000000}">
      <text>
        <r>
          <rPr>
            <sz val="8"/>
            <color rgb="FF000000"/>
            <rFont val="Arial"/>
            <family val="2"/>
          </rPr>
          <t>======
ID#AAAAIbggkGQ
    (2021-05-10 11:38:16)
141,324 Btu/gal</t>
        </r>
      </text>
    </comment>
    <comment ref="F15" authorId="0" shapeId="0" xr:uid="{00000000-0006-0000-0200-000007000000}">
      <text>
        <r>
          <rPr>
            <sz val="8"/>
            <color rgb="FF000000"/>
            <rFont val="Arial"/>
            <family val="2"/>
          </rPr>
          <t>======
ID#AAAAIbggj-E
    (2021-05-10 11:38:16)
140,001 Btu/gal</t>
        </r>
      </text>
    </comment>
    <comment ref="G15" authorId="0" shapeId="0" xr:uid="{00000000-0006-0000-0200-000008000000}">
      <text>
        <r>
          <rPr>
            <sz val="8"/>
            <color rgb="FF000000"/>
            <rFont val="Arial"/>
            <family val="2"/>
          </rPr>
          <t>======
ID#AAAAIbggj8g
    (2021-05-10 11:38:16)
4,643 Btu/lbs HHV.</t>
        </r>
      </text>
    </comment>
    <comment ref="H15" authorId="0" shapeId="0" xr:uid="{00000000-0006-0000-0200-000005000000}">
      <text>
        <r>
          <rPr>
            <sz val="8"/>
            <color rgb="FF000000"/>
            <rFont val="Arial"/>
            <family val="2"/>
          </rPr>
          <t>======
ID#AAAAIbggj-U
    (2021-05-10 11:38:16)
1,053 Btu/scf</t>
        </r>
      </text>
    </comment>
    <comment ref="I18" authorId="0" shapeId="0" xr:uid="{00000000-0006-0000-0200-000004000000}">
      <text>
        <r>
          <rPr>
            <sz val="8"/>
            <color rgb="FF000000"/>
            <rFont val="Arial"/>
            <family val="2"/>
          </rPr>
          <t>======
ID#AAAAIbggkA8
    (2021-05-10 11:38:16)
CEM Measurement.</t>
        </r>
      </text>
    </comment>
    <comment ref="I22" authorId="0" shapeId="0" xr:uid="{00000000-0006-0000-0200-000003000000}">
      <text>
        <r>
          <rPr>
            <sz val="8"/>
            <color rgb="FF000000"/>
            <rFont val="Arial"/>
            <family val="2"/>
          </rPr>
          <t>======
ID#AAAAIbggkBY
    (2021-05-10 11:38:16)
CEM Measurement.</t>
        </r>
      </text>
    </comment>
    <comment ref="I26" authorId="0" shapeId="0" xr:uid="{00000000-0006-0000-0200-000001000000}">
      <text>
        <r>
          <rPr>
            <sz val="8"/>
            <color rgb="FF000000"/>
            <rFont val="Arial"/>
            <family val="2"/>
          </rPr>
          <t>======
ID#AAAAIbggkH0
    (2021-05-10 11:38:16)
CEM Measurement.</t>
        </r>
      </text>
    </comment>
  </commentList>
  <extLst>
    <ext xmlns:r="http://schemas.openxmlformats.org/officeDocument/2006/relationships" uri="GoogleSheetsCustomDataVersion1">
      <go:sheetsCustomData xmlns:go="http://customooxmlschemas.google.com/" r:id="rId1" roundtripDataSignature="AMtx7mgVya+rEbXhukGF1YhF6bXZ2neqrg=="/>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F11" authorId="0" shapeId="0" xr:uid="{00000000-0006-0000-0B00-000001000000}">
      <text>
        <r>
          <rPr>
            <sz val="8"/>
            <color rgb="FF000000"/>
            <rFont val="Arial"/>
            <family val="2"/>
          </rPr>
          <t>======
ID#AAAAIbggkDg
amohammed    (2021-05-10 11:38:16)
Biogenic</t>
        </r>
      </text>
    </comment>
    <comment ref="G11" authorId="0" shapeId="0" xr:uid="{00000000-0006-0000-0B00-000003000000}">
      <text>
        <r>
          <rPr>
            <sz val="8"/>
            <color rgb="FF000000"/>
            <rFont val="Arial"/>
            <family val="2"/>
          </rPr>
          <t>======
ID#AAAAIbggj-w
Measured Biomass     (2021-05-10 11:38:16)
6.5 % of Total CO2 (CEM). 2011 Emission Certification Report.</t>
        </r>
      </text>
    </comment>
    <comment ref="E28" authorId="0" shapeId="0" xr:uid="{00000000-0006-0000-0B00-000002000000}">
      <text>
        <r>
          <rPr>
            <sz val="8"/>
            <color rgb="FF000000"/>
            <rFont val="Arial"/>
            <family val="2"/>
          </rPr>
          <t>======
ID#AAAAIbggj_c
    (2021-05-10 11:38:16)
1.10249937 Conversion factor used in ECR (metric to short ton)</t>
        </r>
      </text>
    </comment>
  </commentList>
  <extLst>
    <ext xmlns:r="http://schemas.openxmlformats.org/officeDocument/2006/relationships" uri="GoogleSheetsCustomDataVersion1">
      <go:sheetsCustomData xmlns:go="http://customooxmlschemas.google.com/" r:id="rId1" roundtripDataSignature="AMtx7mh6BSL03V+kVgoPW+CeIhpR0OQYMQ=="/>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C00-000001000000}">
      <text>
        <r>
          <rPr>
            <sz val="8"/>
            <color rgb="FF000000"/>
            <rFont val="Arial"/>
            <family val="2"/>
          </rPr>
          <t>======
ID#AAAAIbggj88
    (2021-05-10 11:38:16)
2009 default data</t>
        </r>
      </text>
    </comment>
  </commentList>
  <extLst>
    <ext xmlns:r="http://schemas.openxmlformats.org/officeDocument/2006/relationships" uri="GoogleSheetsCustomDataVersion1">
      <go:sheetsCustomData xmlns:go="http://customooxmlschemas.google.com/" r:id="rId1" roundtripDataSignature="AMtx7mgbNcZO0XFGbWkcmI8PqT3iIuHDKg=="/>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P9" authorId="0" shapeId="0" xr:uid="{00000000-0006-0000-0E00-000024000000}">
      <text>
        <r>
          <rPr>
            <sz val="8"/>
            <color rgb="FF000000"/>
            <rFont val="Arial"/>
            <family val="2"/>
          </rPr>
          <t>======
ID#AAAAIbggkBM
Assuming Complete Combustion    (2021-05-10 11:38:16)
CH4  +   2O2  = CO2 + 2H2O
1 kmole CH4 (16 kg) yield 1 kmole CO2(44kg)</t>
        </r>
      </text>
    </comment>
    <comment ref="Q9" authorId="0" shapeId="0" xr:uid="{00000000-0006-0000-0E00-000029000000}">
      <text>
        <r>
          <rPr>
            <sz val="8"/>
            <color rgb="FF000000"/>
            <rFont val="Arial"/>
            <family val="2"/>
          </rPr>
          <t>======
ID#AAAAIbggkAI
    (2021-05-10 11:38:16)
Uncombusted Flare Emission of CH4 =
mass flow of CH4 (short tons/yr) x (normalized collection Efficiency) x (1 - flare control efficiency)</t>
        </r>
      </text>
    </comment>
    <comment ref="R9" authorId="0" shapeId="0" xr:uid="{00000000-0006-0000-0E00-000019000000}">
      <text>
        <r>
          <rPr>
            <sz val="8"/>
            <color rgb="FF000000"/>
            <rFont val="Arial"/>
            <family val="2"/>
          </rPr>
          <t>======
ID#AAAAIbggkD4
    (2021-05-10 11:38:16)
Fugitive Emission of CH4 =
(mass flow of CH4, tons/yr) x (1- normalized collection efiiciency) x (1- surface oxidation factor)</t>
        </r>
      </text>
    </comment>
    <comment ref="L11" authorId="0" shapeId="0" xr:uid="{00000000-0006-0000-0E00-000023000000}">
      <text>
        <r>
          <rPr>
            <sz val="8"/>
            <color rgb="FF000000"/>
            <rFont val="Arial"/>
            <family val="2"/>
          </rPr>
          <t>======
ID#AAAAIbggkBs
    (2021-05-10 11:38:16)
2011 Emission Certificate Report: LFG Flow to flare=558.4/LFG Generation Rate =773.0</t>
        </r>
      </text>
    </comment>
    <comment ref="K15" authorId="0" shapeId="0" xr:uid="{00000000-0006-0000-0E00-00000D000000}">
      <text>
        <r>
          <rPr>
            <sz val="8"/>
            <color rgb="FF000000"/>
            <rFont val="Arial"/>
            <family val="2"/>
          </rPr>
          <t>======
ID#AAAAIbggkHs
Qudus    (2021-05-10 11:38:16)
New ECR Data</t>
        </r>
      </text>
    </comment>
    <comment ref="L16" authorId="0" shapeId="0" xr:uid="{00000000-0006-0000-0E00-00001B000000}">
      <text>
        <r>
          <rPr>
            <sz val="8"/>
            <color rgb="FF000000"/>
            <rFont val="Arial"/>
            <family val="2"/>
          </rPr>
          <t>======
ID#AAAAIbggkDk
    (2021-05-10 11:38:16)
2011 Emission Certification Report.</t>
        </r>
      </text>
    </comment>
    <comment ref="D21" authorId="0" shapeId="0" xr:uid="{00000000-0006-0000-0E00-000031000000}">
      <text>
        <r>
          <rPr>
            <sz val="8"/>
            <color rgb="FF000000"/>
            <rFont val="Arial"/>
            <family val="2"/>
          </rPr>
          <t>======
ID#AAAAIbggj-Q
wsimms    (2021-05-10 11:38:16)
CHANGED 2008 FROM 13.8 TO 18.320622 MILLION.</t>
        </r>
      </text>
    </comment>
    <comment ref="D22" authorId="0" shapeId="0" xr:uid="{00000000-0006-0000-0E00-00001E000000}">
      <text>
        <r>
          <rPr>
            <sz val="8"/>
            <color rgb="FF000000"/>
            <rFont val="Arial"/>
            <family val="2"/>
          </rPr>
          <t>======
ID#AAAAIbggkDM
wsimms    (2021-05-10 11:38:16)
CHANGED 2008 FROM 7.8 TO 22.813 MILLION.</t>
        </r>
      </text>
    </comment>
    <comment ref="L22" authorId="0" shapeId="0" xr:uid="{00000000-0006-0000-0E00-00002D000000}">
      <text>
        <r>
          <rPr>
            <sz val="8"/>
            <color rgb="FF000000"/>
            <rFont val="Arial"/>
            <family val="2"/>
          </rPr>
          <t>======
ID#AAAAIbggj_U
    (2021-05-10 11:38:16)
2011 Emission Certification Report.</t>
        </r>
      </text>
    </comment>
    <comment ref="N22" authorId="0" shapeId="0" xr:uid="{00000000-0006-0000-0E00-00000C000000}">
      <text>
        <r>
          <rPr>
            <sz val="8"/>
            <color rgb="FF000000"/>
            <rFont val="Arial"/>
            <family val="2"/>
          </rPr>
          <t>======
ID#AAAAIbggkIA
    (2021-05-10 11:38:16)
Emission Certification Report.</t>
        </r>
      </text>
    </comment>
    <comment ref="D26" authorId="0" shapeId="0" xr:uid="{00000000-0006-0000-0E00-000016000000}">
      <text>
        <r>
          <rPr>
            <sz val="8"/>
            <color rgb="FF000000"/>
            <rFont val="Arial"/>
            <family val="2"/>
          </rPr>
          <t>======
ID#AAAAIbggkFI
wsimms    (2021-05-10 11:38:16)
CHANGED 2008 2.1 TO 2.79929</t>
        </r>
      </text>
    </comment>
    <comment ref="D30" authorId="0" shapeId="0" xr:uid="{00000000-0006-0000-0E00-000001000000}">
      <text>
        <r>
          <rPr>
            <sz val="8"/>
            <color rgb="FF000000"/>
            <rFont val="Arial"/>
            <family val="2"/>
          </rPr>
          <t>======
ID#AAAAIbggkKI
wsimms    (2021-05-10 11:38:16)
CHANGED 2008 FROM 2.6 TO 3.504187 MILLION.</t>
        </r>
      </text>
    </comment>
    <comment ref="L30" authorId="0" shapeId="0" xr:uid="{00000000-0006-0000-0E00-000006000000}">
      <text>
        <r>
          <rPr>
            <sz val="8"/>
            <color rgb="FF000000"/>
            <rFont val="Arial"/>
            <family val="2"/>
          </rPr>
          <t>======
ID#AAAAIbggkJM
    (2021-05-10 11:38:16)
2011 Emission Certification Report.</t>
        </r>
      </text>
    </comment>
    <comment ref="N30" authorId="0" shapeId="0" xr:uid="{00000000-0006-0000-0E00-000027000000}">
      <text>
        <r>
          <rPr>
            <sz val="8"/>
            <color rgb="FF000000"/>
            <rFont val="Arial"/>
            <family val="2"/>
          </rPr>
          <t>======
ID#AAAAIbggkAg
    (2021-05-10 11:38:16)
2011 Emission Certification Report.</t>
        </r>
      </text>
    </comment>
    <comment ref="L32" authorId="0" shapeId="0" xr:uid="{00000000-0006-0000-0E00-000012000000}">
      <text>
        <r>
          <rPr>
            <sz val="8"/>
            <color rgb="FF000000"/>
            <rFont val="Arial"/>
            <family val="2"/>
          </rPr>
          <t>======
ID#AAAAIbggkFw
    (2021-05-10 11:38:16)
2011  GHGRP Report</t>
        </r>
      </text>
    </comment>
    <comment ref="N32" authorId="0" shapeId="0" xr:uid="{00000000-0006-0000-0E00-000020000000}">
      <text>
        <r>
          <rPr>
            <sz val="8"/>
            <color rgb="FF000000"/>
            <rFont val="Arial"/>
            <family val="2"/>
          </rPr>
          <t>======
ID#AAAAIbggkCs
    (2021-05-10 11:38:16)
Emission Certification Report.</t>
        </r>
      </text>
    </comment>
    <comment ref="D35" authorId="0" shapeId="0" xr:uid="{00000000-0006-0000-0E00-000010000000}">
      <text>
        <r>
          <rPr>
            <sz val="8"/>
            <color rgb="FF000000"/>
            <rFont val="Arial"/>
            <family val="2"/>
          </rPr>
          <t>======
ID#AAAAIbggkGU
wsimms    (2021-05-10 11:38:16)
CHANGED 2008 FROM 3.0 TO 4.505 MILLION.</t>
        </r>
      </text>
    </comment>
    <comment ref="L35" authorId="0" shapeId="0" xr:uid="{00000000-0006-0000-0E00-00000E000000}">
      <text>
        <r>
          <rPr>
            <sz val="8"/>
            <color rgb="FF000000"/>
            <rFont val="Arial"/>
            <family val="2"/>
          </rPr>
          <t>======
ID#AAAAIbggkHk
    (2021-05-10 11:38:16)
2011 Emission Certificate Report.</t>
        </r>
      </text>
    </comment>
    <comment ref="N35" authorId="0" shapeId="0" xr:uid="{00000000-0006-0000-0E00-00001D000000}">
      <text>
        <r>
          <rPr>
            <sz val="8"/>
            <color rgb="FF000000"/>
            <rFont val="Arial"/>
            <family val="2"/>
          </rPr>
          <t>======
ID#AAAAIbggkDU
    (2021-05-10 11:38:16)
2011 Emission Certification Report.</t>
        </r>
      </text>
    </comment>
    <comment ref="D37" authorId="0" shapeId="0" xr:uid="{00000000-0006-0000-0E00-000002000000}">
      <text>
        <r>
          <rPr>
            <sz val="8"/>
            <color rgb="FF000000"/>
            <rFont val="Arial"/>
            <family val="2"/>
          </rPr>
          <t>======
ID#AAAAIbggkKM
wsimms    (2021-05-10 11:38:16)
CHANGED 2008 FROM 3.2 TO 4.3747 MILLION.</t>
        </r>
      </text>
    </comment>
    <comment ref="D41" authorId="0" shapeId="0" xr:uid="{00000000-0006-0000-0E00-000034000000}">
      <text>
        <r>
          <rPr>
            <sz val="8"/>
            <color rgb="FF000000"/>
            <rFont val="Arial"/>
            <family val="2"/>
          </rPr>
          <t>======
ID#AAAAIbggj80
wsimms    (2021-05-10 11:38:16)
2005 CAPACITY 4.1 MILLION WAS NOT CHANGED EVEN THOUGH 2008 WAS LISTED AS 1.483205.</t>
        </r>
      </text>
    </comment>
    <comment ref="K41" authorId="0" shapeId="0" xr:uid="{00000000-0006-0000-0E00-00000A000000}">
      <text>
        <r>
          <rPr>
            <sz val="8"/>
            <color rgb="FF000000"/>
            <rFont val="Arial"/>
            <family val="2"/>
          </rPr>
          <t>======
ID#AAAAIbggkIg
Qudus    (2021-05-10 11:38:16)
GHGRP_Data</t>
        </r>
      </text>
    </comment>
    <comment ref="D43" authorId="0" shapeId="0" xr:uid="{00000000-0006-0000-0E00-000003000000}">
      <text>
        <r>
          <rPr>
            <sz val="8"/>
            <color rgb="FF000000"/>
            <rFont val="Arial"/>
            <family val="2"/>
          </rPr>
          <t>======
ID#AAAAIbggkJ4
wsimms    (2021-05-10 11:38:16)
CHANGED 2008 FROM 0.75 TO 1.0009 MILLION.</t>
        </r>
      </text>
    </comment>
    <comment ref="L44" authorId="0" shapeId="0" xr:uid="{00000000-0006-0000-0E00-00002F000000}">
      <text>
        <r>
          <rPr>
            <sz val="8"/>
            <color rgb="FF000000"/>
            <rFont val="Arial"/>
            <family val="2"/>
          </rPr>
          <t>======
ID#AAAAIbggj-g
    (2021-05-10 11:38:16)
2011 Emission Certification Report.</t>
        </r>
      </text>
    </comment>
    <comment ref="N44" authorId="0" shapeId="0" xr:uid="{00000000-0006-0000-0E00-000021000000}">
      <text>
        <r>
          <rPr>
            <sz val="8"/>
            <color rgb="FF000000"/>
            <rFont val="Arial"/>
            <family val="2"/>
          </rPr>
          <t>======
ID#AAAAIbggkCE
    (2021-05-10 11:38:16)
2011 Emission Certification Report.</t>
        </r>
      </text>
    </comment>
    <comment ref="D45" authorId="0" shapeId="0" xr:uid="{00000000-0006-0000-0E00-000007000000}">
      <text>
        <r>
          <rPr>
            <sz val="8"/>
            <color rgb="FF000000"/>
            <rFont val="Arial"/>
            <family val="2"/>
          </rPr>
          <t>======
ID#AAAAIbggkI0
wsimms    (2021-05-10 11:38:16)
CHANGED 2008 FROM 3.2 TO 4.226188 MILLION.</t>
        </r>
      </text>
    </comment>
    <comment ref="C47" authorId="0" shapeId="0" xr:uid="{00000000-0006-0000-0E00-000025000000}">
      <text>
        <r>
          <rPr>
            <sz val="8"/>
            <color rgb="FF000000"/>
            <rFont val="Arial"/>
            <family val="2"/>
          </rPr>
          <t>======
ID#AAAAIbggkBA
Walter A. Simms    (2021-05-10 11:38:16)
This landfill was known by the name Del Signiore, but it is now Garrett Co. SWD&amp;RF</t>
        </r>
      </text>
    </comment>
    <comment ref="D47" authorId="0" shapeId="0" xr:uid="{00000000-0006-0000-0E00-00000B000000}">
      <text>
        <r>
          <rPr>
            <sz val="8"/>
            <color rgb="FF000000"/>
            <rFont val="Arial"/>
            <family val="2"/>
          </rPr>
          <t>======
ID#AAAAIbggkIE
wsimms    (2021-05-10 11:38:16)
CHANGED 2008 FROM 1.5 TO 1.537185 MILLION.</t>
        </r>
      </text>
    </comment>
    <comment ref="D50" authorId="0" shapeId="0" xr:uid="{00000000-0006-0000-0E00-000018000000}">
      <text>
        <r>
          <rPr>
            <sz val="8"/>
            <color rgb="FF000000"/>
            <rFont val="Arial"/>
            <family val="2"/>
          </rPr>
          <t>======
ID#AAAAIbggkEQ
wsimms    (2021-05-10 11:38:16)
CHANGED 2008 FROM 2.3 TO 2.98 MILLION.</t>
        </r>
      </text>
    </comment>
    <comment ref="D52" authorId="0" shapeId="0" xr:uid="{00000000-0006-0000-0E00-000008000000}">
      <text>
        <r>
          <rPr>
            <sz val="8"/>
            <color rgb="FF000000"/>
            <rFont val="Arial"/>
            <family val="2"/>
          </rPr>
          <t>======
ID#AAAAIbggkI4
wsimms    (2021-05-10 11:38:16)
CHANGED 2008 7.1 TO 9.978 MILLION TONS.</t>
        </r>
      </text>
    </comment>
    <comment ref="L60" authorId="0" shapeId="0" xr:uid="{00000000-0006-0000-0E00-00000F000000}">
      <text>
        <r>
          <rPr>
            <sz val="8"/>
            <color rgb="FF000000"/>
            <rFont val="Arial"/>
            <family val="2"/>
          </rPr>
          <t>======
ID#AAAAIbggkGk
    (2021-05-10 11:38:16)
2011 Emission Certificate Report</t>
        </r>
      </text>
    </comment>
    <comment ref="N60" authorId="0" shapeId="0" xr:uid="{00000000-0006-0000-0E00-000011000000}">
      <text>
        <r>
          <rPr>
            <sz val="8"/>
            <color rgb="FF000000"/>
            <rFont val="Arial"/>
            <family val="2"/>
          </rPr>
          <t>======
ID#AAAAIbggkGY
    (2021-05-10 11:38:16)
2011 Emission Certificate Report</t>
        </r>
      </text>
    </comment>
    <comment ref="D61" authorId="0" shapeId="0" xr:uid="{00000000-0006-0000-0E00-000028000000}">
      <text>
        <r>
          <rPr>
            <sz val="8"/>
            <color rgb="FF000000"/>
            <rFont val="Arial"/>
            <family val="2"/>
          </rPr>
          <t>======
ID#AAAAIbggkAY
wsimms    (2021-05-10 11:38:16)
CHANGED 2008 FROM 12.4 TO 16.0</t>
        </r>
      </text>
    </comment>
    <comment ref="L61" authorId="0" shapeId="0" xr:uid="{00000000-0006-0000-0E00-000022000000}">
      <text>
        <r>
          <rPr>
            <sz val="8"/>
            <color rgb="FF000000"/>
            <rFont val="Arial"/>
            <family val="2"/>
          </rPr>
          <t>======
ID#AAAAIbggkCA
    (2021-05-10 11:38:16)
2011 Emission Certificate Report</t>
        </r>
      </text>
    </comment>
    <comment ref="N61" authorId="0" shapeId="0" xr:uid="{00000000-0006-0000-0E00-000005000000}">
      <text>
        <r>
          <rPr>
            <sz val="8"/>
            <color rgb="FF000000"/>
            <rFont val="Arial"/>
            <family val="2"/>
          </rPr>
          <t>======
ID#AAAAIbggkJc
    (2021-05-10 11:38:16)
2011 Emission Certificate Report.</t>
        </r>
      </text>
    </comment>
    <comment ref="I62" authorId="0" shapeId="0" xr:uid="{00000000-0006-0000-0E00-000030000000}">
      <text>
        <r>
          <rPr>
            <sz val="8"/>
            <color rgb="FF000000"/>
            <rFont val="Arial"/>
            <family val="2"/>
          </rPr>
          <t>======
ID#AAAAIbggj-k
Walter A. Simms    (2021-05-10 11:38:16)
CLOSED JUNE 2000</t>
        </r>
      </text>
    </comment>
    <comment ref="L62" authorId="0" shapeId="0" xr:uid="{00000000-0006-0000-0E00-000009000000}">
      <text>
        <r>
          <rPr>
            <sz val="8"/>
            <color rgb="FF000000"/>
            <rFont val="Arial"/>
            <family val="2"/>
          </rPr>
          <t>======
ID#AAAAIbggkIc
    (2021-05-10 11:38:16)
2011 Emission Certification Report.</t>
        </r>
      </text>
    </comment>
    <comment ref="N62" authorId="0" shapeId="0" xr:uid="{00000000-0006-0000-0E00-000033000000}">
      <text>
        <r>
          <rPr>
            <sz val="8"/>
            <color rgb="FF000000"/>
            <rFont val="Arial"/>
            <family val="2"/>
          </rPr>
          <t>======
ID#AAAAIbggj9E
    (2021-05-10 11:38:16)
2011 Emission Certification Report.</t>
        </r>
      </text>
    </comment>
    <comment ref="C63" authorId="0" shapeId="0" xr:uid="{00000000-0006-0000-0E00-000013000000}">
      <text>
        <r>
          <rPr>
            <sz val="8"/>
            <color rgb="FF000000"/>
            <rFont val="Arial"/>
            <family val="2"/>
          </rPr>
          <t>======
ID#AAAAIbggkFY
Walter A. Simms    (2021-05-10 11:38:16)
Both Area #1 and #2 are calculated on this row.</t>
        </r>
      </text>
    </comment>
    <comment ref="C65" authorId="0" shapeId="0" xr:uid="{00000000-0006-0000-0E00-00001F000000}">
      <text>
        <r>
          <rPr>
            <sz val="8"/>
            <color rgb="FF000000"/>
            <rFont val="Arial"/>
            <family val="2"/>
          </rPr>
          <t>======
ID#AAAAIbggkC8
Walter A. Simms    (2021-05-10 11:38:16)
Somerset County MLF was also known as Fairmount Rd MLF.</t>
        </r>
      </text>
    </comment>
    <comment ref="D65" authorId="0" shapeId="0" xr:uid="{00000000-0006-0000-0E00-000004000000}">
      <text>
        <r>
          <rPr>
            <sz val="8"/>
            <color rgb="FF000000"/>
            <rFont val="Arial"/>
            <family val="2"/>
          </rPr>
          <t>======
ID#AAAAIbggkJs
wsimms    (2021-05-10 11:38:16)
CHANGED 2008 FROM 1.5 TO 1.610 MILLION.</t>
        </r>
      </text>
    </comment>
    <comment ref="D68" authorId="0" shapeId="0" xr:uid="{00000000-0006-0000-0E00-000014000000}">
      <text>
        <r>
          <rPr>
            <sz val="8"/>
            <color rgb="FF000000"/>
            <rFont val="Arial"/>
            <family val="2"/>
          </rPr>
          <t>======
ID#AAAAIbggkFM
wsimms    (2021-05-10 11:38:16)
CHANGED 2008 FROM 2.2 TO 3.751244 MILLION.</t>
        </r>
      </text>
    </comment>
    <comment ref="C71" authorId="0" shapeId="0" xr:uid="{00000000-0006-0000-0E00-000032000000}">
      <text>
        <r>
          <rPr>
            <sz val="8"/>
            <color rgb="FF000000"/>
            <rFont val="Arial"/>
            <family val="2"/>
          </rPr>
          <t>======
ID#AAAAIbggj9Q
Walter A. Simms    (2021-05-10 11:38:16)
OPENED 1982 CLOSED IN1998; REOPENED IN 1998 AND CLOSED IN 2000.</t>
        </r>
      </text>
    </comment>
    <comment ref="C72" authorId="0" shapeId="0" xr:uid="{00000000-0006-0000-0E00-00001A000000}">
      <text>
        <r>
          <rPr>
            <sz val="8"/>
            <color rgb="FF000000"/>
            <rFont val="Arial"/>
            <family val="2"/>
          </rPr>
          <t>======
ID#AAAAIbggkEE
Walter A. Simms    (2021-05-10 11:38:16)
NEW, OPENED 2000</t>
        </r>
      </text>
    </comment>
    <comment ref="D72" authorId="0" shapeId="0" xr:uid="{00000000-0006-0000-0E00-00002B000000}">
      <text>
        <r>
          <rPr>
            <sz val="8"/>
            <color rgb="FF000000"/>
            <rFont val="Arial"/>
            <family val="2"/>
          </rPr>
          <t>======
ID#AAAAIbggj_s
wsimms    (2021-05-10 11:38:16)
CHANGED 2008 FROM 11.8 TO 20.273 MILLION.</t>
        </r>
      </text>
    </comment>
    <comment ref="D74" authorId="0" shapeId="0" xr:uid="{00000000-0006-0000-0E00-00002C000000}">
      <text>
        <r>
          <rPr>
            <sz val="8"/>
            <color rgb="FF000000"/>
            <rFont val="Arial"/>
            <family val="2"/>
          </rPr>
          <t>======
ID#AAAAIbggj_g
wsimms    (2021-05-10 11:38:16)
CHANGED 2008 FROM 5.4 TO 7.2 MILLION.</t>
        </r>
      </text>
    </comment>
    <comment ref="D76" authorId="0" shapeId="0" xr:uid="{00000000-0006-0000-0E00-000015000000}">
      <text>
        <r>
          <rPr>
            <sz val="8"/>
            <color rgb="FF000000"/>
            <rFont val="Arial"/>
            <family val="2"/>
          </rPr>
          <t>======
ID#AAAAIbggkFE
wsimms    (2021-05-10 11:38:16)
CHANGED 2008 FROM 8.6 TO 4.8 MILLION.</t>
        </r>
      </text>
    </comment>
    <comment ref="J86" authorId="0" shapeId="0" xr:uid="{00000000-0006-0000-0E00-000026000000}">
      <text>
        <r>
          <rPr>
            <sz val="8"/>
            <color rgb="FF000000"/>
            <rFont val="Arial"/>
            <family val="2"/>
          </rPr>
          <t>======
ID#AAAAIbggkA0
    (2021-05-10 11:38:16)
Assume 7 % of MSW)</t>
        </r>
      </text>
    </comment>
    <comment ref="M89" authorId="0" shapeId="0" xr:uid="{00000000-0006-0000-0E00-00001C000000}">
      <text>
        <r>
          <rPr>
            <sz val="8"/>
            <color rgb="FF000000"/>
            <rFont val="Arial"/>
            <family val="2"/>
          </rPr>
          <t>======
ID#AAAAIbggkDY
    (2021-05-10 11:38:16)
Flared CH4 + Landill Gas-to-Energy CH4</t>
        </r>
      </text>
    </comment>
    <comment ref="U95" authorId="0" shapeId="0" xr:uid="{00000000-0006-0000-0E00-000017000000}">
      <text>
        <r>
          <rPr>
            <sz val="8"/>
            <color rgb="FF000000"/>
            <rFont val="Arial"/>
            <family val="2"/>
          </rPr>
          <t>======
ID#AAAAIbggkE8
    (2021-05-10 11:38:16)
Assumed 7% of MSW</t>
        </r>
      </text>
    </comment>
    <comment ref="U97" authorId="0" shapeId="0" xr:uid="{00000000-0006-0000-0E00-00002A000000}">
      <text>
        <r>
          <rPr>
            <sz val="8"/>
            <color rgb="FF000000"/>
            <rFont val="Arial"/>
            <family val="2"/>
          </rPr>
          <t>======
ID#AAAAIbggkAM
    (2021-05-10 11:38:16)
Assumed 7% of MSW</t>
        </r>
      </text>
    </comment>
  </commentList>
  <extLst>
    <ext xmlns:r="http://schemas.openxmlformats.org/officeDocument/2006/relationships" uri="GoogleSheetsCustomDataVersion1">
      <go:sheetsCustomData xmlns:go="http://customooxmlschemas.google.com/" r:id="rId1" roundtripDataSignature="AMtx7mj65MOiSoLJq7qRPkLh+ReYvtN16Q=="/>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Z29" authorId="0" shapeId="0" xr:uid="{00000000-0006-0000-0F00-000001000000}">
      <text>
        <r>
          <rPr>
            <sz val="8"/>
            <color rgb="FF000000"/>
            <rFont val="Arial"/>
            <family val="2"/>
          </rPr>
          <t>======
ID#AAAAIbggkB4
    (2021-05-10 11:38:16)
NO CH4 Emission Reported</t>
        </r>
      </text>
    </comment>
  </commentList>
  <extLst>
    <ext xmlns:r="http://schemas.openxmlformats.org/officeDocument/2006/relationships" uri="GoogleSheetsCustomDataVersion1">
      <go:sheetsCustomData xmlns:go="http://customooxmlschemas.google.com/" r:id="rId1" roundtripDataSignature="AMtx7mi8mFaHAtmged/D3u6xaGBZmsLeYg=="/>
    </ext>
  </extL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1100-000001000000}">
      <text>
        <r>
          <rPr>
            <sz val="8"/>
            <color rgb="FF000000"/>
            <rFont val="Arial"/>
            <family val="2"/>
          </rPr>
          <t>======
ID#AAAAIbggkA4
    (2021-05-10 11:38:16)
MTCH4 are converted to MMTCO2E by multiplying by the GWP of CH4, or 21, and then dividing by 1,000,000</t>
        </r>
      </text>
    </comment>
    <comment ref="F22" authorId="0" shapeId="0" xr:uid="{00000000-0006-0000-1100-000002000000}">
      <text>
        <r>
          <rPr>
            <sz val="8"/>
            <color rgb="FF000000"/>
            <rFont val="Arial"/>
            <family val="2"/>
          </rPr>
          <t>======
ID#AAAAIbggj9A
    (2021-05-10 11:38:16)
MTCH4 are converted to MMTCO2E by multiplying by the GWP of CH4, or 21, and then dividing by 1,000,000</t>
        </r>
      </text>
    </comment>
  </commentList>
  <extLst>
    <ext xmlns:r="http://schemas.openxmlformats.org/officeDocument/2006/relationships" uri="GoogleSheetsCustomDataVersion1">
      <go:sheetsCustomData xmlns:go="http://customooxmlschemas.google.com/" r:id="rId1" roundtripDataSignature="AMtx7mhmYLH61QVHLkYBzVTuo8fB0wZOKA=="/>
    </ext>
  </extL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L4" authorId="0" shapeId="0" xr:uid="{00000000-0006-0000-1200-000002000000}">
      <text>
        <r>
          <rPr>
            <sz val="8"/>
            <color rgb="FF000000"/>
            <rFont val="Arial"/>
            <family val="2"/>
          </rPr>
          <t>======
ID#AAAAIbggkHg
    (2021-05-10 11:38:16)
Million cubic feet are converted to MTCH4 by multiplying by 19.2 grams/cubic feet of CH4.</t>
        </r>
      </text>
    </comment>
    <comment ref="N4" authorId="0" shapeId="0" xr:uid="{00000000-0006-0000-1200-000005000000}">
      <text>
        <r>
          <rPr>
            <sz val="8"/>
            <color rgb="FF000000"/>
            <rFont val="Arial"/>
            <family val="2"/>
          </rPr>
          <t>======
ID#AAAAIbggkEU
    (2021-05-10 11:38:16)
MTCH4 are converted to MTCO2E by multiplying first by the GWP of CH4, or 21.</t>
        </r>
      </text>
    </comment>
    <comment ref="J8" authorId="0" shapeId="0" xr:uid="{00000000-0006-0000-1200-000004000000}">
      <text>
        <r>
          <rPr>
            <sz val="8"/>
            <color rgb="FF000000"/>
            <rFont val="Arial"/>
            <family val="2"/>
          </rPr>
          <t>======
ID#AAAAIbggkEg
    (2021-05-10 11:38:16)
Thousand cubic feet are converted to MTCH4 by dividing by 1,000, then by 19.2 grams/cubic feet of CH4.</t>
        </r>
      </text>
    </comment>
    <comment ref="L8" authorId="0" shapeId="0" xr:uid="{00000000-0006-0000-1200-000001000000}">
      <text>
        <r>
          <rPr>
            <sz val="8"/>
            <color rgb="FF000000"/>
            <rFont val="Arial"/>
            <family val="2"/>
          </rPr>
          <t>======
ID#AAAAIbggkKQ
    (2021-05-10 11:38:16)
MTCH4 are converted to MTCO2E by multiplying first by the GWP of CH4, or 21.</t>
        </r>
      </text>
    </comment>
    <comment ref="J12" authorId="0" shapeId="0" xr:uid="{00000000-0006-0000-1200-000006000000}">
      <text>
        <r>
          <rPr>
            <sz val="8"/>
            <color rgb="FF000000"/>
            <rFont val="Arial"/>
            <family val="2"/>
          </rPr>
          <t>======
ID#AAAAIbggkD0
    (2021-05-10 11:38:16)
Thousand cubic feet are converted to MTCH4 by dividing by 1,000, then by 19.2 grams/cubic feet of CH4.</t>
        </r>
      </text>
    </comment>
    <comment ref="L12" authorId="0" shapeId="0" xr:uid="{00000000-0006-0000-1200-000003000000}">
      <text>
        <r>
          <rPr>
            <sz val="8"/>
            <color rgb="FF000000"/>
            <rFont val="Arial"/>
            <family val="2"/>
          </rPr>
          <t>======
ID#AAAAIbggkG4
    (2021-05-10 11:38:16)
MTCH4 are converted to MTCO2E by multiplying first by the GWP of CH4, or 21.</t>
        </r>
      </text>
    </comment>
  </commentList>
  <extLst>
    <ext xmlns:r="http://schemas.openxmlformats.org/officeDocument/2006/relationships" uri="GoogleSheetsCustomDataVersion1">
      <go:sheetsCustomData xmlns:go="http://customooxmlschemas.google.com/" r:id="rId1" roundtripDataSignature="AMtx7miFKIBpFAFyNCp7lxtrWHs290MRKA=="/>
    </ext>
  </extL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E10" authorId="0" shapeId="0" xr:uid="{00000000-0006-0000-1300-000003000000}">
      <text>
        <r>
          <rPr>
            <sz val="8"/>
            <color rgb="FF000000"/>
            <rFont val="Arial"/>
            <family val="2"/>
          </rPr>
          <t>======
ID#AAAAIbggj9I
    (2021-05-10 11:38:16)
Based on 2011 Pop.</t>
        </r>
      </text>
    </comment>
    <comment ref="E16" authorId="0" shapeId="0" xr:uid="{00000000-0006-0000-1300-000002000000}">
      <text>
        <r>
          <rPr>
            <sz val="8"/>
            <color rgb="FF000000"/>
            <rFont val="Arial"/>
            <family val="2"/>
          </rPr>
          <t>======
ID#AAAAIbggj9o
    (2021-05-10 11:38:16)
2010 Available data.</t>
        </r>
      </text>
    </comment>
    <comment ref="C22" authorId="0" shapeId="0" xr:uid="{00000000-0006-0000-1300-000001000000}">
      <text>
        <r>
          <rPr>
            <sz val="8"/>
            <color rgb="FF000000"/>
            <rFont val="Arial"/>
            <family val="2"/>
          </rPr>
          <t>======
ID#AAAAIbggkE0
sal    (2021-05-10 11:38:16)
SIT Default 2010</t>
        </r>
      </text>
    </comment>
  </commentList>
  <extLst>
    <ext xmlns:r="http://schemas.openxmlformats.org/officeDocument/2006/relationships" uri="GoogleSheetsCustomDataVersion1">
      <go:sheetsCustomData xmlns:go="http://customooxmlschemas.google.com/" r:id="rId1" roundtripDataSignature="AMtx7mjKcwMHGuxFLb4uYEy0X6v35cNlCQ=="/>
    </ext>
  </extL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1400-000047000000}">
      <text>
        <r>
          <rPr>
            <sz val="8"/>
            <color rgb="FF000000"/>
            <rFont val="Arial"/>
            <family val="2"/>
          </rPr>
          <t>======
ID#AAAAIbggj94
    (2021-05-10 11:38:16)
Kg of methane are converted to metric tons by dividing by 1000. This is then converted to MMTCH4 by dividing by 1,000,000.</t>
        </r>
      </text>
    </comment>
    <comment ref="K4" authorId="0" shapeId="0" xr:uid="{00000000-0006-0000-1400-000044000000}">
      <text>
        <r>
          <rPr>
            <sz val="8"/>
            <color rgb="FF000000"/>
            <rFont val="Arial"/>
            <family val="2"/>
          </rPr>
          <t>======
ID#AAAAIbggj-I
    (2021-05-10 11:38:16)
MMTCH4 are converted to MMTCE by multiply by methane's global warming potential (21) and then 12/44 (to convert from CO2 to C).</t>
        </r>
      </text>
    </comment>
    <comment ref="M4" authorId="0" shapeId="0" xr:uid="{00000000-0006-0000-1400-00001E000000}">
      <text>
        <r>
          <rPr>
            <sz val="8"/>
            <color rgb="FF000000"/>
            <rFont val="Arial"/>
            <family val="2"/>
          </rPr>
          <t>======
ID#AAAAIbggkEs
    (2021-05-10 11:38:16)
MMTCE are converted to MMTCO2E by dividing by 12/44 (to convert from C to CO2).</t>
        </r>
      </text>
    </comment>
    <comment ref="C17" authorId="0" shapeId="0" xr:uid="{00000000-0006-0000-1400-00001F000000}">
      <text>
        <r>
          <rPr>
            <sz val="8"/>
            <color rgb="FF000000"/>
            <rFont val="Arial"/>
            <family val="2"/>
          </rPr>
          <t>======
ID#AAAAIbggkEk
    (2021-05-10 11:38:16)
SIT 2010 default</t>
        </r>
      </text>
    </comment>
    <comment ref="C18" authorId="0" shapeId="0" xr:uid="{00000000-0006-0000-1400-000021000000}">
      <text>
        <r>
          <rPr>
            <sz val="8"/>
            <color rgb="FF000000"/>
            <rFont val="Arial"/>
            <family val="2"/>
          </rPr>
          <t>======
ID#AAAAIbggkD8
    (2021-05-10 11:38:16)
SIT 2010 Default</t>
        </r>
      </text>
    </comment>
    <comment ref="C21" authorId="0" shapeId="0" xr:uid="{00000000-0006-0000-1400-000002000000}">
      <text>
        <r>
          <rPr>
            <sz val="8"/>
            <color rgb="FF000000"/>
            <rFont val="Arial"/>
            <family val="2"/>
          </rPr>
          <t>======
ID#AAAAIbggkJg
    (2021-05-10 11:38:16)
USDA 2009 data</t>
        </r>
      </text>
    </comment>
    <comment ref="C24" authorId="0" shapeId="0" xr:uid="{00000000-0006-0000-1400-000020000000}">
      <text>
        <r>
          <rPr>
            <sz val="8"/>
            <color rgb="FF000000"/>
            <rFont val="Arial"/>
            <family val="2"/>
          </rPr>
          <t>======
ID#AAAAIbggkEY
    (2021-05-10 11:38:16)
2010 Maryland Equine Census,march 03,11; 2010 data</t>
        </r>
      </text>
    </comment>
    <comment ref="M30" authorId="0" shapeId="0" xr:uid="{00000000-0006-0000-1400-000009000000}">
      <text>
        <r>
          <rPr>
            <sz val="8"/>
            <color rgb="FF000000"/>
            <rFont val="Arial"/>
            <family val="2"/>
          </rPr>
          <t>======
ID#AAAAIbggkIM
    (2021-05-10 11:38:16)
Sum of MCF for each animal's management system x Percent of Manure Managed in that system</t>
        </r>
      </text>
    </comment>
    <comment ref="C35" authorId="0" shapeId="0" xr:uid="{00000000-0006-0000-1400-000022000000}">
      <text>
        <r>
          <rPr>
            <sz val="8"/>
            <color rgb="FF000000"/>
            <rFont val="Arial"/>
            <family val="2"/>
          </rPr>
          <t>======
ID#AAAAIbggkEA
    (2021-05-10 11:38:16)
not yet updated with 2011</t>
        </r>
      </text>
    </comment>
    <comment ref="C36" authorId="0" shapeId="0" xr:uid="{00000000-0006-0000-1400-000028000000}">
      <text>
        <r>
          <rPr>
            <sz val="8"/>
            <color rgb="FF000000"/>
            <rFont val="Arial"/>
            <family val="2"/>
          </rPr>
          <t>======
ID#AAAAIbggkC0
    (2021-05-10 11:38:16)
not yet updated</t>
        </r>
      </text>
    </comment>
    <comment ref="C46" authorId="0" shapeId="0" xr:uid="{00000000-0006-0000-1400-000019000000}">
      <text>
        <r>
          <rPr>
            <sz val="8"/>
            <color rgb="FF000000"/>
            <rFont val="Arial"/>
            <family val="2"/>
          </rPr>
          <t>======
ID#AAAAIbggkFg
    (2021-05-10 11:38:16)
SIT Default 2010 data</t>
        </r>
      </text>
    </comment>
    <comment ref="C51" authorId="0" shapeId="0" xr:uid="{00000000-0006-0000-1400-000010000000}">
      <text>
        <r>
          <rPr>
            <sz val="8"/>
            <color rgb="FF000000"/>
            <rFont val="Arial"/>
            <family val="2"/>
          </rPr>
          <t>======
ID#AAAAIbggkG8
    (2021-05-10 11:38:16)
SIT 2010 Default data</t>
        </r>
      </text>
    </comment>
    <comment ref="B52" authorId="0" shapeId="0" xr:uid="{00000000-0006-0000-1400-000003000000}">
      <text>
        <r>
          <rPr>
            <sz val="8"/>
            <color rgb="FF000000"/>
            <rFont val="Arial"/>
            <family val="2"/>
          </rPr>
          <t>======
ID#AAAAIbggkJQ
    (2021-05-10 11:38:16)
Includes:  Pullets laying, Pullets &gt; 3 mo., and Pullets &lt; 3 mo.</t>
        </r>
      </text>
    </comment>
    <comment ref="C52" authorId="0" shapeId="0" xr:uid="{00000000-0006-0000-1400-000008000000}">
      <text>
        <r>
          <rPr>
            <sz val="8"/>
            <color rgb="FF000000"/>
            <rFont val="Arial"/>
            <family val="2"/>
          </rPr>
          <t>======
ID#AAAAIbggkIU
    (2021-05-10 11:38:16)
SIT 2010 Default data</t>
        </r>
      </text>
    </comment>
    <comment ref="C53" authorId="0" shapeId="0" xr:uid="{00000000-0006-0000-1400-00000D000000}">
      <text>
        <r>
          <rPr>
            <sz val="8"/>
            <color rgb="FF000000"/>
            <rFont val="Arial"/>
            <family val="2"/>
          </rPr>
          <t>======
ID#AAAAIbggkHc
    (2021-05-10 11:38:16)
SIT 2010 Default data</t>
        </r>
      </text>
    </comment>
    <comment ref="B54" authorId="0" shapeId="0" xr:uid="{00000000-0006-0000-1400-00002B000000}">
      <text>
        <r>
          <rPr>
            <sz val="8"/>
            <color rgb="FF000000"/>
            <rFont val="Arial"/>
            <family val="2"/>
          </rPr>
          <t>======
ID#AAAAIbggkCc
    (2021-05-10 11:38:16)
Includes: Regular Broilers, Other (Lost), and Other (Sold)</t>
        </r>
      </text>
    </comment>
    <comment ref="C54" authorId="0" shapeId="0" xr:uid="{00000000-0006-0000-1400-000036000000}">
      <text>
        <r>
          <rPr>
            <sz val="8"/>
            <color rgb="FF000000"/>
            <rFont val="Arial"/>
            <family val="2"/>
          </rPr>
          <t>======
ID#AAAAIbggkBE
    (2021-05-10 11:38:16)
SIT 2010 Default data</t>
        </r>
      </text>
    </comment>
    <comment ref="C55" authorId="0" shapeId="0" xr:uid="{00000000-0006-0000-1400-000039000000}">
      <text>
        <r>
          <rPr>
            <sz val="8"/>
            <color rgb="FF000000"/>
            <rFont val="Arial"/>
            <family val="2"/>
          </rPr>
          <t>======
ID#AAAAIbggkAo
    (2021-05-10 11:38:16)
SIT 2010 Default data</t>
        </r>
      </text>
    </comment>
    <comment ref="B57" authorId="0" shapeId="0" xr:uid="{00000000-0006-0000-1400-00001D000000}">
      <text>
        <r>
          <rPr>
            <sz val="8"/>
            <color rgb="FF000000"/>
            <rFont val="Arial"/>
            <family val="2"/>
          </rPr>
          <t>======
ID#AAAAIbggkEo
    (2021-05-10 11:38:16)
Sheep on feed that are in feedlots were assumed to be manged using a dry lot system, all others were assumed to be PRP.</t>
        </r>
      </text>
    </comment>
    <comment ref="C58" authorId="0" shapeId="0" xr:uid="{00000000-0006-0000-1400-000027000000}">
      <text>
        <r>
          <rPr>
            <sz val="8"/>
            <color rgb="FF000000"/>
            <rFont val="Arial"/>
            <family val="2"/>
          </rPr>
          <t>======
ID#AAAAIbggkDE
    (2021-05-10 11:38:16)
SIT Default 2010</t>
        </r>
      </text>
    </comment>
    <comment ref="C60" authorId="0" shapeId="0" xr:uid="{00000000-0006-0000-1400-000023000000}">
      <text>
        <r>
          <rPr>
            <sz val="8"/>
            <color rgb="FF000000"/>
            <rFont val="Arial"/>
            <family val="2"/>
          </rPr>
          <t>======
ID#AAAAIbggkDs
    (2021-05-10 11:38:16)
2010 Maryland Equine Census,march 03,11; 2010 data</t>
        </r>
      </text>
    </comment>
    <comment ref="S66" authorId="0" shapeId="0" xr:uid="{00000000-0006-0000-1400-000041000000}">
      <text>
        <r>
          <rPr>
            <sz val="8"/>
            <color rgb="FF000000"/>
            <rFont val="Arial"/>
            <family val="2"/>
          </rPr>
          <t>======
ID#AAAAIbggj-4
    (2021-05-10 11:38:16)
MTCE are converted to MMTCE by dividing by 1,000,000.</t>
        </r>
      </text>
    </comment>
    <comment ref="C71" authorId="0" shapeId="0" xr:uid="{00000000-0006-0000-1400-000012000000}">
      <text>
        <r>
          <rPr>
            <sz val="8"/>
            <color rgb="FF000000"/>
            <rFont val="Arial"/>
            <family val="2"/>
          </rPr>
          <t>======
ID#AAAAIbggkGo
    (2021-05-10 11:38:16)
SIT 2010 default</t>
        </r>
      </text>
    </comment>
    <comment ref="C72" authorId="0" shapeId="0" xr:uid="{00000000-0006-0000-1400-00004A000000}">
      <text>
        <r>
          <rPr>
            <sz val="8"/>
            <color rgb="FF000000"/>
            <rFont val="Arial"/>
            <family val="2"/>
          </rPr>
          <t>======
ID#AAAAIbggj84
    (2021-05-10 11:38:16)
SIT 2010 Default</t>
        </r>
      </text>
    </comment>
    <comment ref="C76" authorId="0" shapeId="0" xr:uid="{00000000-0006-0000-1400-00002F000000}">
      <text>
        <r>
          <rPr>
            <sz val="8"/>
            <color rgb="FF000000"/>
            <rFont val="Arial"/>
            <family val="2"/>
          </rPr>
          <t>======
ID#AAAAIbggkB8
    (2021-05-10 11:38:16)
SIT Default 2010</t>
        </r>
      </text>
    </comment>
    <comment ref="B81" authorId="0" shapeId="0" xr:uid="{00000000-0006-0000-1400-00000B000000}">
      <text>
        <r>
          <rPr>
            <sz val="8"/>
            <color rgb="FF000000"/>
            <rFont val="Arial"/>
            <family val="2"/>
          </rPr>
          <t>======
ID#AAAAIbggkHw
    (2021-05-10 11:38:16)
Includes: Regular Broilers, Other (Lost), and Other (Sold)</t>
        </r>
      </text>
    </comment>
    <comment ref="C81" authorId="0" shapeId="0" xr:uid="{00000000-0006-0000-1400-000013000000}">
      <text>
        <r>
          <rPr>
            <sz val="8"/>
            <color rgb="FF000000"/>
            <rFont val="Arial"/>
            <family val="2"/>
          </rPr>
          <t>======
ID#AAAAIbggkGE
    (2021-05-10 11:38:16)
SIT 2010 Default data</t>
        </r>
      </text>
    </comment>
    <comment ref="C82" authorId="0" shapeId="0" xr:uid="{00000000-0006-0000-1400-000001000000}">
      <text>
        <r>
          <rPr>
            <sz val="8"/>
            <color rgb="FF000000"/>
            <rFont val="Arial"/>
            <family val="2"/>
          </rPr>
          <t>======
ID#AAAAIbggkJ8
    (2021-05-10 11:38:16)
SIT 2010 Default data</t>
        </r>
      </text>
    </comment>
    <comment ref="C83" authorId="0" shapeId="0" xr:uid="{00000000-0006-0000-1400-000046000000}">
      <text>
        <r>
          <rPr>
            <sz val="8"/>
            <color rgb="FF000000"/>
            <rFont val="Arial"/>
            <family val="2"/>
          </rPr>
          <t>======
ID#AAAAIbggj-A
    (2021-05-10 11:38:16)
SIT 2010 Default data</t>
        </r>
      </text>
    </comment>
    <comment ref="C84" authorId="0" shapeId="0" xr:uid="{00000000-0006-0000-1400-000031000000}">
      <text>
        <r>
          <rPr>
            <sz val="8"/>
            <color rgb="FF000000"/>
            <rFont val="Arial"/>
            <family val="2"/>
          </rPr>
          <t>======
ID#AAAAIbggkBw
    (2021-05-10 11:38:16)
SIT 2010 Default data</t>
        </r>
      </text>
    </comment>
    <comment ref="C85" authorId="0" shapeId="0" xr:uid="{00000000-0006-0000-1400-000004000000}">
      <text>
        <r>
          <rPr>
            <sz val="8"/>
            <color rgb="FF000000"/>
            <rFont val="Arial"/>
            <family val="2"/>
          </rPr>
          <t>======
ID#AAAAIbggkJE
    (2021-05-10 11:38:16)
SIT 2010 Default data</t>
        </r>
      </text>
    </comment>
    <comment ref="C88" authorId="0" shapeId="0" xr:uid="{00000000-0006-0000-1400-000040000000}">
      <text>
        <r>
          <rPr>
            <sz val="8"/>
            <color rgb="FF000000"/>
            <rFont val="Arial"/>
            <family val="2"/>
          </rPr>
          <t>======
ID#AAAAIbggj_Y
    (2021-05-10 11:38:16)
SIT Default 2010</t>
        </r>
      </text>
    </comment>
    <comment ref="E95" authorId="0" shapeId="0" xr:uid="{00000000-0006-0000-1400-000015000000}">
      <text>
        <r>
          <rPr>
            <sz val="8"/>
            <color rgb="FF000000"/>
            <rFont val="Arial"/>
            <family val="2"/>
          </rPr>
          <t>======
ID#AAAAIbggkFo
    (2021-05-10 11:38:16)
This data can be obtained departments in each state responsible for agricultural research.  USDA: http://www.nass.usda.gov/Data_and_Statistics/index.asp</t>
        </r>
      </text>
    </comment>
    <comment ref="G95" authorId="0" shapeId="0" xr:uid="{00000000-0006-0000-1400-00004B000000}">
      <text>
        <r>
          <rPr>
            <sz val="8"/>
            <color rgb="FF000000"/>
            <rFont val="Arial"/>
            <family val="2"/>
          </rPr>
          <t>======
ID#AAAAIbggj8c
J Casola    (2021-05-10 11:38:16)
Corn for Grain, All Wheat, Barley, Sorghum, Oats, Rye, and Soybeans back-calculated from bushel and tonnage values found in "Field Crops, Final Estimates, 1992-1997" SB 947a USDA/NASS. Other crops assumed conversion 0.027215</t>
        </r>
      </text>
    </comment>
    <comment ref="I95" authorId="0" shapeId="0" xr:uid="{00000000-0006-0000-1400-00003C000000}">
      <text>
        <r>
          <rPr>
            <sz val="8"/>
            <color rgb="FF000000"/>
            <rFont val="Arial"/>
            <family val="2"/>
          </rPr>
          <t>======
ID#AAAAIbggj_8
DLekas    (2021-05-10 11:38:16)
EIIP 1999 &amp; EPA 2001</t>
        </r>
      </text>
    </comment>
    <comment ref="AC95" authorId="0" shapeId="0" xr:uid="{00000000-0006-0000-1400-00001A000000}">
      <text>
        <r>
          <rPr>
            <sz val="8"/>
            <color rgb="FF000000"/>
            <rFont val="Arial"/>
            <family val="2"/>
          </rPr>
          <t>======
ID#AAAAIbggkFU
    (2021-05-10 11:38:16)
Metric tons N2O are converted to MMTCE by multiplying by the N2O global warming potential (310 N2O/CO2). multiplying by 12/44 (to convert from CO2 to C), and then dividing by 1,000,000.</t>
        </r>
      </text>
    </comment>
    <comment ref="AE95" authorId="0" shapeId="0" xr:uid="{00000000-0006-0000-1400-000037000000}">
      <text>
        <r>
          <rPr>
            <sz val="8"/>
            <color rgb="FF000000"/>
            <rFont val="Arial"/>
            <family val="2"/>
          </rPr>
          <t>======
ID#AAAAIbggkBI
    (2021-05-10 11:38:16)
MMTCE are converted to MMTCO2E by dividing by 12/44 (to convert from C to CO2).</t>
        </r>
      </text>
    </comment>
    <comment ref="E123" authorId="0" shapeId="0" xr:uid="{00000000-0006-0000-1400-000042000000}">
      <text>
        <r>
          <rPr>
            <sz val="8"/>
            <color rgb="FF000000"/>
            <rFont val="Arial"/>
            <family val="2"/>
          </rPr>
          <t>======
ID#AAAAIbggj-0
    (2021-05-10 11:38:16)
According to the US Inventory, 65% of the fertilizer consumption takes place from Jan-June and 35% from July-Dec.</t>
        </r>
      </text>
    </comment>
    <comment ref="S123" authorId="0" shapeId="0" xr:uid="{00000000-0006-0000-1400-000033000000}">
      <text>
        <r>
          <rPr>
            <sz val="8"/>
            <color rgb="FF000000"/>
            <rFont val="Arial"/>
            <family val="2"/>
          </rPr>
          <t>======
ID#AAAAIbggkBk
    (2021-05-10 11:38:16)
Metric tons N2O are converted to MMTCE by multiplying by the N2O global warming potential (310 N2O/CO2). multiplying by 12/44 (to convert from CO2 to C), and then dividing by 1,000,000.</t>
        </r>
      </text>
    </comment>
    <comment ref="U123" authorId="0" shapeId="0" xr:uid="{00000000-0006-0000-1400-00002A000000}">
      <text>
        <r>
          <rPr>
            <sz val="8"/>
            <color rgb="FF000000"/>
            <rFont val="Arial"/>
            <family val="2"/>
          </rPr>
          <t>======
ID#AAAAIbggkCo
    (2021-05-10 11:38:16)
Metric tons N2O are converted to MMTCE by multiplying by the N2O global warming potential (310 N2O/CO2). multiplying by 12/44 (to convert from CO2 to C), and then dividing by 1,000,000.</t>
        </r>
      </text>
    </comment>
    <comment ref="W123" authorId="0" shapeId="0" xr:uid="{00000000-0006-0000-1400-000038000000}">
      <text>
        <r>
          <rPr>
            <sz val="8"/>
            <color rgb="FF000000"/>
            <rFont val="Arial"/>
            <family val="2"/>
          </rPr>
          <t>======
ID#AAAAIbggkAk
    (2021-05-10 11:38:16)
MMTCE are converted to MMTCO2E by dividing by 12/44 (to convert from C to CO2).</t>
        </r>
      </text>
    </comment>
    <comment ref="Y123" authorId="0" shapeId="0" xr:uid="{00000000-0006-0000-1400-00000E000000}">
      <text>
        <r>
          <rPr>
            <sz val="8"/>
            <color rgb="FF000000"/>
            <rFont val="Arial"/>
            <family val="2"/>
          </rPr>
          <t>======
ID#AAAAIbggkHM
    (2021-05-10 11:38:16)
MMTCE are converted to MMTCO2E by dividing by 12/44 (to convert from C to CO2).</t>
        </r>
      </text>
    </comment>
    <comment ref="C124" authorId="0" shapeId="0" xr:uid="{00000000-0006-0000-1400-00003B000000}">
      <text>
        <r>
          <rPr>
            <sz val="8"/>
            <color rgb="FF000000"/>
            <rFont val="Arial"/>
            <family val="2"/>
          </rPr>
          <t>======
ID#AAAAIbggkAQ
    (2021-05-10 11:38:16)
Total Nitrogen "2011 Tonnage Report" -MDA
July 2010 - June 2011</t>
        </r>
      </text>
    </comment>
    <comment ref="O124" authorId="0" shapeId="0" xr:uid="{00000000-0006-0000-1400-000032000000}">
      <text>
        <r>
          <rPr>
            <sz val="8"/>
            <color rgb="FF000000"/>
            <rFont val="Arial"/>
            <family val="2"/>
          </rPr>
          <t>======
ID#AAAAIbggkBo
rthunell    (2021-05-10 11:38:16)
Emissions = 
(Activity/kg_ MT CF) x EF_Dir x N2O_N2 CF
kg_MT CF = 1000
EF_DIR = 0.01
N2O_N2 CF = 44/28</t>
        </r>
      </text>
    </comment>
    <comment ref="Q124" authorId="0" shapeId="0" xr:uid="{00000000-0006-0000-1400-000049000000}">
      <text>
        <r>
          <rPr>
            <sz val="8"/>
            <color rgb="FF000000"/>
            <rFont val="Arial"/>
            <family val="2"/>
          </rPr>
          <t>======
ID#AAAAIbggj9c
rthunell    (2021-05-10 11:38:16)
rthunell:
Emissions = 
(Activity/kg_ MT CF) x EF_VOL x N2O_N2 CF
kg_MT CF = 1000
EF_VOL = 0.01
N2O_N2 CF = 44/28</t>
        </r>
      </text>
    </comment>
    <comment ref="K125" authorId="0" shapeId="0" xr:uid="{00000000-0006-0000-1400-000018000000}">
      <text>
        <r>
          <rPr>
            <sz val="8"/>
            <color rgb="FF000000"/>
            <rFont val="Arial"/>
            <family val="2"/>
          </rPr>
          <t>======
ID#AAAAIbggkFc
    (2021-05-10 11:38:16)
According to the IPCC Good Practice Guidance, the manure portion of organic fertilizers is subtracted from the total of organic fertilizers.</t>
        </r>
      </text>
    </comment>
    <comment ref="M125" authorId="0" shapeId="0" xr:uid="{00000000-0006-0000-1400-00002C000000}">
      <text>
        <r>
          <rPr>
            <sz val="8"/>
            <color rgb="FF000000"/>
            <rFont val="Arial"/>
            <family val="2"/>
          </rPr>
          <t>======
ID#AAAAIbggkCU
    (2021-05-10 11:38:16)
According to the IPCC Good Practice Guidance, the manure portion of organic fertilizers is subtracted from the total of organic fertilizers.</t>
        </r>
      </text>
    </comment>
    <comment ref="B135" authorId="0" shapeId="0" xr:uid="{00000000-0006-0000-1400-00001C000000}">
      <text>
        <r>
          <rPr>
            <sz val="8"/>
            <color rgb="FF000000"/>
            <rFont val="Arial"/>
            <family val="2"/>
          </rPr>
          <t>======
ID#AAAAIbggkEw
    (2021-05-10 11:38:16)
According to the IPCC Good Practice Guidance, the manure portion of organic fertilizers is subtracted from the total of organic fertilizers.</t>
        </r>
      </text>
    </comment>
    <comment ref="C140" authorId="0" shapeId="0" xr:uid="{00000000-0006-0000-1400-000043000000}">
      <text>
        <r>
          <rPr>
            <sz val="8"/>
            <color rgb="FF000000"/>
            <rFont val="Arial"/>
            <family val="2"/>
          </rPr>
          <t>======
ID#AAAAIbggj-o
    (2021-05-10 11:38:16)
Total Nitrogen "2012 Tonnage Report" -MDA
July 2011 - June 2012</t>
        </r>
      </text>
    </comment>
    <comment ref="B151" authorId="0" shapeId="0" xr:uid="{00000000-0006-0000-1400-000035000000}">
      <text>
        <r>
          <rPr>
            <sz val="8"/>
            <color rgb="FF000000"/>
            <rFont val="Arial"/>
            <family val="2"/>
          </rPr>
          <t>======
ID#AAAAIbggkBQ
    (2021-05-10 11:38:16)
According to the IPCC Good Practice Guidance, the manure portion of organic fertilizers is subtracted from the total of organic fertilizers.</t>
        </r>
      </text>
    </comment>
    <comment ref="E155" authorId="0" shapeId="0" xr:uid="{00000000-0006-0000-1400-000011000000}">
      <text>
        <r>
          <rPr>
            <sz val="8"/>
            <color rgb="FF000000"/>
            <rFont val="Arial"/>
            <family val="2"/>
          </rPr>
          <t>======
ID#AAAAIbggkGg
rthunell    (2021-05-10 11:38:16)
TAM: Typical Animal Mass</t>
        </r>
      </text>
    </comment>
    <comment ref="K155" authorId="0" shapeId="0" xr:uid="{00000000-0006-0000-1400-00002E000000}">
      <text>
        <r>
          <rPr>
            <sz val="8"/>
            <color rgb="FF000000"/>
            <rFont val="Arial"/>
            <family val="2"/>
          </rPr>
          <t>======
ID#AAAAIbggkCI
    (2021-05-10 11:38:16)
Volatilization = 20%; 
NH3-NOx EF (kg N2O/kg N) = 0.01</t>
        </r>
      </text>
    </comment>
    <comment ref="S155" authorId="0" shapeId="0" xr:uid="{00000000-0006-0000-1400-00001B000000}">
      <text>
        <r>
          <rPr>
            <sz val="8"/>
            <color rgb="FF000000"/>
            <rFont val="Arial"/>
            <family val="2"/>
          </rPr>
          <t>======
ID#AAAAIbggkFA
rthunell    (2021-05-10 11:38:16)
Volatilization = 20%; 
NonVOL EF (kg N2O/kg N) = 0.0125
Poultry Not Managed = 0.042</t>
        </r>
      </text>
    </comment>
    <comment ref="U155" authorId="0" shapeId="0" xr:uid="{00000000-0006-0000-1400-000026000000}">
      <text>
        <r>
          <rPr>
            <sz val="8"/>
            <color rgb="FF000000"/>
            <rFont val="Arial"/>
            <family val="2"/>
          </rPr>
          <t>======
ID#AAAAIbggkDA
rthunell    (2021-05-10 11:38:16)
prtEF = 0.02</t>
        </r>
      </text>
    </comment>
    <comment ref="W155" authorId="0" shapeId="0" xr:uid="{00000000-0006-0000-1400-000006000000}">
      <text>
        <r>
          <rPr>
            <sz val="8"/>
            <color rgb="FF000000"/>
            <rFont val="Arial"/>
            <family val="2"/>
          </rPr>
          <t>======
ID#AAAAIbggkIs
rthunell    (2021-05-10 11:38:16)
Leach EF = 0.30
Runoff/Leach EF = 0.0075</t>
        </r>
      </text>
    </comment>
    <comment ref="BN155" authorId="0" shapeId="0" xr:uid="{00000000-0006-0000-1400-000007000000}">
      <text>
        <r>
          <rPr>
            <sz val="8"/>
            <color rgb="FF000000"/>
            <rFont val="Arial"/>
            <family val="2"/>
          </rPr>
          <t>======
ID#AAAAIbggkIk
DLekas    (2021-05-10 11:38:16)
Source: EIIP Table 7.4.6</t>
        </r>
      </text>
    </comment>
    <comment ref="BQ155" authorId="0" shapeId="0" xr:uid="{00000000-0006-0000-1400-000045000000}">
      <text>
        <r>
          <rPr>
            <sz val="8"/>
            <color rgb="FF000000"/>
            <rFont val="Arial"/>
            <family val="2"/>
          </rPr>
          <t>======
ID#AAAAIbggj98
DLekas    (2021-05-10 11:38:16)
Source: EIIP Table 7.4.7</t>
        </r>
      </text>
    </comment>
    <comment ref="BU155" authorId="0" shapeId="0" xr:uid="{00000000-0006-0000-1400-000048000000}">
      <text>
        <r>
          <rPr>
            <sz val="8"/>
            <color rgb="FF000000"/>
            <rFont val="Arial"/>
            <family val="2"/>
          </rPr>
          <t>======
ID#AAAAIbggj9g
DLekas    (2021-05-10 11:38:16)
US Inventory
0% was assumed for both on feed and not on feed sheep for states without sheep data</t>
        </r>
      </text>
    </comment>
    <comment ref="BY155" authorId="0" shapeId="0" xr:uid="{00000000-0006-0000-1400-00000A000000}">
      <text>
        <r>
          <rPr>
            <sz val="8"/>
            <color rgb="FF000000"/>
            <rFont val="Arial"/>
            <family val="2"/>
          </rPr>
          <t>======
ID#AAAAIbggkII
    (2021-05-10 11:38:16)
Pgroth: Changed to 100% PRP in 1/03 per discussion w/Joe Mangino.</t>
        </r>
      </text>
    </comment>
    <comment ref="CB155" authorId="0" shapeId="0" xr:uid="{00000000-0006-0000-1400-000024000000}">
      <text>
        <r>
          <rPr>
            <sz val="8"/>
            <color rgb="FF000000"/>
            <rFont val="Arial"/>
            <family val="2"/>
          </rPr>
          <t>======
ID#AAAAIbggkDo
    (2021-05-10 11:38:16)
Pgroth: Changed to 100% PRP in 1/03 per discussion w/Joe Mangino.</t>
        </r>
      </text>
    </comment>
    <comment ref="BI156" authorId="0" shapeId="0" xr:uid="{00000000-0006-0000-1400-000030000000}">
      <text>
        <r>
          <rPr>
            <sz val="8"/>
            <color rgb="FF000000"/>
            <rFont val="Arial"/>
            <family val="2"/>
          </rPr>
          <t>======
ID#AAAAIbggkB0
Philip Groth    (2021-05-10 11:38:16)
ERG:
Assumed "Other" Systems fall into a category with an emission factor similar to solid storage.</t>
        </r>
      </text>
    </comment>
    <comment ref="C160" authorId="0" shapeId="0" xr:uid="{00000000-0006-0000-1400-00003E000000}">
      <text>
        <r>
          <rPr>
            <sz val="8"/>
            <color rgb="FF000000"/>
            <rFont val="Arial"/>
            <family val="2"/>
          </rPr>
          <t>======
ID#AAAAIbggj_w
    (2021-05-10 11:38:16)
SIT 2009 default</t>
        </r>
      </text>
    </comment>
    <comment ref="C161" authorId="0" shapeId="0" xr:uid="{00000000-0006-0000-1400-000017000000}">
      <text>
        <r>
          <rPr>
            <sz val="8"/>
            <color rgb="FF000000"/>
            <rFont val="Arial"/>
            <family val="2"/>
          </rPr>
          <t>======
ID#AAAAIbggkFk
    (2021-05-10 11:38:16)
SIT 2009 Default</t>
        </r>
      </text>
    </comment>
    <comment ref="B166" authorId="0" shapeId="0" xr:uid="{00000000-0006-0000-1400-000034000000}">
      <text>
        <r>
          <rPr>
            <sz val="8"/>
            <color rgb="FF000000"/>
            <rFont val="Arial"/>
            <family val="2"/>
          </rPr>
          <t>======
ID#AAAAIbggkBg
    (2021-05-10 11:38:16)
Includes Heifer Stockers and Beef Replacement Heifers.</t>
        </r>
      </text>
    </comment>
    <comment ref="C166" authorId="0" shapeId="0" xr:uid="{00000000-0006-0000-1400-000025000000}">
      <text>
        <r>
          <rPr>
            <sz val="8"/>
            <color rgb="FF000000"/>
            <rFont val="Arial"/>
            <family val="2"/>
          </rPr>
          <t>======
ID#AAAAIbggkDQ
    (2021-05-10 11:38:16)
Total Beef Heifers = Heifer Stockers + Beef Replacement Heifer</t>
        </r>
      </text>
    </comment>
    <comment ref="C170" authorId="0" shapeId="0" xr:uid="{00000000-0006-0000-1400-00002D000000}">
      <text>
        <r>
          <rPr>
            <sz val="8"/>
            <color rgb="FF000000"/>
            <rFont val="Arial"/>
            <family val="2"/>
          </rPr>
          <t>======
ID#AAAAIbggkCQ
    (2021-05-10 11:38:16)
USDA 2007 data</t>
        </r>
      </text>
    </comment>
    <comment ref="C175" authorId="0" shapeId="0" xr:uid="{00000000-0006-0000-1400-000014000000}">
      <text>
        <r>
          <rPr>
            <sz val="8"/>
            <color rgb="FF000000"/>
            <rFont val="Arial"/>
            <family val="2"/>
          </rPr>
          <t>======
ID#AAAAIbggkF4
    (2021-05-10 11:38:16)
SIT 2009 Default data</t>
        </r>
      </text>
    </comment>
    <comment ref="C176" authorId="0" shapeId="0" xr:uid="{00000000-0006-0000-1400-00003A000000}">
      <text>
        <r>
          <rPr>
            <sz val="8"/>
            <color rgb="FF000000"/>
            <rFont val="Arial"/>
            <family val="2"/>
          </rPr>
          <t>======
ID#AAAAIbggkAs
    (2021-05-10 11:38:16)
SIT 2009 Default data</t>
        </r>
      </text>
    </comment>
    <comment ref="C177" authorId="0" shapeId="0" xr:uid="{00000000-0006-0000-1400-000029000000}">
      <text>
        <r>
          <rPr>
            <sz val="8"/>
            <color rgb="FF000000"/>
            <rFont val="Arial"/>
            <family val="2"/>
          </rPr>
          <t>======
ID#AAAAIbggkCw
    (2021-05-10 11:38:16)
SIT 2009 Default data</t>
        </r>
      </text>
    </comment>
    <comment ref="C178" authorId="0" shapeId="0" xr:uid="{00000000-0006-0000-1400-00003F000000}">
      <text>
        <r>
          <rPr>
            <sz val="8"/>
            <color rgb="FF000000"/>
            <rFont val="Arial"/>
            <family val="2"/>
          </rPr>
          <t>======
ID#AAAAIbggj_k
    (2021-05-10 11:38:16)
SIT 2009 Default data</t>
        </r>
      </text>
    </comment>
    <comment ref="C179" authorId="0" shapeId="0" xr:uid="{00000000-0006-0000-1400-00003D000000}">
      <text>
        <r>
          <rPr>
            <sz val="8"/>
            <color rgb="FF000000"/>
            <rFont val="Arial"/>
            <family val="2"/>
          </rPr>
          <t>======
ID#AAAAIbggj_o
    (2021-05-10 11:38:16)
SIT 2009 Default data</t>
        </r>
      </text>
    </comment>
    <comment ref="C182" authorId="0" shapeId="0" xr:uid="{00000000-0006-0000-1400-000016000000}">
      <text>
        <r>
          <rPr>
            <sz val="8"/>
            <color rgb="FF000000"/>
            <rFont val="Arial"/>
            <family val="2"/>
          </rPr>
          <t>======
ID#AAAAIbggkFs
    (2021-05-10 11:38:16)
USDA 2009 data</t>
        </r>
      </text>
    </comment>
    <comment ref="G197" authorId="0" shapeId="0" xr:uid="{00000000-0006-0000-1400-00000F000000}">
      <text>
        <r>
          <rPr>
            <sz val="8"/>
            <color rgb="FF000000"/>
            <rFont val="Arial"/>
            <family val="2"/>
          </rPr>
          <t>======
ID#AAAAIbggkHA
J Casola    (2021-05-10 11:38:16)
Corn for Grain, All Wheat, Barley, Sorghum, Oats, Rye, and Soybeans back-calculated from bushel and tonnage values found in "Field Crops, Final Estimates, 1992-1997" SB 947a USDA/NASS. Other crops assumed conversion 0.027215</t>
        </r>
      </text>
    </comment>
    <comment ref="Y197" authorId="0" shapeId="0" xr:uid="{00000000-0006-0000-1400-000005000000}">
      <text>
        <r>
          <rPr>
            <sz val="8"/>
            <color rgb="FF000000"/>
            <rFont val="Arial"/>
            <family val="2"/>
          </rPr>
          <t>======
ID#AAAAIbggkIo
    (2021-05-10 11:38:16)
CH4 Emission = Total C Released (metric tons C) *CH4-C Emission Ratio (0.005) * CH4- C Conversion factor (16/12)</t>
        </r>
      </text>
    </comment>
    <comment ref="Y212" authorId="0" shapeId="0" xr:uid="{00000000-0006-0000-1400-00000C000000}">
      <text>
        <r>
          <rPr>
            <sz val="8"/>
            <color rgb="FF000000"/>
            <rFont val="Arial"/>
            <family val="2"/>
          </rPr>
          <t>======
ID#AAAAIbggkHo
    (2021-05-10 11:38:16)
N2O Emission = Total N Released (metric tons C) *N2O-N Emission Ratio (0.007) * N2O- N Conversion factor (1.57)</t>
        </r>
      </text>
    </comment>
  </commentList>
  <extLst>
    <ext xmlns:r="http://schemas.openxmlformats.org/officeDocument/2006/relationships" uri="GoogleSheetsCustomDataVersion1">
      <go:sheetsCustomData xmlns:go="http://customooxmlschemas.google.com/" r:id="rId1" roundtripDataSignature="AMtx7mj2AvIBMBP2I8WzC/mlhYhHzeVPm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30" authorId="0" shapeId="0" xr:uid="{00000000-0006-0000-0300-000007000000}">
      <text>
        <r>
          <rPr>
            <sz val="8"/>
            <color rgb="FF000000"/>
            <rFont val="Arial"/>
            <family val="2"/>
          </rPr>
          <t>======
ID#AAAAIbggj_I
    (2021-05-10 11:38:16)
Equivalent to 12,000 Btu/lb</t>
        </r>
      </text>
    </comment>
    <comment ref="J101" authorId="0" shapeId="0" xr:uid="{00000000-0006-0000-0300-000001000000}">
      <text>
        <r>
          <rPr>
            <sz val="8"/>
            <color rgb="FF000000"/>
            <rFont val="Arial"/>
            <family val="2"/>
          </rPr>
          <t>======
ID#AAAAIbggkJ0
    (2021-05-10 11:38:16)
CEM MMBTU</t>
        </r>
      </text>
    </comment>
    <comment ref="J106" authorId="0" shapeId="0" xr:uid="{00000000-0006-0000-0300-000003000000}">
      <text>
        <r>
          <rPr>
            <sz val="8"/>
            <color rgb="FF000000"/>
            <rFont val="Arial"/>
            <family val="2"/>
          </rPr>
          <t>======
ID#AAAAIbggkI8
    (2021-05-10 11:38:16)
CEM MMBTU</t>
        </r>
      </text>
    </comment>
    <comment ref="J108" authorId="0" shapeId="0" xr:uid="{00000000-0006-0000-0300-000009000000}">
      <text>
        <r>
          <rPr>
            <sz val="8"/>
            <color rgb="FF000000"/>
            <rFont val="Arial"/>
            <family val="2"/>
          </rPr>
          <t>======
ID#AAAAIbggj_A
    (2021-05-10 11:38:16)
CEM MMBTU</t>
        </r>
      </text>
    </comment>
    <comment ref="J110" authorId="0" shapeId="0" xr:uid="{00000000-0006-0000-0300-000008000000}">
      <text>
        <r>
          <rPr>
            <sz val="8"/>
            <color rgb="FF000000"/>
            <rFont val="Arial"/>
            <family val="2"/>
          </rPr>
          <t>======
ID#AAAAIbggj-8
    (2021-05-10 11:38:16)
CEM MMBTU</t>
        </r>
      </text>
    </comment>
    <comment ref="F186" authorId="0" shapeId="0" xr:uid="{00000000-0006-0000-0300-000005000000}">
      <text>
        <r>
          <rPr>
            <sz val="8"/>
            <color rgb="FF000000"/>
            <rFont val="Arial"/>
            <family val="2"/>
          </rPr>
          <t>======
ID#AAAAIbggkEI
    (2021-05-10 11:38:16)
Back Calculation from MMBTU</t>
        </r>
      </text>
    </comment>
    <comment ref="J186" authorId="0" shapeId="0" xr:uid="{00000000-0006-0000-0300-00000B000000}">
      <text>
        <r>
          <rPr>
            <sz val="8"/>
            <color rgb="FF000000"/>
            <rFont val="Arial"/>
            <family val="2"/>
          </rPr>
          <t>======
ID#AAAAIbggj90
    (2021-05-10 11:38:16)
Qty not reported, but MMBTU reported in ECR</t>
        </r>
      </text>
    </comment>
    <comment ref="F188" authorId="0" shapeId="0" xr:uid="{00000000-0006-0000-0300-000004000000}">
      <text>
        <r>
          <rPr>
            <sz val="8"/>
            <color rgb="FF000000"/>
            <rFont val="Arial"/>
            <family val="2"/>
          </rPr>
          <t>======
ID#AAAAIbggkGw
    (2021-05-10 11:38:16)
Back Calculation from MMBTU</t>
        </r>
      </text>
    </comment>
    <comment ref="J188" authorId="0" shapeId="0" xr:uid="{00000000-0006-0000-0300-000002000000}">
      <text>
        <r>
          <rPr>
            <sz val="8"/>
            <color rgb="FF000000"/>
            <rFont val="Arial"/>
            <family val="2"/>
          </rPr>
          <t>======
ID#AAAAIbggkJk
    (2021-05-10 11:38:16)
Qty not reported, but MMBTU reported in ECR</t>
        </r>
      </text>
    </comment>
    <comment ref="C226" authorId="0" shapeId="0" xr:uid="{00000000-0006-0000-0300-00000D000000}">
      <text>
        <r>
          <rPr>
            <sz val="8"/>
            <color rgb="FF000000"/>
            <rFont val="Arial"/>
            <family val="2"/>
          </rPr>
          <t>======
ID#AAAAIbggj8k
    (2021-05-10 11:38:16)
New Name: Calpine Corporation.</t>
        </r>
      </text>
    </comment>
    <comment ref="F371" authorId="0" shapeId="0" xr:uid="{00000000-0006-0000-0300-00000A000000}">
      <text>
        <r>
          <rPr>
            <sz val="8"/>
            <color rgb="FF000000"/>
            <rFont val="Arial"/>
            <family val="2"/>
          </rPr>
          <t>======
ID#AAAAIbggj-c
    (2021-05-10 11:38:16)
Back Cal from CO2 Emission.NO Qt,in CER</t>
        </r>
      </text>
    </comment>
    <comment ref="G422" authorId="0" shapeId="0" xr:uid="{00000000-0006-0000-0300-00000C000000}">
      <text>
        <r>
          <rPr>
            <sz val="8"/>
            <color rgb="FF000000"/>
            <rFont val="Arial"/>
            <family val="2"/>
          </rPr>
          <t>======
ID#AAAAIbggj8w
    (2021-05-10 11:38:16)
MMTCE is converted to MMTCO2E by multiplying by 44/12.</t>
        </r>
      </text>
    </comment>
    <comment ref="G434" authorId="0" shapeId="0" xr:uid="{00000000-0006-0000-0300-000006000000}">
      <text>
        <r>
          <rPr>
            <sz val="8"/>
            <color rgb="FF000000"/>
            <rFont val="Arial"/>
            <family val="2"/>
          </rPr>
          <t>======
ID#AAAAIbggkDc
    (2021-05-10 11:38:16)
MMTCE is converted to MMTCO2E by multiplying by 44/12.</t>
        </r>
      </text>
    </comment>
  </commentList>
  <extLst>
    <ext xmlns:r="http://schemas.openxmlformats.org/officeDocument/2006/relationships" uri="GoogleSheetsCustomDataVersion1">
      <go:sheetsCustomData xmlns:go="http://customooxmlschemas.google.com/" r:id="rId1" roundtripDataSignature="AMtx7mj2ncHazZafPGlv1aCAavqEQYH27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219" authorId="0" shapeId="0" xr:uid="{00000000-0006-0000-0400-000002000000}">
      <text>
        <r>
          <rPr>
            <sz val="8"/>
            <color rgb="FF000000"/>
            <rFont val="Arial"/>
            <family val="2"/>
          </rPr>
          <t>======
ID#AAAAIbggj9U
    (2021-05-10 11:38:16)
Back Caclulation from MMBTU</t>
        </r>
      </text>
    </comment>
    <comment ref="F220" authorId="0" shapeId="0" xr:uid="{00000000-0006-0000-0400-000001000000}">
      <text>
        <r>
          <rPr>
            <sz val="8"/>
            <color rgb="FF000000"/>
            <rFont val="Arial"/>
            <family val="2"/>
          </rPr>
          <t>======
ID#AAAAIbggj-s
    (2021-05-10 11:38:16)
Back calculated from Heat Input</t>
        </r>
      </text>
    </comment>
  </commentList>
  <extLst>
    <ext xmlns:r="http://schemas.openxmlformats.org/officeDocument/2006/relationships" uri="GoogleSheetsCustomDataVersion1">
      <go:sheetsCustomData xmlns:go="http://customooxmlschemas.google.com/" r:id="rId1" roundtripDataSignature="AMtx7mg+XRtJeTzrqqrj60bszekqN3N8C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86" authorId="0" shapeId="0" xr:uid="{00000000-0006-0000-0500-000001000000}">
      <text>
        <r>
          <rPr>
            <sz val="8"/>
            <color rgb="FF000000"/>
            <rFont val="Arial"/>
            <family val="2"/>
          </rPr>
          <t>======
ID#AAAAIbggkDw
rthunell    (2021-05-10 11:38:16)
Estimated value based on Emission Rates of Marginal Units
Presented only for Trends purposes</t>
        </r>
      </text>
    </comment>
  </commentList>
  <extLst>
    <ext xmlns:r="http://schemas.openxmlformats.org/officeDocument/2006/relationships" uri="GoogleSheetsCustomDataVersion1">
      <go:sheetsCustomData xmlns:go="http://customooxmlschemas.google.com/" r:id="rId1" roundtripDataSignature="AMtx7miXx3p64qI1jPEEgAxVCs7orJFGu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1" authorId="0" shapeId="0" xr:uid="{00000000-0006-0000-0600-000009000000}">
      <text>
        <r>
          <rPr>
            <sz val="8"/>
            <color rgb="FF000000"/>
            <rFont val="Arial"/>
            <family val="2"/>
          </rPr>
          <t>======
ID#AAAAIbggj8s
    (2021-05-10 11:38:16)
2011 Data</t>
        </r>
      </text>
    </comment>
    <comment ref="E11" authorId="0" shapeId="0" xr:uid="{00000000-0006-0000-0600-000002000000}">
      <text>
        <r>
          <rPr>
            <sz val="8"/>
            <color rgb="FF000000"/>
            <rFont val="Arial"/>
            <family val="2"/>
          </rPr>
          <t>======
ID#AAAAIbggkIQ
    (2021-05-10 11:38:16)
Total Gasoline Consumption from Controller of Maryland Motor Fuel Tax Bureau (2011 )= 2,668,912,714.</t>
        </r>
      </text>
    </comment>
    <comment ref="G11" authorId="0" shapeId="0" xr:uid="{00000000-0006-0000-0600-000003000000}">
      <text>
        <r>
          <rPr>
            <sz val="8"/>
            <color rgb="FF000000"/>
            <rFont val="Arial"/>
            <family val="2"/>
          </rPr>
          <t>======
ID#AAAAIbggkFQ
    (2021-05-10 11:38:16)
(MD Controller 2011 Consumption) /(Btu/gal)  *1E-09</t>
        </r>
      </text>
    </comment>
    <comment ref="B22" authorId="0" shapeId="0" xr:uid="{00000000-0006-0000-0600-000004000000}">
      <text>
        <r>
          <rPr>
            <sz val="8"/>
            <color rgb="FF000000"/>
            <rFont val="Arial"/>
            <family val="2"/>
          </rPr>
          <t>======
ID#AAAAIbggkC4
rthunell    (2021-05-10 11:38:16)
Source:  EPA NonRoad Model Output  &amp; FHWA Data MF-24 Table 
National Nonroad Model Ouput -"Other Gasoline Small Utility" data Allocated to State from FHWA MF-24  Data(Industrial and Commercial-Gasoline) percent.</t>
        </r>
      </text>
    </comment>
    <comment ref="I24" authorId="0" shapeId="0" xr:uid="{00000000-0006-0000-0600-000005000000}">
      <text>
        <r>
          <rPr>
            <sz val="8"/>
            <color rgb="FF000000"/>
            <rFont val="Arial"/>
            <family val="2"/>
          </rPr>
          <t>======
ID#AAAAIbggkAU
    (2021-05-10 11:38:16)
Total Gasoline from Controller of Maryland Motor Fuel Tax Bureau (2011) = 2,668,912,714</t>
        </r>
      </text>
    </comment>
    <comment ref="I25" authorId="0" shapeId="0" xr:uid="{00000000-0006-0000-0600-000006000000}">
      <text>
        <r>
          <rPr>
            <sz val="8"/>
            <color rgb="FF000000"/>
            <rFont val="Arial"/>
            <family val="2"/>
          </rPr>
          <t>======
ID#AAAAIbggkAE
sal    (2021-05-10 11:38:16)
MOVES Runs On-Road Gasoline =2,405,394 gallons.</t>
        </r>
      </text>
    </comment>
    <comment ref="I35" authorId="0" shapeId="0" xr:uid="{00000000-0006-0000-0600-000008000000}">
      <text>
        <r>
          <rPr>
            <sz val="8"/>
            <color rgb="FF000000"/>
            <rFont val="Arial"/>
            <family val="2"/>
          </rPr>
          <t>======
ID#AAAAIbggj9M
    (2021-05-10 11:38:16)
MDE Survey 2011</t>
        </r>
      </text>
    </comment>
    <comment ref="I38" authorId="0" shapeId="0" xr:uid="{00000000-0006-0000-0600-000007000000}">
      <text>
        <r>
          <rPr>
            <sz val="8"/>
            <color rgb="FF000000"/>
            <rFont val="Arial"/>
            <family val="2"/>
          </rPr>
          <t>======
ID#AAAAIbggj_0
sal    (2021-05-10 11:38:16)
MOVES Runs =528,232,000 gallons.</t>
        </r>
      </text>
    </comment>
    <comment ref="I39" authorId="0" shapeId="0" xr:uid="{00000000-0006-0000-0600-000001000000}">
      <text>
        <r>
          <rPr>
            <sz val="8"/>
            <color rgb="FF000000"/>
            <rFont val="Arial"/>
            <family val="2"/>
          </rPr>
          <t>======
ID#AAAAIbggkJw
    (2021-05-10 11:38:16)
Total Gasoline from Controller of Maryland Motor Fuel Tax Bureau = 2,721,404,088
EIA SED = 2,713,397,442</t>
        </r>
      </text>
    </comment>
  </commentList>
  <extLst>
    <ext xmlns:r="http://schemas.openxmlformats.org/officeDocument/2006/relationships" uri="GoogleSheetsCustomDataVersion1">
      <go:sheetsCustomData xmlns:go="http://customooxmlschemas.google.com/" r:id="rId1" roundtripDataSignature="AMtx7mj/mQCNnuY8Zul+ktLSdot/85pNX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700-000008000000}">
      <text>
        <r>
          <rPr>
            <sz val="8"/>
            <color rgb="FF000000"/>
            <rFont val="Arial"/>
            <family val="2"/>
          </rPr>
          <t>======
ID#AAAAIbggj-Y
    (2021-05-10 11:38:16)
Billion Btus are converted to short tons of carbon by multiplying by the emission factor, combustion efficiency, 1,000 million/billion, and 0.0005 lbs/short ton.</t>
        </r>
      </text>
    </comment>
    <comment ref="C6" authorId="0" shapeId="0" xr:uid="{00000000-0006-0000-0700-000007000000}">
      <text>
        <r>
          <rPr>
            <sz val="8"/>
            <color rgb="FF000000"/>
            <rFont val="Arial"/>
            <family val="2"/>
          </rPr>
          <t>======
ID#AAAAIbggkAw
amohammed    (2021-05-10 11:38:16)
2010 EIA Data</t>
        </r>
      </text>
    </comment>
    <comment ref="C17" authorId="0" shapeId="0" xr:uid="{00000000-0006-0000-0700-000006000000}">
      <text>
        <r>
          <rPr>
            <sz val="8"/>
            <color rgb="FF000000"/>
            <rFont val="Arial"/>
            <family val="2"/>
          </rPr>
          <t>======
ID#AAAAIbggkBc
amohammed    (2021-05-10 11:38:16)
2010 EIA data</t>
        </r>
      </text>
    </comment>
    <comment ref="B23" authorId="0" shapeId="0" xr:uid="{00000000-0006-0000-0700-000005000000}">
      <text>
        <r>
          <rPr>
            <sz val="8"/>
            <color rgb="FF000000"/>
            <rFont val="Arial"/>
            <family val="2"/>
          </rPr>
          <t>======
ID#AAAAIbggkDI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29" authorId="0" shapeId="0" xr:uid="{00000000-0006-0000-0700-000003000000}">
      <text>
        <r>
          <rPr>
            <sz val="8"/>
            <color rgb="FF000000"/>
            <rFont val="Arial"/>
            <family val="2"/>
          </rPr>
          <t>======
ID#AAAAIbggkEc
    (2021-05-10 11:38:16)
MMTCE is converted to MMTCO2E by multiplying by 44/12.</t>
        </r>
      </text>
    </comment>
    <comment ref="C30" authorId="0" shapeId="0" xr:uid="{00000000-0006-0000-0700-000004000000}">
      <text>
        <r>
          <rPr>
            <sz val="8"/>
            <color rgb="FF000000"/>
            <rFont val="Arial"/>
            <family val="2"/>
          </rPr>
          <t>======
ID#AAAAIbggkEM
amohammed    (2021-05-10 11:38:16)
2010 EIA data</t>
        </r>
      </text>
    </comment>
    <comment ref="B36" authorId="0" shapeId="0" xr:uid="{00000000-0006-0000-0700-000001000000}">
      <text>
        <r>
          <rPr>
            <sz val="8"/>
            <color rgb="FF000000"/>
            <rFont val="Arial"/>
            <family val="2"/>
          </rPr>
          <t>======
ID#AAAAIbggkG0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B51" authorId="0" shapeId="0" xr:uid="{00000000-0006-0000-0700-000002000000}">
      <text>
        <r>
          <rPr>
            <sz val="8"/>
            <color rgb="FF000000"/>
            <rFont val="Arial"/>
            <family val="2"/>
          </rPr>
          <t>======
ID#AAAAIbggkGI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jaekfm5kkjZ6eVVdpMCVPyUZJpK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0800-000004000000}">
      <text>
        <r>
          <rPr>
            <sz val="8"/>
            <color rgb="FF000000"/>
            <rFont val="Arial"/>
            <family val="2"/>
          </rPr>
          <t>======
ID#AAAAIbggkHU
    (2021-05-10 11:38:16)
Billion Btus are converted to short tons of carbon by multiplying by the emission factor, combustion efficiency, 1,000 million/billion, and 0.0005 lbs/short ton.</t>
        </r>
      </text>
    </comment>
    <comment ref="G6" authorId="0" shapeId="0" xr:uid="{00000000-0006-0000-0800-000006000000}">
      <text>
        <r>
          <rPr>
            <sz val="8"/>
            <color rgb="FF000000"/>
            <rFont val="Arial"/>
            <family val="2"/>
          </rPr>
          <t>======
ID#AAAAIbggkF8
    (2021-05-10 11:38:16)
MMTCE is converted to MMTCO2E by multiplying by 44/12.</t>
        </r>
      </text>
    </comment>
    <comment ref="G20" authorId="0" shapeId="0" xr:uid="{00000000-0006-0000-0800-000007000000}">
      <text>
        <r>
          <rPr>
            <sz val="8"/>
            <color rgb="FF000000"/>
            <rFont val="Arial"/>
            <family val="2"/>
          </rPr>
          <t>======
ID#AAAAIbggkF0
    (2021-05-10 11:38:16)
MMTCE is converted to MMTCO2E by multiplying by 44/12.</t>
        </r>
      </text>
    </comment>
    <comment ref="C21" authorId="0" shapeId="0" xr:uid="{00000000-0006-0000-0800-000005000000}">
      <text>
        <r>
          <rPr>
            <sz val="8"/>
            <color rgb="FF000000"/>
            <rFont val="Arial"/>
            <family val="2"/>
          </rPr>
          <t>======
ID#AAAAIbggkHE
amohammed    (2021-05-10 11:38:16)
2010 EIA Data</t>
        </r>
      </text>
    </comment>
    <comment ref="B29" authorId="0" shapeId="0" xr:uid="{00000000-0006-0000-0800-000003000000}">
      <text>
        <r>
          <rPr>
            <sz val="8"/>
            <color rgb="FF000000"/>
            <rFont val="Arial"/>
            <family val="2"/>
          </rPr>
          <t>======
ID#AAAAIbggkHY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5" authorId="0" shapeId="0" xr:uid="{00000000-0006-0000-0800-000001000000}">
      <text>
        <r>
          <rPr>
            <sz val="8"/>
            <color rgb="FF000000"/>
            <rFont val="Arial"/>
            <family val="2"/>
          </rPr>
          <t>======
ID#AAAAIbggkIw
    (2021-05-10 11:38:16)
MMTCE is converted to MMTCO2E by multiplying by 44/12.</t>
        </r>
      </text>
    </comment>
    <comment ref="B44" authorId="0" shapeId="0" xr:uid="{00000000-0006-0000-0800-000002000000}">
      <text>
        <r>
          <rPr>
            <sz val="8"/>
            <color rgb="FF000000"/>
            <rFont val="Arial"/>
            <family val="2"/>
          </rPr>
          <t>======
ID#AAAAIbggkH4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52" authorId="0" shapeId="0" xr:uid="{00000000-0006-0000-0800-000009000000}">
      <text>
        <r>
          <rPr>
            <sz val="8"/>
            <color rgb="FF000000"/>
            <rFont val="Arial"/>
            <family val="2"/>
          </rPr>
          <t>======
ID#AAAAIbggj9s
    (2021-05-10 11:38:16)
MMTCE is converted to MMTCO2E by multiplying by 44/12.</t>
        </r>
      </text>
    </comment>
    <comment ref="B61" authorId="0" shapeId="0" xr:uid="{00000000-0006-0000-0800-000008000000}">
      <text>
        <r>
          <rPr>
            <sz val="8"/>
            <color rgb="FF000000"/>
            <rFont val="Arial"/>
            <family val="2"/>
          </rPr>
          <t>======
ID#AAAAIbggkCk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jPIoamFzFfOjui8iybC22u2G1jm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5" authorId="0" shapeId="0" xr:uid="{00000000-0006-0000-0900-000010000000}">
      <text>
        <r>
          <rPr>
            <sz val="8"/>
            <color rgb="FF000000"/>
            <rFont val="Arial"/>
            <family val="2"/>
          </rPr>
          <t>======
ID#AAAAIbggj9Y
    (2021-05-10 11:38:16)
SED 2010 Default Data</t>
        </r>
      </text>
    </comment>
    <comment ref="I6" authorId="0" shapeId="0" xr:uid="{00000000-0006-0000-0900-00000C000000}">
      <text>
        <r>
          <rPr>
            <sz val="8"/>
            <color rgb="FF000000"/>
            <rFont val="Arial"/>
            <family val="2"/>
          </rPr>
          <t>======
ID#AAAAIbggkCg
    (2021-05-10 11:38:16)
Billion Btus are converted to short tons of carbon by multiplying by the emission factor, combustion efficiency, 1,000 million/billion, and 0.0005 lbs/short ton.</t>
        </r>
      </text>
    </comment>
    <comment ref="J6" authorId="0" shapeId="0" xr:uid="{00000000-0006-0000-0900-000004000000}">
      <text>
        <r>
          <rPr>
            <sz val="8"/>
            <color rgb="FF000000"/>
            <rFont val="Arial"/>
            <family val="2"/>
          </rPr>
          <t>======
ID#AAAAIbggkJU
    (2021-05-10 11:38:16)
MMTCE is converted to MMTCO2E by multiplying by 44/12.</t>
        </r>
      </text>
    </comment>
    <comment ref="B27" authorId="0" shapeId="0" xr:uid="{00000000-0006-0000-0900-00000A000000}">
      <text>
        <r>
          <rPr>
            <sz val="8"/>
            <color rgb="FF000000"/>
            <rFont val="Arial"/>
            <family val="2"/>
          </rPr>
          <t>======
ID#AAAAIbggkGM
    (2021-05-10 11:38:16)
SEDR data show negative values for consumption.  Represents storage of energy, since oils are manufactured from other fuels.  "Negative" emissions serve to correct the overestimation of emissions attributed to the parent fuel.</t>
        </r>
      </text>
    </comment>
    <comment ref="H36" authorId="0" shapeId="0" xr:uid="{00000000-0006-0000-0900-000003000000}">
      <text>
        <r>
          <rPr>
            <sz val="8"/>
            <color rgb="FF000000"/>
            <rFont val="Arial"/>
            <family val="2"/>
          </rPr>
          <t>======
ID#AAAAIbggkJY
    (2021-05-10 11:38:16)
metric tons N2O  converted to MMTCO2E by multiplying by GWP and diving by 106.</t>
        </r>
      </text>
    </comment>
    <comment ref="B57" authorId="0" shapeId="0" xr:uid="{00000000-0006-0000-0900-000011000000}">
      <text>
        <r>
          <rPr>
            <sz val="8"/>
            <color rgb="FF000000"/>
            <rFont val="Arial"/>
            <family val="2"/>
          </rPr>
          <t>======
ID#AAAAIbggj8o
    (2021-05-10 11:38:16)
SEDR data show negative values for consumption.  Represents storage of energy, since oils are manufactured from other fuels.  "Negative" emissions serve to correct the overestimation of emissions attributed to the parent fuel.</t>
        </r>
      </text>
    </comment>
    <comment ref="B60" authorId="0" shapeId="0" xr:uid="{00000000-0006-0000-0900-000007000000}">
      <text>
        <r>
          <rPr>
            <sz val="8"/>
            <color rgb="FF000000"/>
            <rFont val="Arial"/>
            <family val="2"/>
          </rPr>
          <t>======
ID#AAAAIbggkIY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C66" authorId="0" shapeId="0" xr:uid="{00000000-0006-0000-0900-000008000000}">
      <text>
        <r>
          <rPr>
            <sz val="8"/>
            <color rgb="FF000000"/>
            <rFont val="Arial"/>
            <family val="2"/>
          </rPr>
          <t>======
ID#AAAAIbggkHQ
    (2021-05-10 11:38:16)
2010 SED Default Data</t>
        </r>
      </text>
    </comment>
    <comment ref="H67" authorId="0" shapeId="0" xr:uid="{00000000-0006-0000-0900-00000D000000}">
      <text>
        <r>
          <rPr>
            <sz val="8"/>
            <color rgb="FF000000"/>
            <rFont val="Arial"/>
            <family val="2"/>
          </rPr>
          <t>======
ID#AAAAIbggj_4
    (2021-05-10 11:38:16)
metric tons CH4 converted to MMTCO2E by multiplying by GWP. and Dividing by 106</t>
        </r>
      </text>
    </comment>
    <comment ref="B88" authorId="0" shapeId="0" xr:uid="{00000000-0006-0000-0900-000005000000}">
      <text>
        <r>
          <rPr>
            <sz val="8"/>
            <color rgb="FF000000"/>
            <rFont val="Arial"/>
            <family val="2"/>
          </rPr>
          <t>======
ID#AAAAIbggkJI
    (2021-05-10 11:38:16)
SEDR data show negative values for consumption.  Represents storage of energy, since oils are manufactured from other fuels.  "Negative" emissions serve to correct the overestimation of emissions attributed to the parent fuel.</t>
        </r>
      </text>
    </comment>
    <comment ref="B91" authorId="0" shapeId="0" xr:uid="{00000000-0006-0000-0900-00000F000000}">
      <text>
        <r>
          <rPr>
            <sz val="8"/>
            <color rgb="FF000000"/>
            <rFont val="Arial"/>
            <family val="2"/>
          </rPr>
          <t>======
ID#AAAAIbggj9k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E98" authorId="0" shapeId="0" xr:uid="{00000000-0006-0000-0900-00000E000000}">
      <text>
        <r>
          <rPr>
            <sz val="8"/>
            <color rgb="FF000000"/>
            <rFont val="Arial"/>
            <family val="2"/>
          </rPr>
          <t>======
ID#AAAAIbggj_Q
    (2021-05-10 11:38:16)
metric tons CH4 converted to MMTCO2E by multiplying by GWP. and Dividing by 106</t>
        </r>
      </text>
    </comment>
    <comment ref="F98" authorId="0" shapeId="0" xr:uid="{00000000-0006-0000-0900-000009000000}">
      <text>
        <r>
          <rPr>
            <sz val="8"/>
            <color rgb="FF000000"/>
            <rFont val="Arial"/>
            <family val="2"/>
          </rPr>
          <t>======
ID#AAAAIbggkGc
    (2021-05-10 11:38:16)
metric tons CH4 converted to MMTCO2E by multiplying by GWP. and Dividing by 106</t>
        </r>
      </text>
    </comment>
    <comment ref="G98" authorId="0" shapeId="0" xr:uid="{00000000-0006-0000-0900-000006000000}">
      <text>
        <r>
          <rPr>
            <sz val="8"/>
            <color rgb="FF000000"/>
            <rFont val="Arial"/>
            <family val="2"/>
          </rPr>
          <t>======
ID#AAAAIbggkJA
    (2021-05-10 11:38:16)
metric tons CH4 converted to MMTCO2E by multiplying by GWP. and Dividing by 106</t>
        </r>
      </text>
    </comment>
    <comment ref="H98" authorId="0" shapeId="0" xr:uid="{00000000-0006-0000-0900-000002000000}">
      <text>
        <r>
          <rPr>
            <sz val="8"/>
            <color rgb="FF000000"/>
            <rFont val="Arial"/>
            <family val="2"/>
          </rPr>
          <t>======
ID#AAAAIbggkJo
    (2021-05-10 11:38:16)
metric tons CH4 converted to MMTCO2E by multiplying by GWP. and Dividing by 106</t>
        </r>
      </text>
    </comment>
    <comment ref="B119" authorId="0" shapeId="0" xr:uid="{00000000-0006-0000-0900-00000B000000}">
      <text>
        <r>
          <rPr>
            <sz val="8"/>
            <color rgb="FF000000"/>
            <rFont val="Arial"/>
            <family val="2"/>
          </rPr>
          <t>======
ID#AAAAIbggkE4
    (2021-05-10 11:38:16)
SEDR data show negative values for consumption.  Represents storage of energy, since oils are manufactured from other fuels.  "Negative" emissions serve to correct the overestimation of emissions attributed to the parent fuel.</t>
        </r>
      </text>
    </comment>
    <comment ref="B122" authorId="0" shapeId="0" xr:uid="{00000000-0006-0000-0900-000001000000}">
      <text>
        <r>
          <rPr>
            <sz val="8"/>
            <color rgb="FF000000"/>
            <rFont val="Arial"/>
            <family val="2"/>
          </rPr>
          <t>======
ID#AAAAIbggkKE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jS9114tjsMK6hTslfLWpv5k5O52w=="/>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H4" authorId="0" shapeId="0" xr:uid="{00000000-0006-0000-0A00-000008000000}">
      <text>
        <r>
          <rPr>
            <sz val="8"/>
            <color rgb="FF000000"/>
            <rFont val="Arial"/>
            <family val="2"/>
          </rPr>
          <t>======
ID#AAAAIbggkAc
    (2021-05-10 11:38:16)
Metric Tons CO2 are converted into Metric Tons Carbon Equivalent by multiplying by the molecular weight ratio of carbon to carbon dioxide, or (12/44).</t>
        </r>
      </text>
    </comment>
    <comment ref="D5" authorId="0" shapeId="0" xr:uid="{00000000-0006-0000-0A00-000004000000}">
      <text>
        <r>
          <rPr>
            <sz val="8"/>
            <color rgb="FF000000"/>
            <rFont val="Arial"/>
            <family val="2"/>
          </rPr>
          <t>======
ID#AAAAIbggkGs
    (2021-05-10 11:38:16)
2010 Limestone Used</t>
        </r>
      </text>
    </comment>
    <comment ref="C6" authorId="0" shapeId="0" xr:uid="{00000000-0006-0000-0A00-000009000000}">
      <text>
        <r>
          <rPr>
            <sz val="8"/>
            <color rgb="FF000000"/>
            <rFont val="Arial"/>
            <family val="2"/>
          </rPr>
          <t>======
ID#AAAAIbggkAA
    (2021-05-10 11:38:16)
Do not include dolomite used in magnesium production.</t>
        </r>
      </text>
    </comment>
    <comment ref="H10" authorId="0" shapeId="0" xr:uid="{00000000-0006-0000-0A00-000002000000}">
      <text>
        <r>
          <rPr>
            <sz val="8"/>
            <color rgb="FF000000"/>
            <rFont val="Arial"/>
            <family val="2"/>
          </rPr>
          <t>======
ID#AAAAIbggkH8
    (2021-05-10 11:38:16)
Metric Tons CO2 are converted into Metric Tons Carbon Equivalent by multiplying by the molecular weight ratio of carbon to carbon dioxide, or (12/44).</t>
        </r>
      </text>
    </comment>
    <comment ref="D17" authorId="0" shapeId="0" xr:uid="{00000000-0006-0000-0A00-000007000000}">
      <text>
        <r>
          <rPr>
            <sz val="8"/>
            <color rgb="FF000000"/>
            <rFont val="Arial"/>
            <family val="2"/>
          </rPr>
          <t>======
ID#AAAAIbggkBU
    (2021-05-10 11:38:16)
2009 Default data</t>
        </r>
      </text>
    </comment>
    <comment ref="J21" authorId="0" shapeId="0" xr:uid="{00000000-0006-0000-0A00-000003000000}">
      <text>
        <r>
          <rPr>
            <sz val="8"/>
            <color rgb="FF000000"/>
            <rFont val="Arial"/>
            <family val="2"/>
          </rPr>
          <t>======
ID#AAAAIbggkHI
    (2021-05-10 11:38:16)
Metric Tons CO2 are converted into Metric Tons Carbon Equivalent by multiplying by the molecular weight ratio of carbon to carbon dioxide, or (12/44).</t>
        </r>
      </text>
    </comment>
    <comment ref="H26" authorId="0" shapeId="0" xr:uid="{00000000-0006-0000-0A00-00000A000000}">
      <text>
        <r>
          <rPr>
            <sz val="8"/>
            <color rgb="FF000000"/>
            <rFont val="Arial"/>
            <family val="2"/>
          </rPr>
          <t>======
ID#AAAAIbggj_E
rthunell    (2021-05-10 11:38:16)
GWP SF6 = 23,900</t>
        </r>
      </text>
    </comment>
    <comment ref="J26" authorId="0" shapeId="0" xr:uid="{00000000-0006-0000-0A00-00000B000000}">
      <text>
        <r>
          <rPr>
            <sz val="8"/>
            <color rgb="FF000000"/>
            <rFont val="Arial"/>
            <family val="2"/>
          </rPr>
          <t>======
ID#AAAAIbggj9w
    (2021-05-10 11:38:16)
Metric Tons CO2 are converted into Metric Tons Carbon Equivalent by multiplying by the GWP of SF6 (23,900) and the molecular weight ratio of carbon to carbon dioxide (12/44).</t>
        </r>
      </text>
    </comment>
    <comment ref="L26" authorId="0" shapeId="0" xr:uid="{00000000-0006-0000-0A00-000005000000}">
      <text>
        <r>
          <rPr>
            <sz val="8"/>
            <color rgb="FF000000"/>
            <rFont val="Arial"/>
            <family val="2"/>
          </rPr>
          <t>======
ID#AAAAIbggkCY
    (2021-05-10 11:38:16)
Metric Tons CO2 are converted into Metric Tons Carbon Equivalent by multiplying by the GWP of SF6 (23,900) and the molecular weight ratio of carbon to carbon dioxide (12/44).</t>
        </r>
      </text>
    </comment>
    <comment ref="J31" authorId="0" shapeId="0" xr:uid="{00000000-0006-0000-0A00-000006000000}">
      <text>
        <r>
          <rPr>
            <sz val="8"/>
            <color rgb="FF000000"/>
            <rFont val="Arial"/>
            <family val="2"/>
          </rPr>
          <t>======
ID#AAAAIbggkCM
    (2021-05-10 11:38:16)
Metric Tons CO2 are converted into Metric Tons Carbon Equivalent by multiplying by the molecular weight ratio of carbon to carbon dioxide, or (12/44).</t>
        </r>
      </text>
    </comment>
    <comment ref="L31" authorId="0" shapeId="0" xr:uid="{00000000-0006-0000-0A00-000001000000}">
      <text>
        <r>
          <rPr>
            <sz val="8"/>
            <color rgb="FF000000"/>
            <rFont val="Arial"/>
            <family val="2"/>
          </rPr>
          <t>======
ID#AAAAIbggkKA
    (2021-05-10 11:38:16)
Metric Tons CO2 are converted into Metric Tons Carbon Equivalent by multiplying by the molecular weight ratio of carbon to carbon dioxide, or (12/44).</t>
        </r>
      </text>
    </comment>
  </commentList>
  <extLst>
    <ext xmlns:r="http://schemas.openxmlformats.org/officeDocument/2006/relationships" uri="GoogleSheetsCustomDataVersion1">
      <go:sheetsCustomData xmlns:go="http://customooxmlschemas.google.com/" r:id="rId1" roundtripDataSignature="AMtx7mgEFsQfFYZLV/phPoo3I0EWntuoug=="/>
    </ext>
  </extLst>
</comments>
</file>

<file path=xl/sharedStrings.xml><?xml version="1.0" encoding="utf-8"?>
<sst xmlns="http://schemas.openxmlformats.org/spreadsheetml/2006/main" count="5455" uniqueCount="1893">
  <si>
    <t>Global Warming Potential</t>
  </si>
  <si>
    <t>(Change this Column)</t>
  </si>
  <si>
    <t>AR2</t>
  </si>
  <si>
    <t>AR5</t>
  </si>
  <si>
    <t>CO2_GWP=</t>
  </si>
  <si>
    <t>CH4_GWP =</t>
  </si>
  <si>
    <t>N2O_GWP=</t>
  </si>
  <si>
    <t>SF6_GWP =</t>
  </si>
  <si>
    <t>PFCs_GWP=</t>
  </si>
  <si>
    <r>
      <rPr>
        <b/>
        <sz val="11"/>
        <color rgb="FFFFFFFF"/>
        <rFont val="Calibri"/>
        <family val="2"/>
      </rPr>
      <t>MMtCO</t>
    </r>
    <r>
      <rPr>
        <b/>
        <vertAlign val="subscript"/>
        <sz val="11"/>
        <color rgb="FFFFFFFF"/>
        <rFont val="Calibri"/>
        <family val="2"/>
      </rPr>
      <t>2</t>
    </r>
    <r>
      <rPr>
        <b/>
        <sz val="11"/>
        <color rgb="FFFFFFFF"/>
        <rFont val="Calibri"/>
        <family val="2"/>
      </rPr>
      <t>e</t>
    </r>
  </si>
  <si>
    <r>
      <rPr>
        <b/>
        <sz val="11"/>
        <color theme="1"/>
        <rFont val="Calibri"/>
        <family val="2"/>
      </rPr>
      <t>Energy Use (CO</t>
    </r>
    <r>
      <rPr>
        <b/>
        <vertAlign val="subscript"/>
        <sz val="11"/>
        <color theme="1"/>
        <rFont val="Calibri"/>
        <family val="2"/>
      </rPr>
      <t>2</t>
    </r>
    <r>
      <rPr>
        <b/>
        <sz val="11"/>
        <color theme="1"/>
        <rFont val="Calibri"/>
        <family val="2"/>
      </rPr>
      <t>, CH</t>
    </r>
    <r>
      <rPr>
        <b/>
        <vertAlign val="subscript"/>
        <sz val="11"/>
        <color theme="1"/>
        <rFont val="Calibri"/>
        <family val="2"/>
      </rPr>
      <t>4</t>
    </r>
    <r>
      <rPr>
        <b/>
        <sz val="11"/>
        <color theme="1"/>
        <rFont val="Calibri"/>
        <family val="2"/>
      </rPr>
      <t>, N</t>
    </r>
    <r>
      <rPr>
        <b/>
        <vertAlign val="subscript"/>
        <sz val="11"/>
        <color theme="1"/>
        <rFont val="Calibri"/>
        <family val="2"/>
      </rPr>
      <t>2</t>
    </r>
    <r>
      <rPr>
        <b/>
        <sz val="11"/>
        <color theme="1"/>
        <rFont val="Calibri"/>
        <family val="2"/>
      </rPr>
      <t>O)</t>
    </r>
  </si>
  <si>
    <r>
      <rPr>
        <b/>
        <sz val="11"/>
        <color theme="1"/>
        <rFont val="Calibri"/>
        <family val="2"/>
      </rPr>
      <t>Electricity Use (Consumption)</t>
    </r>
    <r>
      <rPr>
        <b/>
        <vertAlign val="superscript"/>
        <sz val="11"/>
        <color theme="1"/>
        <rFont val="Calibri"/>
        <family val="2"/>
      </rPr>
      <t>b</t>
    </r>
  </si>
  <si>
    <t>Electricity Production (in-state)</t>
  </si>
  <si>
    <t xml:space="preserve">      Coal</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</si>
  <si>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</si>
  <si>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</si>
  <si>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</si>
  <si>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Natural Gas</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</si>
  <si>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</si>
  <si>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</si>
  <si>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</si>
  <si>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Oil</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</si>
  <si>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</si>
  <si>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</si>
  <si>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</si>
  <si>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Wood</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</si>
  <si>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</si>
  <si>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</si>
  <si>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</si>
  <si>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MSW/LFG</t>
  </si>
  <si>
    <t xml:space="preserve">Net Imported Electricity </t>
  </si>
  <si>
    <t>Residential/Commercial/Industrial (RCI) Fuel Use</t>
  </si>
  <si>
    <t xml:space="preserve"> Coal</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</si>
  <si>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</si>
  <si>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</si>
  <si>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</si>
  <si>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Natural Gas &amp; LPG</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</si>
  <si>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</si>
  <si>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</si>
  <si>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</si>
  <si>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Petroleum</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</si>
  <si>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</si>
  <si>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</si>
  <si>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</si>
  <si>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Wood </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</si>
  <si>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</si>
  <si>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</si>
  <si>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</si>
  <si>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Transportation </t>
  </si>
  <si>
    <t>Onroad Gasoline</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</si>
  <si>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</si>
  <si>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</si>
  <si>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</si>
  <si>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Nonroad Gasoline</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</si>
  <si>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</si>
  <si>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</si>
  <si>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</si>
  <si>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Onroad Diesel</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</si>
  <si>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</si>
  <si>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</si>
  <si>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</si>
  <si>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Nonroad Diesel</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</si>
  <si>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</si>
  <si>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</si>
  <si>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</si>
  <si>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Rail</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</si>
  <si>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</si>
  <si>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</si>
  <si>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</si>
  <si>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Marine Vessels (Gas &amp; Oil)</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</si>
  <si>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</si>
  <si>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</si>
  <si>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</si>
  <si>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Lubricants, Natural Gas, and LPG </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</si>
  <si>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</si>
  <si>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</si>
  <si>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</si>
  <si>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Jet Fuel and Aviation Gasoline</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</si>
  <si>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</si>
  <si>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</si>
  <si>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</si>
  <si>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Fossil Fuel Industry</t>
  </si>
  <si>
    <t xml:space="preserve"> Natural Gas Industry</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</si>
  <si>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</si>
  <si>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</si>
  <si>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</si>
  <si>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Oil Industry</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</si>
  <si>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</si>
  <si>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</si>
  <si>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</si>
  <si>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Coal Mining</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</si>
  <si>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</si>
  <si>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</si>
  <si>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</si>
  <si>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Industrial Processes</t>
  </si>
  <si>
    <t xml:space="preserve"> Cement Manufacture</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</si>
  <si>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</si>
  <si>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</si>
  <si>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</si>
  <si>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Limestone and Dolomite </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</si>
  <si>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</si>
  <si>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</si>
  <si>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</si>
  <si>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Soda Ash </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</si>
  <si>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</si>
  <si>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</si>
  <si>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</si>
  <si>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Iron and Steel</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</si>
  <si>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</si>
  <si>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</si>
  <si>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</si>
  <si>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 xml:space="preserve"> ODS Substitutes</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</si>
  <si>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</si>
  <si>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</si>
  <si>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HFC, PFC, SF</t>
    </r>
    <r>
      <rPr>
        <vertAlign val="subscript"/>
        <sz val="11"/>
        <color theme="1"/>
        <rFont val="Calibri"/>
        <family val="2"/>
      </rPr>
      <t>6</t>
    </r>
  </si>
  <si>
    <t xml:space="preserve"> Electricity Transmission and Dist.</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</si>
  <si>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</si>
  <si>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</si>
  <si>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HFC, PFC, SF</t>
    </r>
    <r>
      <rPr>
        <vertAlign val="subscript"/>
        <sz val="11"/>
        <color theme="1"/>
        <rFont val="Calibri"/>
        <family val="2"/>
      </rPr>
      <t>6</t>
    </r>
  </si>
  <si>
    <t xml:space="preserve"> Semiconductor Manufacturing</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</si>
  <si>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</si>
  <si>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</si>
  <si>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HFC, PFC, SF</t>
    </r>
    <r>
      <rPr>
        <vertAlign val="subscript"/>
        <sz val="11"/>
        <color theme="1"/>
        <rFont val="Calibri"/>
        <family val="2"/>
      </rPr>
      <t>6</t>
    </r>
  </si>
  <si>
    <t xml:space="preserve"> Ammonia and Urea Production (Nonfertilizer Usage)</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</si>
  <si>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</si>
  <si>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</si>
  <si>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HFC, PFC, SF</t>
    </r>
    <r>
      <rPr>
        <vertAlign val="subscript"/>
        <sz val="11"/>
        <color theme="1"/>
        <rFont val="Calibri"/>
        <family val="2"/>
      </rPr>
      <t>6</t>
    </r>
  </si>
  <si>
    <t xml:space="preserve"> Aluminum Production</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</si>
  <si>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</si>
  <si>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</si>
  <si>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HFC, PFC, SF</t>
    </r>
    <r>
      <rPr>
        <vertAlign val="subscript"/>
        <sz val="11"/>
        <color theme="1"/>
        <rFont val="Calibri"/>
        <family val="2"/>
      </rPr>
      <t>6</t>
    </r>
  </si>
  <si>
    <t>Agriculture</t>
  </si>
  <si>
    <t>Enteric Fermentation</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</si>
  <si>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</si>
  <si>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</si>
  <si>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</si>
  <si>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Manure Management</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</si>
  <si>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</si>
  <si>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</si>
  <si>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</si>
  <si>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Agricultural Soils</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</si>
  <si>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</si>
  <si>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</si>
  <si>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</si>
  <si>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Agricultural Burning</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</si>
  <si>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</si>
  <si>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</si>
  <si>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</si>
  <si>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Urea Fertilizer Usage</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</si>
  <si>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</si>
  <si>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</si>
  <si>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</si>
  <si>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Waste Management</t>
  </si>
  <si>
    <t>Waste Combustion</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</si>
  <si>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</si>
  <si>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</si>
  <si>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</si>
  <si>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Landfills</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</si>
  <si>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</si>
  <si>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</si>
  <si>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</si>
  <si>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Wastewater Management</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</si>
  <si>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</si>
  <si>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</si>
  <si>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</si>
  <si>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Residential Open Burning</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</si>
  <si>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</si>
  <si>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</si>
  <si>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</si>
  <si>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Gross Emissions (Consumption Basis, Excludes Sinks)</t>
  </si>
  <si>
    <t>increase relative to 2006</t>
  </si>
  <si>
    <t>Emissions Sinks</t>
  </si>
  <si>
    <t>Forested Landscape</t>
  </si>
  <si>
    <t>Urban Forestry and Land Use</t>
  </si>
  <si>
    <t>Agricultural Soils (Cultivation Practices)</t>
  </si>
  <si>
    <t>Forest Fires</t>
  </si>
  <si>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</si>
  <si>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</si>
  <si>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Net Emissions (Consumptions Basis) (Including forestry, land use, and ag sinks)</t>
  </si>
  <si>
    <t>Electricity Use (Consumption)</t>
  </si>
  <si>
    <t>RCI Fuel Use</t>
  </si>
  <si>
    <t>Transportation - Onroad</t>
  </si>
  <si>
    <t>Transportation - Nonroad</t>
  </si>
  <si>
    <t>POWER BOILERS (Severstal) 2011</t>
  </si>
  <si>
    <t>Emissions</t>
  </si>
  <si>
    <t># 6 Oil</t>
  </si>
  <si>
    <t>BFG</t>
  </si>
  <si>
    <t>NG</t>
  </si>
  <si>
    <t xml:space="preserve">Total </t>
  </si>
  <si>
    <t>(short tons)</t>
  </si>
  <si>
    <t>(gal)</t>
  </si>
  <si>
    <t>(scf)</t>
  </si>
  <si>
    <t>(mcf)</t>
  </si>
  <si>
    <t>Qty</t>
  </si>
  <si>
    <t>btus/unit</t>
  </si>
  <si>
    <t>Pennwood #1</t>
  </si>
  <si>
    <t>mmbtus</t>
  </si>
  <si>
    <r>
      <rPr>
        <b/>
        <sz val="11"/>
        <color theme="1"/>
        <rFont val="Calibri"/>
        <family val="2"/>
      </rPr>
      <t>CO</t>
    </r>
    <r>
      <rPr>
        <b/>
        <vertAlign val="subscript"/>
        <sz val="10"/>
        <color theme="1"/>
        <rFont val="Arial"/>
        <family val="2"/>
      </rPr>
      <t>2</t>
    </r>
    <r>
      <rPr>
        <b/>
        <sz val="10"/>
        <color theme="1"/>
        <rFont val="Arial"/>
        <family val="2"/>
      </rPr>
      <t xml:space="preserve"> emissions in metric tons</t>
    </r>
  </si>
  <si>
    <r>
      <rPr>
        <b/>
        <sz val="11"/>
        <color theme="1"/>
        <rFont val="Calibri"/>
        <family val="2"/>
      </rPr>
      <t>CH</t>
    </r>
    <r>
      <rPr>
        <b/>
        <vertAlign val="subscript"/>
        <sz val="10"/>
        <color theme="1"/>
        <rFont val="Arial"/>
        <family val="2"/>
      </rPr>
      <t>4</t>
    </r>
    <r>
      <rPr>
        <b/>
        <sz val="10"/>
        <color theme="1"/>
        <rFont val="Arial"/>
        <family val="2"/>
      </rPr>
      <t xml:space="preserve"> emissions in metric tons</t>
    </r>
  </si>
  <si>
    <r>
      <rPr>
        <b/>
        <sz val="11"/>
        <color theme="1"/>
        <rFont val="Calibri"/>
        <family val="2"/>
      </rPr>
      <t>N</t>
    </r>
    <r>
      <rPr>
        <b/>
        <vertAlign val="subscript"/>
        <sz val="10"/>
        <color theme="1"/>
        <rFont val="Arial"/>
        <family val="2"/>
      </rPr>
      <t>2</t>
    </r>
    <r>
      <rPr>
        <b/>
        <sz val="10"/>
        <color theme="1"/>
        <rFont val="Arial"/>
        <family val="2"/>
      </rPr>
      <t>O emissions  in metric tons</t>
    </r>
  </si>
  <si>
    <t>Pennwood #2</t>
  </si>
  <si>
    <r>
      <rPr>
        <b/>
        <sz val="11"/>
        <color theme="1"/>
        <rFont val="Calibri"/>
        <family val="2"/>
      </rPr>
      <t>CO</t>
    </r>
    <r>
      <rPr>
        <b/>
        <vertAlign val="subscript"/>
        <sz val="10"/>
        <color theme="1"/>
        <rFont val="Arial"/>
        <family val="2"/>
      </rPr>
      <t>2</t>
    </r>
    <r>
      <rPr>
        <b/>
        <sz val="10"/>
        <color theme="1"/>
        <rFont val="Arial"/>
        <family val="2"/>
      </rPr>
      <t xml:space="preserve"> emissions in metric tons</t>
    </r>
  </si>
  <si>
    <r>
      <rPr>
        <b/>
        <sz val="11"/>
        <color theme="1"/>
        <rFont val="Calibri"/>
        <family val="2"/>
      </rPr>
      <t>CH</t>
    </r>
    <r>
      <rPr>
        <b/>
        <vertAlign val="subscript"/>
        <sz val="10"/>
        <color theme="1"/>
        <rFont val="Arial"/>
        <family val="2"/>
      </rPr>
      <t>4</t>
    </r>
    <r>
      <rPr>
        <b/>
        <sz val="10"/>
        <color theme="1"/>
        <rFont val="Arial"/>
        <family val="2"/>
      </rPr>
      <t xml:space="preserve"> emissions in metric tons</t>
    </r>
  </si>
  <si>
    <r>
      <rPr>
        <b/>
        <sz val="11"/>
        <color theme="1"/>
        <rFont val="Calibri"/>
        <family val="2"/>
      </rPr>
      <t>N</t>
    </r>
    <r>
      <rPr>
        <b/>
        <vertAlign val="subscript"/>
        <sz val="10"/>
        <color theme="1"/>
        <rFont val="Arial"/>
        <family val="2"/>
      </rPr>
      <t>2</t>
    </r>
    <r>
      <rPr>
        <b/>
        <sz val="10"/>
        <color theme="1"/>
        <rFont val="Arial"/>
        <family val="2"/>
      </rPr>
      <t>O emissions in metric tons</t>
    </r>
  </si>
  <si>
    <t>Pennwood #3</t>
  </si>
  <si>
    <r>
      <rPr>
        <b/>
        <sz val="11"/>
        <color theme="1"/>
        <rFont val="Calibri"/>
        <family val="2"/>
      </rPr>
      <t>CO</t>
    </r>
    <r>
      <rPr>
        <b/>
        <vertAlign val="subscript"/>
        <sz val="10"/>
        <color theme="1"/>
        <rFont val="Arial"/>
        <family val="2"/>
      </rPr>
      <t>2</t>
    </r>
    <r>
      <rPr>
        <b/>
        <sz val="10"/>
        <color theme="1"/>
        <rFont val="Arial"/>
        <family val="2"/>
      </rPr>
      <t xml:space="preserve"> emissions in metric tons</t>
    </r>
  </si>
  <si>
    <r>
      <rPr>
        <b/>
        <sz val="11"/>
        <color theme="1"/>
        <rFont val="Calibri"/>
        <family val="2"/>
      </rPr>
      <t>CH</t>
    </r>
    <r>
      <rPr>
        <b/>
        <vertAlign val="subscript"/>
        <sz val="10"/>
        <color theme="1"/>
        <rFont val="Arial"/>
        <family val="2"/>
      </rPr>
      <t>4</t>
    </r>
    <r>
      <rPr>
        <b/>
        <sz val="10"/>
        <color theme="1"/>
        <rFont val="Arial"/>
        <family val="2"/>
      </rPr>
      <t xml:space="preserve"> emissions in metric tons</t>
    </r>
  </si>
  <si>
    <r>
      <rPr>
        <b/>
        <sz val="11"/>
        <color theme="1"/>
        <rFont val="Calibri"/>
        <family val="2"/>
      </rPr>
      <t>N</t>
    </r>
    <r>
      <rPr>
        <b/>
        <vertAlign val="subscript"/>
        <sz val="10"/>
        <color theme="1"/>
        <rFont val="Arial"/>
        <family val="2"/>
      </rPr>
      <t>2</t>
    </r>
    <r>
      <rPr>
        <b/>
        <sz val="10"/>
        <color theme="1"/>
        <rFont val="Arial"/>
        <family val="2"/>
      </rPr>
      <t>O emissions in metric tons</t>
    </r>
  </si>
  <si>
    <t>Pennwood #4</t>
  </si>
  <si>
    <r>
      <rPr>
        <b/>
        <sz val="11"/>
        <color theme="1"/>
        <rFont val="Calibri"/>
        <family val="2"/>
      </rPr>
      <t>CO</t>
    </r>
    <r>
      <rPr>
        <b/>
        <vertAlign val="subscript"/>
        <sz val="10"/>
        <color theme="1"/>
        <rFont val="Arial"/>
        <family val="2"/>
      </rPr>
      <t>2</t>
    </r>
    <r>
      <rPr>
        <b/>
        <sz val="10"/>
        <color theme="1"/>
        <rFont val="Arial"/>
        <family val="2"/>
      </rPr>
      <t xml:space="preserve"> emissions in metric tons</t>
    </r>
  </si>
  <si>
    <r>
      <rPr>
        <b/>
        <sz val="11"/>
        <color theme="1"/>
        <rFont val="Calibri"/>
        <family val="2"/>
      </rPr>
      <t>CH</t>
    </r>
    <r>
      <rPr>
        <b/>
        <vertAlign val="subscript"/>
        <sz val="10"/>
        <color theme="1"/>
        <rFont val="Arial"/>
        <family val="2"/>
      </rPr>
      <t>4</t>
    </r>
    <r>
      <rPr>
        <b/>
        <sz val="10"/>
        <color theme="1"/>
        <rFont val="Arial"/>
        <family val="2"/>
      </rPr>
      <t xml:space="preserve"> emissions in metric tons</t>
    </r>
  </si>
  <si>
    <r>
      <rPr>
        <b/>
        <sz val="11"/>
        <color theme="1"/>
        <rFont val="Calibri"/>
        <family val="2"/>
      </rPr>
      <t>N</t>
    </r>
    <r>
      <rPr>
        <b/>
        <vertAlign val="subscript"/>
        <sz val="10"/>
        <color theme="1"/>
        <rFont val="Arial"/>
        <family val="2"/>
      </rPr>
      <t>2</t>
    </r>
    <r>
      <rPr>
        <b/>
        <sz val="10"/>
        <color theme="1"/>
        <rFont val="Arial"/>
        <family val="2"/>
      </rPr>
      <t>O emissions in metric tons</t>
    </r>
  </si>
  <si>
    <t>Summary Fossil Fuel Combustion</t>
  </si>
  <si>
    <t>MMBTU</t>
  </si>
  <si>
    <r>
      <rPr>
        <b/>
        <sz val="11"/>
        <color theme="1"/>
        <rFont val="Calibri"/>
        <family val="2"/>
      </rPr>
      <t>CO</t>
    </r>
    <r>
      <rPr>
        <b/>
        <vertAlign val="subscript"/>
        <sz val="10"/>
        <color theme="1"/>
        <rFont val="Arial"/>
        <family val="2"/>
      </rPr>
      <t>2</t>
    </r>
    <r>
      <rPr>
        <b/>
        <sz val="10"/>
        <color theme="1"/>
        <rFont val="Arial"/>
        <family val="2"/>
      </rPr>
      <t xml:space="preserve"> Emission </t>
    </r>
  </si>
  <si>
    <r>
      <rPr>
        <b/>
        <sz val="11"/>
        <color theme="1"/>
        <rFont val="Calibri"/>
        <family val="2"/>
      </rPr>
      <t>CO</t>
    </r>
    <r>
      <rPr>
        <b/>
        <vertAlign val="subscript"/>
        <sz val="10"/>
        <color theme="1"/>
        <rFont val="Arial"/>
        <family val="2"/>
      </rPr>
      <t>2</t>
    </r>
    <r>
      <rPr>
        <b/>
        <sz val="10"/>
        <color theme="1"/>
        <rFont val="Arial"/>
        <family val="2"/>
      </rPr>
      <t xml:space="preserve"> Emission </t>
    </r>
  </si>
  <si>
    <r>
      <rPr>
        <b/>
        <sz val="11"/>
        <color theme="1"/>
        <rFont val="Calibri"/>
        <family val="2"/>
      </rPr>
      <t>CO</t>
    </r>
    <r>
      <rPr>
        <b/>
        <vertAlign val="subscript"/>
        <sz val="10"/>
        <color theme="1"/>
        <rFont val="Arial"/>
        <family val="2"/>
      </rPr>
      <t>2</t>
    </r>
    <r>
      <rPr>
        <b/>
        <sz val="10"/>
        <color theme="1"/>
        <rFont val="Arial"/>
        <family val="2"/>
      </rPr>
      <t xml:space="preserve"> Emission </t>
    </r>
  </si>
  <si>
    <t>(metric tons)</t>
  </si>
  <si>
    <t>(MMTCO2)</t>
  </si>
  <si>
    <t>Coal</t>
  </si>
  <si>
    <t>Petroleum</t>
  </si>
  <si>
    <t>Natural Gas</t>
  </si>
  <si>
    <t>Total</t>
  </si>
  <si>
    <r>
      <rPr>
        <b/>
        <sz val="11"/>
        <color theme="1"/>
        <rFont val="Calibri"/>
        <family val="2"/>
      </rPr>
      <t>CH</t>
    </r>
    <r>
      <rPr>
        <b/>
        <vertAlign val="subscript"/>
        <sz val="10"/>
        <color theme="1"/>
        <rFont val="Arial"/>
        <family val="2"/>
      </rPr>
      <t>4</t>
    </r>
    <r>
      <rPr>
        <b/>
        <sz val="10"/>
        <color theme="1"/>
        <rFont val="Arial"/>
        <family val="2"/>
      </rPr>
      <t xml:space="preserve"> Emission </t>
    </r>
  </si>
  <si>
    <r>
      <rPr>
        <b/>
        <sz val="11"/>
        <color theme="1"/>
        <rFont val="Calibri"/>
        <family val="2"/>
      </rPr>
      <t>CH</t>
    </r>
    <r>
      <rPr>
        <b/>
        <vertAlign val="subscript"/>
        <sz val="10"/>
        <color theme="1"/>
        <rFont val="Arial"/>
        <family val="2"/>
      </rPr>
      <t>4</t>
    </r>
    <r>
      <rPr>
        <b/>
        <sz val="10"/>
        <color theme="1"/>
        <rFont val="Arial"/>
        <family val="2"/>
      </rPr>
      <t xml:space="preserve"> Emission </t>
    </r>
  </si>
  <si>
    <r>
      <rPr>
        <b/>
        <sz val="11"/>
        <color theme="1"/>
        <rFont val="Calibri"/>
        <family val="2"/>
      </rPr>
      <t>CH</t>
    </r>
    <r>
      <rPr>
        <b/>
        <vertAlign val="subscript"/>
        <sz val="10"/>
        <color theme="1"/>
        <rFont val="Arial"/>
        <family val="2"/>
      </rPr>
      <t>4</t>
    </r>
    <r>
      <rPr>
        <b/>
        <sz val="10"/>
        <color theme="1"/>
        <rFont val="Arial"/>
        <family val="2"/>
      </rPr>
      <t xml:space="preserve"> Emission </t>
    </r>
  </si>
  <si>
    <r>
      <rPr>
        <b/>
        <sz val="11"/>
        <color theme="1"/>
        <rFont val="Calibri"/>
        <family val="2"/>
      </rPr>
      <t>N</t>
    </r>
    <r>
      <rPr>
        <b/>
        <vertAlign val="subscript"/>
        <sz val="10"/>
        <color theme="1"/>
        <rFont val="Arial"/>
        <family val="2"/>
      </rPr>
      <t>2</t>
    </r>
    <r>
      <rPr>
        <b/>
        <sz val="10"/>
        <color theme="1"/>
        <rFont val="Arial"/>
        <family val="2"/>
      </rPr>
      <t xml:space="preserve">O Emission </t>
    </r>
  </si>
  <si>
    <r>
      <rPr>
        <b/>
        <sz val="11"/>
        <color theme="1"/>
        <rFont val="Calibri"/>
        <family val="2"/>
      </rPr>
      <t>N</t>
    </r>
    <r>
      <rPr>
        <b/>
        <vertAlign val="subscript"/>
        <sz val="10"/>
        <color theme="1"/>
        <rFont val="Arial"/>
        <family val="2"/>
      </rPr>
      <t>2</t>
    </r>
    <r>
      <rPr>
        <b/>
        <sz val="10"/>
        <color theme="1"/>
        <rFont val="Arial"/>
        <family val="2"/>
      </rPr>
      <t xml:space="preserve">O Emission </t>
    </r>
  </si>
  <si>
    <r>
      <rPr>
        <b/>
        <sz val="11"/>
        <color theme="1"/>
        <rFont val="Calibri"/>
        <family val="2"/>
      </rPr>
      <t>N</t>
    </r>
    <r>
      <rPr>
        <b/>
        <vertAlign val="subscript"/>
        <sz val="10"/>
        <color theme="1"/>
        <rFont val="Arial"/>
        <family val="2"/>
      </rPr>
      <t>2</t>
    </r>
    <r>
      <rPr>
        <b/>
        <sz val="10"/>
        <color theme="1"/>
        <rFont val="Arial"/>
        <family val="2"/>
      </rPr>
      <t xml:space="preserve">O Emission </t>
    </r>
  </si>
  <si>
    <t>kg/mmBTU</t>
  </si>
  <si>
    <t>POWER BOILERS (LUKE) 2011</t>
  </si>
  <si>
    <r>
      <rPr>
        <b/>
        <sz val="11"/>
        <color theme="1"/>
        <rFont val="Calibri"/>
        <family val="2"/>
      </rPr>
      <t>CO</t>
    </r>
    <r>
      <rPr>
        <b/>
        <vertAlign val="subscript"/>
        <sz val="10"/>
        <color theme="1"/>
        <rFont val="Arial"/>
        <family val="2"/>
      </rPr>
      <t>2</t>
    </r>
  </si>
  <si>
    <t>CEM</t>
  </si>
  <si>
    <r>
      <rPr>
        <b/>
        <sz val="11"/>
        <color theme="1"/>
        <rFont val="Calibri"/>
        <family val="2"/>
      </rPr>
      <t>CH</t>
    </r>
    <r>
      <rPr>
        <b/>
        <vertAlign val="subscript"/>
        <sz val="10"/>
        <color theme="1"/>
        <rFont val="Arial"/>
        <family val="2"/>
      </rPr>
      <t>4</t>
    </r>
  </si>
  <si>
    <r>
      <rPr>
        <b/>
        <sz val="11"/>
        <color theme="1"/>
        <rFont val="Calibri"/>
        <family val="2"/>
      </rPr>
      <t>N</t>
    </r>
    <r>
      <rPr>
        <b/>
        <vertAlign val="subscript"/>
        <sz val="10"/>
        <color theme="1"/>
        <rFont val="Arial"/>
        <family val="2"/>
      </rPr>
      <t>2</t>
    </r>
    <r>
      <rPr>
        <b/>
        <sz val="10"/>
        <color theme="1"/>
        <rFont val="Arial"/>
        <family val="2"/>
      </rPr>
      <t>O</t>
    </r>
  </si>
  <si>
    <t>Oil(2,4)</t>
  </si>
  <si>
    <t>Oil(6)</t>
  </si>
  <si>
    <t>Gas</t>
  </si>
  <si>
    <t>Biomass</t>
  </si>
  <si>
    <t xml:space="preserve">% of Heat </t>
  </si>
  <si>
    <t>Share</t>
  </si>
  <si>
    <t># 2 Oil</t>
  </si>
  <si>
    <t># 4 Oil</t>
  </si>
  <si>
    <t>(tons)</t>
  </si>
  <si>
    <r>
      <rPr>
        <b/>
        <sz val="11"/>
        <color theme="1"/>
        <rFont val="Calibri"/>
        <family val="2"/>
      </rPr>
      <t>CO</t>
    </r>
    <r>
      <rPr>
        <b/>
        <vertAlign val="subscript"/>
        <sz val="10"/>
        <color theme="1"/>
        <rFont val="Arial"/>
        <family val="2"/>
      </rPr>
      <t>2</t>
    </r>
    <r>
      <rPr>
        <b/>
        <sz val="10"/>
        <color theme="1"/>
        <rFont val="Arial"/>
        <family val="2"/>
      </rPr>
      <t xml:space="preserve"> emissions (short tons)</t>
    </r>
  </si>
  <si>
    <t>No. 24</t>
  </si>
  <si>
    <r>
      <rPr>
        <b/>
        <sz val="11"/>
        <color theme="1"/>
        <rFont val="Calibri"/>
        <family val="2"/>
      </rPr>
      <t>CH</t>
    </r>
    <r>
      <rPr>
        <b/>
        <vertAlign val="subscript"/>
        <sz val="10"/>
        <color theme="1"/>
        <rFont val="Arial"/>
        <family val="2"/>
      </rPr>
      <t>4</t>
    </r>
    <r>
      <rPr>
        <b/>
        <sz val="10"/>
        <color theme="1"/>
        <rFont val="Arial"/>
        <family val="2"/>
      </rPr>
      <t xml:space="preserve"> emissions (short tons)</t>
    </r>
  </si>
  <si>
    <r>
      <rPr>
        <b/>
        <sz val="11"/>
        <color theme="1"/>
        <rFont val="Calibri"/>
        <family val="2"/>
      </rPr>
      <t>N</t>
    </r>
    <r>
      <rPr>
        <b/>
        <vertAlign val="subscript"/>
        <sz val="10"/>
        <color theme="1"/>
        <rFont val="Arial"/>
        <family val="2"/>
      </rPr>
      <t>2</t>
    </r>
    <r>
      <rPr>
        <b/>
        <sz val="10"/>
        <color theme="1"/>
        <rFont val="Arial"/>
        <family val="2"/>
      </rPr>
      <t>O emissions  (short tons)</t>
    </r>
  </si>
  <si>
    <r>
      <rPr>
        <b/>
        <sz val="11"/>
        <color theme="1"/>
        <rFont val="Calibri"/>
        <family val="2"/>
      </rPr>
      <t>CO</t>
    </r>
    <r>
      <rPr>
        <b/>
        <vertAlign val="subscript"/>
        <sz val="10"/>
        <color theme="1"/>
        <rFont val="Arial"/>
        <family val="2"/>
      </rPr>
      <t>2</t>
    </r>
    <r>
      <rPr>
        <b/>
        <sz val="10"/>
        <color theme="1"/>
        <rFont val="Arial"/>
        <family val="2"/>
      </rPr>
      <t xml:space="preserve"> emissions (short tons)</t>
    </r>
  </si>
  <si>
    <t>No. 25</t>
  </si>
  <si>
    <r>
      <rPr>
        <b/>
        <sz val="11"/>
        <color theme="1"/>
        <rFont val="Calibri"/>
        <family val="2"/>
      </rPr>
      <t>CH</t>
    </r>
    <r>
      <rPr>
        <b/>
        <vertAlign val="subscript"/>
        <sz val="10"/>
        <color theme="1"/>
        <rFont val="Arial"/>
        <family val="2"/>
      </rPr>
      <t>4</t>
    </r>
    <r>
      <rPr>
        <b/>
        <sz val="10"/>
        <color theme="1"/>
        <rFont val="Arial"/>
        <family val="2"/>
      </rPr>
      <t xml:space="preserve"> emissions (short tons)</t>
    </r>
  </si>
  <si>
    <r>
      <rPr>
        <b/>
        <sz val="11"/>
        <color theme="1"/>
        <rFont val="Calibri"/>
        <family val="2"/>
      </rPr>
      <t>N</t>
    </r>
    <r>
      <rPr>
        <b/>
        <vertAlign val="subscript"/>
        <sz val="10"/>
        <color theme="1"/>
        <rFont val="Arial"/>
        <family val="2"/>
      </rPr>
      <t>2</t>
    </r>
    <r>
      <rPr>
        <b/>
        <sz val="10"/>
        <color theme="1"/>
        <rFont val="Arial"/>
        <family val="2"/>
      </rPr>
      <t>O emissions (short tons)</t>
    </r>
  </si>
  <si>
    <r>
      <rPr>
        <b/>
        <sz val="11"/>
        <color theme="1"/>
        <rFont val="Calibri"/>
        <family val="2"/>
      </rPr>
      <t>CO</t>
    </r>
    <r>
      <rPr>
        <b/>
        <vertAlign val="subscript"/>
        <sz val="10"/>
        <color theme="1"/>
        <rFont val="Arial"/>
        <family val="2"/>
      </rPr>
      <t>2</t>
    </r>
    <r>
      <rPr>
        <b/>
        <sz val="10"/>
        <color theme="1"/>
        <rFont val="Arial"/>
        <family val="2"/>
      </rPr>
      <t xml:space="preserve"> emissions (short tons)</t>
    </r>
  </si>
  <si>
    <t>No. 26</t>
  </si>
  <si>
    <r>
      <rPr>
        <b/>
        <sz val="11"/>
        <color theme="1"/>
        <rFont val="Calibri"/>
        <family val="2"/>
      </rPr>
      <t>CH</t>
    </r>
    <r>
      <rPr>
        <b/>
        <vertAlign val="subscript"/>
        <sz val="10"/>
        <color theme="1"/>
        <rFont val="Arial"/>
        <family val="2"/>
      </rPr>
      <t>4</t>
    </r>
    <r>
      <rPr>
        <b/>
        <sz val="10"/>
        <color theme="1"/>
        <rFont val="Arial"/>
        <family val="2"/>
      </rPr>
      <t xml:space="preserve"> emissions (short tons)</t>
    </r>
  </si>
  <si>
    <r>
      <rPr>
        <b/>
        <sz val="11"/>
        <color theme="1"/>
        <rFont val="Calibri"/>
        <family val="2"/>
      </rPr>
      <t>N</t>
    </r>
    <r>
      <rPr>
        <b/>
        <vertAlign val="subscript"/>
        <sz val="10"/>
        <color theme="1"/>
        <rFont val="Arial"/>
        <family val="2"/>
      </rPr>
      <t>2</t>
    </r>
    <r>
      <rPr>
        <b/>
        <sz val="10"/>
        <color theme="1"/>
        <rFont val="Arial"/>
        <family val="2"/>
      </rPr>
      <t>O emissions  (short tons)</t>
    </r>
  </si>
  <si>
    <r>
      <rPr>
        <b/>
        <sz val="11"/>
        <color theme="1"/>
        <rFont val="Calibri"/>
        <family val="2"/>
      </rPr>
      <t>CO</t>
    </r>
    <r>
      <rPr>
        <b/>
        <vertAlign val="subscript"/>
        <sz val="10"/>
        <color theme="1"/>
        <rFont val="Arial"/>
        <family val="2"/>
      </rPr>
      <t>2</t>
    </r>
    <r>
      <rPr>
        <b/>
        <sz val="10"/>
        <color theme="1"/>
        <rFont val="Arial"/>
        <family val="2"/>
      </rPr>
      <t xml:space="preserve"> Emission </t>
    </r>
  </si>
  <si>
    <r>
      <rPr>
        <b/>
        <sz val="11"/>
        <color theme="1"/>
        <rFont val="Calibri"/>
        <family val="2"/>
      </rPr>
      <t>CO</t>
    </r>
    <r>
      <rPr>
        <b/>
        <vertAlign val="subscript"/>
        <sz val="10"/>
        <color theme="1"/>
        <rFont val="Arial"/>
        <family val="2"/>
      </rPr>
      <t>2</t>
    </r>
    <r>
      <rPr>
        <b/>
        <sz val="10"/>
        <color theme="1"/>
        <rFont val="Arial"/>
        <family val="2"/>
      </rPr>
      <t xml:space="preserve"> Emission </t>
    </r>
  </si>
  <si>
    <r>
      <rPr>
        <b/>
        <sz val="11"/>
        <color theme="1"/>
        <rFont val="Calibri"/>
        <family val="2"/>
      </rPr>
      <t>CO</t>
    </r>
    <r>
      <rPr>
        <b/>
        <vertAlign val="subscript"/>
        <sz val="10"/>
        <color theme="1"/>
        <rFont val="Arial"/>
        <family val="2"/>
      </rPr>
      <t>2</t>
    </r>
    <r>
      <rPr>
        <b/>
        <sz val="10"/>
        <color theme="1"/>
        <rFont val="Arial"/>
        <family val="2"/>
      </rPr>
      <t xml:space="preserve"> Emission </t>
    </r>
  </si>
  <si>
    <r>
      <rPr>
        <b/>
        <sz val="11"/>
        <color theme="1"/>
        <rFont val="Calibri"/>
        <family val="2"/>
      </rPr>
      <t>CH</t>
    </r>
    <r>
      <rPr>
        <b/>
        <vertAlign val="subscript"/>
        <sz val="10"/>
        <color theme="1"/>
        <rFont val="Arial"/>
        <family val="2"/>
      </rPr>
      <t>4</t>
    </r>
    <r>
      <rPr>
        <b/>
        <sz val="10"/>
        <color theme="1"/>
        <rFont val="Arial"/>
        <family val="2"/>
      </rPr>
      <t xml:space="preserve"> Emission </t>
    </r>
  </si>
  <si>
    <r>
      <rPr>
        <b/>
        <sz val="11"/>
        <color theme="1"/>
        <rFont val="Calibri"/>
        <family val="2"/>
      </rPr>
      <t>CH</t>
    </r>
    <r>
      <rPr>
        <b/>
        <vertAlign val="subscript"/>
        <sz val="10"/>
        <color theme="1"/>
        <rFont val="Arial"/>
        <family val="2"/>
      </rPr>
      <t>4</t>
    </r>
    <r>
      <rPr>
        <b/>
        <sz val="10"/>
        <color theme="1"/>
        <rFont val="Arial"/>
        <family val="2"/>
      </rPr>
      <t xml:space="preserve"> Emission </t>
    </r>
  </si>
  <si>
    <r>
      <rPr>
        <b/>
        <sz val="11"/>
        <color theme="1"/>
        <rFont val="Calibri"/>
        <family val="2"/>
      </rPr>
      <t>CH</t>
    </r>
    <r>
      <rPr>
        <b/>
        <vertAlign val="subscript"/>
        <sz val="10"/>
        <color theme="1"/>
        <rFont val="Arial"/>
        <family val="2"/>
      </rPr>
      <t>4</t>
    </r>
    <r>
      <rPr>
        <b/>
        <sz val="10"/>
        <color theme="1"/>
        <rFont val="Arial"/>
        <family val="2"/>
      </rPr>
      <t xml:space="preserve"> Emission </t>
    </r>
  </si>
  <si>
    <r>
      <rPr>
        <b/>
        <sz val="11"/>
        <color theme="1"/>
        <rFont val="Calibri"/>
        <family val="2"/>
      </rPr>
      <t>(MMTCO</t>
    </r>
    <r>
      <rPr>
        <b/>
        <vertAlign val="subscript"/>
        <sz val="10"/>
        <color theme="1"/>
        <rFont val="Arial"/>
        <family val="2"/>
      </rPr>
      <t>2</t>
    </r>
    <r>
      <rPr>
        <b/>
        <sz val="10"/>
        <color theme="1"/>
        <rFont val="Arial"/>
        <family val="2"/>
      </rPr>
      <t>)</t>
    </r>
  </si>
  <si>
    <r>
      <rPr>
        <b/>
        <sz val="11"/>
        <color theme="1"/>
        <rFont val="Calibri"/>
        <family val="2"/>
      </rPr>
      <t>N</t>
    </r>
    <r>
      <rPr>
        <b/>
        <vertAlign val="subscript"/>
        <sz val="10"/>
        <color theme="1"/>
        <rFont val="Arial"/>
        <family val="2"/>
      </rPr>
      <t>2</t>
    </r>
    <r>
      <rPr>
        <b/>
        <sz val="10"/>
        <color theme="1"/>
        <rFont val="Arial"/>
        <family val="2"/>
      </rPr>
      <t xml:space="preserve">O Emission </t>
    </r>
  </si>
  <si>
    <r>
      <rPr>
        <b/>
        <sz val="11"/>
        <color theme="1"/>
        <rFont val="Calibri"/>
        <family val="2"/>
      </rPr>
      <t>N</t>
    </r>
    <r>
      <rPr>
        <b/>
        <vertAlign val="subscript"/>
        <sz val="10"/>
        <color theme="1"/>
        <rFont val="Arial"/>
        <family val="2"/>
      </rPr>
      <t>2</t>
    </r>
    <r>
      <rPr>
        <b/>
        <sz val="10"/>
        <color theme="1"/>
        <rFont val="Arial"/>
        <family val="2"/>
      </rPr>
      <t xml:space="preserve">O Emission </t>
    </r>
  </si>
  <si>
    <r>
      <rPr>
        <b/>
        <sz val="11"/>
        <color theme="1"/>
        <rFont val="Calibri"/>
        <family val="2"/>
      </rPr>
      <t>N</t>
    </r>
    <r>
      <rPr>
        <b/>
        <vertAlign val="subscript"/>
        <sz val="10"/>
        <color theme="1"/>
        <rFont val="Arial"/>
        <family val="2"/>
      </rPr>
      <t>2</t>
    </r>
    <r>
      <rPr>
        <b/>
        <sz val="10"/>
        <color theme="1"/>
        <rFont val="Arial"/>
        <family val="2"/>
      </rPr>
      <t xml:space="preserve">O Emission </t>
    </r>
  </si>
  <si>
    <r>
      <rPr>
        <b/>
        <sz val="11"/>
        <color theme="1"/>
        <rFont val="Calibri"/>
        <family val="2"/>
      </rPr>
      <t>(MMTCO</t>
    </r>
    <r>
      <rPr>
        <b/>
        <vertAlign val="subscript"/>
        <sz val="10"/>
        <color theme="1"/>
        <rFont val="Arial"/>
        <family val="2"/>
      </rPr>
      <t>2</t>
    </r>
    <r>
      <rPr>
        <b/>
        <sz val="10"/>
        <color theme="1"/>
        <rFont val="Arial"/>
        <family val="2"/>
      </rPr>
      <t>)</t>
    </r>
  </si>
  <si>
    <r>
      <rPr>
        <sz val="11"/>
        <color theme="1"/>
        <rFont val="Calibri"/>
        <family val="2"/>
      </rPr>
      <t>Electric Power Production  and CO</t>
    </r>
    <r>
      <rPr>
        <vertAlign val="subscript"/>
        <sz val="14"/>
        <color theme="1"/>
        <rFont val="Comic Sans MS"/>
        <family val="4"/>
      </rPr>
      <t>2</t>
    </r>
    <r>
      <rPr>
        <sz val="14"/>
        <color theme="1"/>
        <rFont val="Comic Sans MS"/>
        <family val="4"/>
      </rPr>
      <t xml:space="preserve"> Emissions in Maryland</t>
    </r>
  </si>
  <si>
    <t>FINAL</t>
  </si>
  <si>
    <t xml:space="preserve"> COAL COMBUSTION BY UNIT</t>
  </si>
  <si>
    <t>ECMPS data</t>
  </si>
  <si>
    <t>EPA Emissions Collection and Monitoring Plan System (ECMPS) data in accordance to 40 CFR Part 75</t>
  </si>
  <si>
    <t>Calculation:</t>
  </si>
  <si>
    <t>Usage X Heat Content</t>
  </si>
  <si>
    <t>Plant ID</t>
  </si>
  <si>
    <t xml:space="preserve">Plant Name </t>
  </si>
  <si>
    <t>Equipment Description</t>
  </si>
  <si>
    <t>Fuel Type</t>
  </si>
  <si>
    <t>Usage</t>
  </si>
  <si>
    <t>Usage Unit</t>
  </si>
  <si>
    <t>Heat Content</t>
  </si>
  <si>
    <t>Heat Content Unit</t>
  </si>
  <si>
    <t>Fuel Heat Input</t>
  </si>
  <si>
    <r>
      <rPr>
        <b/>
        <sz val="11"/>
        <color theme="1"/>
        <rFont val="Calibri"/>
        <family val="2"/>
      </rPr>
      <t>CO</t>
    </r>
    <r>
      <rPr>
        <b/>
        <vertAlign val="subscript"/>
        <sz val="10"/>
        <color theme="1"/>
        <rFont val="Arial"/>
        <family val="2"/>
      </rPr>
      <t>2</t>
    </r>
    <r>
      <rPr>
        <b/>
        <sz val="10"/>
        <color theme="1"/>
        <rFont val="Arial"/>
        <family val="2"/>
      </rPr>
      <t xml:space="preserve"> Emmission</t>
    </r>
  </si>
  <si>
    <r>
      <rPr>
        <b/>
        <sz val="11"/>
        <color theme="1"/>
        <rFont val="Calibri"/>
        <family val="2"/>
      </rPr>
      <t>CH</t>
    </r>
    <r>
      <rPr>
        <b/>
        <vertAlign val="subscript"/>
        <sz val="10"/>
        <color theme="1"/>
        <rFont val="Arial"/>
        <family val="2"/>
      </rPr>
      <t>4</t>
    </r>
    <r>
      <rPr>
        <b/>
        <sz val="10"/>
        <color theme="1"/>
        <rFont val="Arial"/>
        <family val="2"/>
      </rPr>
      <t xml:space="preserve">  Emission</t>
    </r>
  </si>
  <si>
    <r>
      <rPr>
        <b/>
        <sz val="11"/>
        <color theme="1"/>
        <rFont val="Calibri"/>
        <family val="2"/>
      </rPr>
      <t>N</t>
    </r>
    <r>
      <rPr>
        <b/>
        <vertAlign val="subscript"/>
        <sz val="10"/>
        <color theme="1"/>
        <rFont val="Arial"/>
        <family val="2"/>
      </rPr>
      <t>2</t>
    </r>
    <r>
      <rPr>
        <b/>
        <sz val="10"/>
        <color theme="1"/>
        <rFont val="Arial"/>
        <family val="2"/>
      </rPr>
      <t>O  Emission</t>
    </r>
  </si>
  <si>
    <t>Heat Input Ref:</t>
  </si>
  <si>
    <r>
      <rPr>
        <b/>
        <sz val="11"/>
        <color theme="1"/>
        <rFont val="Calibri"/>
        <family val="2"/>
      </rPr>
      <t>CO</t>
    </r>
    <r>
      <rPr>
        <b/>
        <vertAlign val="subscript"/>
        <sz val="8"/>
        <color theme="1"/>
        <rFont val="Arial"/>
        <family val="2"/>
      </rPr>
      <t>2</t>
    </r>
    <r>
      <rPr>
        <b/>
        <sz val="8"/>
        <color theme="1"/>
        <rFont val="Arial"/>
        <family val="2"/>
      </rPr>
      <t xml:space="preserve"> Emissions Ref</t>
    </r>
  </si>
  <si>
    <t>(MMBTU)</t>
  </si>
  <si>
    <t>001-0203</t>
  </si>
  <si>
    <t>AES WARRIOR RUN COGEN</t>
  </si>
  <si>
    <t>001-3-0127</t>
  </si>
  <si>
    <t xml:space="preserve">ACF Boiler </t>
  </si>
  <si>
    <t>tons</t>
  </si>
  <si>
    <t>Btu/lb</t>
  </si>
  <si>
    <t>003-0468</t>
  </si>
  <si>
    <t xml:space="preserve"> Brandon Shores </t>
  </si>
  <si>
    <t>3-0015</t>
  </si>
  <si>
    <t>Unit 1</t>
  </si>
  <si>
    <t>P-Coal</t>
  </si>
  <si>
    <t>Apportion from ECMPS data</t>
  </si>
  <si>
    <t>3-0016</t>
  </si>
  <si>
    <t>Unit 2</t>
  </si>
  <si>
    <t>24-005-0079</t>
  </si>
  <si>
    <t xml:space="preserve">C.P.Crane </t>
  </si>
  <si>
    <t>3-0108</t>
  </si>
  <si>
    <t>Boiler Unit 1</t>
  </si>
  <si>
    <t>3-0109</t>
  </si>
  <si>
    <t>Boiler Unit 2</t>
  </si>
  <si>
    <t>033-00014</t>
  </si>
  <si>
    <t>Chalk Point</t>
  </si>
  <si>
    <t>1600-14-30004</t>
  </si>
  <si>
    <t>Btu/ lb</t>
  </si>
  <si>
    <t>1600-14-30005</t>
  </si>
  <si>
    <t>003-0014</t>
  </si>
  <si>
    <t>HERBERT A WAGNER</t>
  </si>
  <si>
    <t>4-0308</t>
  </si>
  <si>
    <t>MMBtu/ tons</t>
  </si>
  <si>
    <t>3-0003</t>
  </si>
  <si>
    <t>Unit 3</t>
  </si>
  <si>
    <t>043-0005</t>
  </si>
  <si>
    <t>R P SMITH</t>
  </si>
  <si>
    <t>043-0005-3-0005</t>
  </si>
  <si>
    <t>Unit 3 (9)</t>
  </si>
  <si>
    <t>043-0005-3-0006</t>
  </si>
  <si>
    <t>Unit 4 (11)</t>
  </si>
  <si>
    <t>031-0019</t>
  </si>
  <si>
    <t>Mirant Dickerson</t>
  </si>
  <si>
    <t>1500-19-30001</t>
  </si>
  <si>
    <t>Boiler 1</t>
  </si>
  <si>
    <t>1500-19-30002</t>
  </si>
  <si>
    <t>Boiler 2</t>
  </si>
  <si>
    <t>1500-19-30003</t>
  </si>
  <si>
    <t>Boiler 3</t>
  </si>
  <si>
    <t>017-0014</t>
  </si>
  <si>
    <t>Mirant Morgantown</t>
  </si>
  <si>
    <t>0800-14-30002</t>
  </si>
  <si>
    <t>080-14-30003</t>
  </si>
  <si>
    <t>001-0011</t>
  </si>
  <si>
    <t>Luke (New Page)</t>
  </si>
  <si>
    <t>01-0011-3-0018</t>
  </si>
  <si>
    <t>Nos. 24,25 &amp; 26  Boiler</t>
  </si>
  <si>
    <t>Btu/ib</t>
  </si>
  <si>
    <t>Coal (Total)</t>
  </si>
  <si>
    <r>
      <rPr>
        <b/>
        <sz val="11"/>
        <color theme="1"/>
        <rFont val="Calibri"/>
        <family val="2"/>
      </rPr>
      <t>Coal (MMTCO</t>
    </r>
    <r>
      <rPr>
        <b/>
        <vertAlign val="subscript"/>
        <sz val="10"/>
        <color theme="1"/>
        <rFont val="Arial"/>
        <family val="2"/>
      </rPr>
      <t>2</t>
    </r>
    <r>
      <rPr>
        <b/>
        <sz val="10"/>
        <color theme="1"/>
        <rFont val="Arial"/>
        <family val="2"/>
      </rPr>
      <t>E)</t>
    </r>
  </si>
  <si>
    <t>01-0011-3-0019</t>
  </si>
  <si>
    <t>01-0011-5-0170</t>
  </si>
  <si>
    <r>
      <rPr>
        <b/>
        <sz val="11"/>
        <color theme="1"/>
        <rFont val="Calibri"/>
        <family val="2"/>
      </rPr>
      <t>Biomass (MMTCO</t>
    </r>
    <r>
      <rPr>
        <b/>
        <vertAlign val="subscript"/>
        <sz val="10"/>
        <color theme="1"/>
        <rFont val="Arial"/>
        <family val="2"/>
      </rPr>
      <t>2</t>
    </r>
    <r>
      <rPr>
        <b/>
        <sz val="10"/>
        <color theme="1"/>
        <rFont val="Arial"/>
        <family val="2"/>
      </rPr>
      <t>E)</t>
    </r>
  </si>
  <si>
    <t>OIL COMBUSTION BY UNIT</t>
  </si>
  <si>
    <r>
      <rPr>
        <b/>
        <sz val="11"/>
        <color theme="1"/>
        <rFont val="Calibri"/>
        <family val="2"/>
      </rPr>
      <t>CO</t>
    </r>
    <r>
      <rPr>
        <b/>
        <vertAlign val="subscript"/>
        <sz val="10"/>
        <color theme="1"/>
        <rFont val="Arial"/>
        <family val="2"/>
      </rPr>
      <t xml:space="preserve">2 </t>
    </r>
    <r>
      <rPr>
        <b/>
        <sz val="10"/>
        <color theme="1"/>
        <rFont val="Arial"/>
        <family val="2"/>
      </rPr>
      <t>Emmission</t>
    </r>
  </si>
  <si>
    <r>
      <rPr>
        <b/>
        <sz val="11"/>
        <color theme="1"/>
        <rFont val="Calibri"/>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</si>
  <si>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1"/>
        <color theme="1"/>
        <rFont val="Calibri"/>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</si>
  <si>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 xml:space="preserve">  #2 Oil</t>
  </si>
  <si>
    <t>Diesel</t>
  </si>
  <si>
    <t>gallons</t>
  </si>
  <si>
    <t>Btu/gal</t>
  </si>
  <si>
    <t>Calculation</t>
  </si>
  <si>
    <t>001-9-0081</t>
  </si>
  <si>
    <t>Emergency Engine (Boiler Feed Pump)</t>
  </si>
  <si>
    <t>S-No. 2 Oil</t>
  </si>
  <si>
    <t>MMBtu/ 1E+03 gal</t>
  </si>
  <si>
    <t>4-0091</t>
  </si>
  <si>
    <t>Aux Boiler # 2</t>
  </si>
  <si>
    <t>4-1107</t>
  </si>
  <si>
    <t>Aux Boiler # 3</t>
  </si>
  <si>
    <t>4-0089</t>
  </si>
  <si>
    <t>CT (14 MW)</t>
  </si>
  <si>
    <t>#2 Oli</t>
  </si>
  <si>
    <t>1600-14-40778</t>
  </si>
  <si>
    <t xml:space="preserve"> CT 1</t>
  </si>
  <si>
    <t>1600-14-41145</t>
  </si>
  <si>
    <t>CT2</t>
  </si>
  <si>
    <t>1600-14-90752</t>
  </si>
  <si>
    <t>CT3**</t>
  </si>
  <si>
    <t>1600-14-90753</t>
  </si>
  <si>
    <t>CT4**</t>
  </si>
  <si>
    <t>1600-14-90754</t>
  </si>
  <si>
    <t>CT5**</t>
  </si>
  <si>
    <t>1600-14-90755</t>
  </si>
  <si>
    <t>CT6**</t>
  </si>
  <si>
    <t>1600-14-41156</t>
  </si>
  <si>
    <t>CE  Aux. Boiler 5</t>
  </si>
  <si>
    <t>1600-14-41157</t>
  </si>
  <si>
    <t>CE  Aux. Boiler 6</t>
  </si>
  <si>
    <t>1600-14-41158</t>
  </si>
  <si>
    <t>CE   Aux. Boiler 7</t>
  </si>
  <si>
    <t>033-01827</t>
  </si>
  <si>
    <t xml:space="preserve">Chalkpoint -SMECO </t>
  </si>
  <si>
    <t>1827-5-074990</t>
  </si>
  <si>
    <t>Combustion Turbine</t>
  </si>
  <si>
    <t>4-0007</t>
  </si>
  <si>
    <t>CT</t>
  </si>
  <si>
    <t>No.2 Oil</t>
  </si>
  <si>
    <t>MMBTU/10E+03 gallons</t>
  </si>
  <si>
    <t>024-025-0024</t>
  </si>
  <si>
    <t xml:space="preserve">Perryman </t>
  </si>
  <si>
    <t>5-0088</t>
  </si>
  <si>
    <t>Unit 51 CT</t>
  </si>
  <si>
    <t>4-0081</t>
  </si>
  <si>
    <t>Unit 1 CT</t>
  </si>
  <si>
    <t>4-0082</t>
  </si>
  <si>
    <t>Unit 2 CT</t>
  </si>
  <si>
    <t>4-0083</t>
  </si>
  <si>
    <t>Unit 3 CT</t>
  </si>
  <si>
    <t>4-0084</t>
  </si>
  <si>
    <t>Unit 4 CT</t>
  </si>
  <si>
    <t>#2 Oil</t>
  </si>
  <si>
    <t>Btu/ gal</t>
  </si>
  <si>
    <t>005-0078</t>
  </si>
  <si>
    <t>Riverside</t>
  </si>
  <si>
    <t>4-0658</t>
  </si>
  <si>
    <t>Combustion Turbine # 7</t>
  </si>
  <si>
    <t>4-0659</t>
  </si>
  <si>
    <t xml:space="preserve">Combustion Turbine #8 </t>
  </si>
  <si>
    <t>019-0013</t>
  </si>
  <si>
    <t>Vienna Generating Station</t>
  </si>
  <si>
    <t>4-0065-70</t>
  </si>
  <si>
    <t>Unit 8</t>
  </si>
  <si>
    <t>Btu/gallons</t>
  </si>
  <si>
    <t>4-0020-69</t>
  </si>
  <si>
    <t>AUX Boiler</t>
  </si>
  <si>
    <t>4-0114-79</t>
  </si>
  <si>
    <t>1500-19-40907</t>
  </si>
  <si>
    <r>
      <rPr>
        <sz val="11"/>
        <color theme="1"/>
        <rFont val="Calibri"/>
        <family val="2"/>
      </rPr>
      <t xml:space="preserve">Combustion Turbine  </t>
    </r>
    <r>
      <rPr>
        <b/>
        <sz val="10"/>
        <color theme="1"/>
        <rFont val="Arial"/>
        <family val="2"/>
      </rPr>
      <t>CT1</t>
    </r>
  </si>
  <si>
    <t>Oil</t>
  </si>
  <si>
    <t>031-1822</t>
  </si>
  <si>
    <t>Mirant Station H</t>
  </si>
  <si>
    <t>1518-22-90362</t>
  </si>
  <si>
    <t>CT 1</t>
  </si>
  <si>
    <t>158-22-90363</t>
  </si>
  <si>
    <t>CT 2</t>
  </si>
  <si>
    <t>Btu/ gallons</t>
  </si>
  <si>
    <t>0800-14-40016</t>
  </si>
  <si>
    <t>Aux 2</t>
  </si>
  <si>
    <t>0800-14-40018</t>
  </si>
  <si>
    <t>Aux 4</t>
  </si>
  <si>
    <t>0800-14-4-0068</t>
  </si>
  <si>
    <t>0800-14-4-0069</t>
  </si>
  <si>
    <t>0800-14-4-0070</t>
  </si>
  <si>
    <t>CT 3</t>
  </si>
  <si>
    <t>No. 2 Fuel Oil</t>
  </si>
  <si>
    <t>0800-14-4-0071</t>
  </si>
  <si>
    <t>CT 4</t>
  </si>
  <si>
    <t>0800-14-4-0074</t>
  </si>
  <si>
    <t>CT 5</t>
  </si>
  <si>
    <t>0800-14-4-0075</t>
  </si>
  <si>
    <t>CT 6</t>
  </si>
  <si>
    <t>033-2200</t>
  </si>
  <si>
    <t>Panda Brandywine</t>
  </si>
  <si>
    <t>5-0844</t>
  </si>
  <si>
    <t>Fuel Oil</t>
  </si>
  <si>
    <t>5-0845</t>
  </si>
  <si>
    <t>510-265</t>
  </si>
  <si>
    <t>CPSG- Philadelphia Road Power</t>
  </si>
  <si>
    <t>4-0431</t>
  </si>
  <si>
    <t>No. 2 Oil</t>
  </si>
  <si>
    <t>MMBTU/ 1E+03 gallons</t>
  </si>
  <si>
    <t>4-0432</t>
  </si>
  <si>
    <t>4-0433</t>
  </si>
  <si>
    <t>4-0434</t>
  </si>
  <si>
    <t>041-0029</t>
  </si>
  <si>
    <t>Easton Utility</t>
  </si>
  <si>
    <t>9-0032</t>
  </si>
  <si>
    <t>Unit 101</t>
  </si>
  <si>
    <t>#2 Fuel Oil</t>
  </si>
  <si>
    <t>MMBTU/ 10E+03 gallons</t>
  </si>
  <si>
    <t>9-0031</t>
  </si>
  <si>
    <t>Unit 102</t>
  </si>
  <si>
    <t>9-0023</t>
  </si>
  <si>
    <t>Unit 7</t>
  </si>
  <si>
    <t>9-0024</t>
  </si>
  <si>
    <t>9-0025</t>
  </si>
  <si>
    <t>Unit 9</t>
  </si>
  <si>
    <t>9-0026</t>
  </si>
  <si>
    <t>Unit 10</t>
  </si>
  <si>
    <t>9-0027</t>
  </si>
  <si>
    <t>Unit 11</t>
  </si>
  <si>
    <t>9-0028</t>
  </si>
  <si>
    <t>Unit 12</t>
  </si>
  <si>
    <t>9-0029</t>
  </si>
  <si>
    <t>Unit 13</t>
  </si>
  <si>
    <t>9-0030</t>
  </si>
  <si>
    <t>Unit 14</t>
  </si>
  <si>
    <t>041-0069</t>
  </si>
  <si>
    <t>Easton Utility-Airport Park</t>
  </si>
  <si>
    <t>20-9-0037</t>
  </si>
  <si>
    <t>Unit 201</t>
  </si>
  <si>
    <t>Btu/gallon</t>
  </si>
  <si>
    <t>20-9-0038</t>
  </si>
  <si>
    <t>Unit 202</t>
  </si>
  <si>
    <t>20-4-0101</t>
  </si>
  <si>
    <t>Unit 203</t>
  </si>
  <si>
    <t>2044-0102</t>
  </si>
  <si>
    <t>Unit 204</t>
  </si>
  <si>
    <t>20-9-0033</t>
  </si>
  <si>
    <t>Unit 21</t>
  </si>
  <si>
    <t>20-9-0034</t>
  </si>
  <si>
    <t>Unit 22</t>
  </si>
  <si>
    <t>20-9-0035</t>
  </si>
  <si>
    <t>Unit 23</t>
  </si>
  <si>
    <t>20-9-0036</t>
  </si>
  <si>
    <t>Unit 24</t>
  </si>
  <si>
    <t>047-0044</t>
  </si>
  <si>
    <t>Berlin Town Power Plant</t>
  </si>
  <si>
    <t>EMD Diesel Gen</t>
  </si>
  <si>
    <t>FM Diesel Gen</t>
  </si>
  <si>
    <t>Mitsu  Diesel Gen</t>
  </si>
  <si>
    <t>9-0033</t>
  </si>
  <si>
    <t>Mistsu. Diesel Gen</t>
  </si>
  <si>
    <t>039-0017</t>
  </si>
  <si>
    <t xml:space="preserve">Connectiv - Crisfield Generation </t>
  </si>
  <si>
    <t>4-0024</t>
  </si>
  <si>
    <t>Unit 1 General Motors 2.5 MW</t>
  </si>
  <si>
    <t>4-0025</t>
  </si>
  <si>
    <t>Unit 2 General Motors 2.5 MW</t>
  </si>
  <si>
    <t>4-0026</t>
  </si>
  <si>
    <t>Unit 3 General Motors 2.5 MW</t>
  </si>
  <si>
    <t>4-0027</t>
  </si>
  <si>
    <t>Unit 4 General Motors 2.5 MW</t>
  </si>
  <si>
    <t>009-0012</t>
  </si>
  <si>
    <t>Calvert Cliffs Parkway Nuclear PP</t>
  </si>
  <si>
    <t>4-0014</t>
  </si>
  <si>
    <t xml:space="preserve">  11    Auxilliary Boiler</t>
  </si>
  <si>
    <t>4-0016</t>
  </si>
  <si>
    <t>1 B Emergency Generator</t>
  </si>
  <si>
    <t>4-0017</t>
  </si>
  <si>
    <t xml:space="preserve"> 2A Emergency Generator</t>
  </si>
  <si>
    <t>4-0018</t>
  </si>
  <si>
    <t xml:space="preserve"> 2B Emergency Generator</t>
  </si>
  <si>
    <t>9-0015 &amp;9-0016</t>
  </si>
  <si>
    <t xml:space="preserve">  1A Emergency Generator</t>
  </si>
  <si>
    <t>9-0017 &amp;9-0018</t>
  </si>
  <si>
    <t xml:space="preserve">  OC Emergency Generator</t>
  </si>
  <si>
    <t>9-0019</t>
  </si>
  <si>
    <t xml:space="preserve">  Security Diesel Generator</t>
  </si>
  <si>
    <t>MMBtu/gal</t>
  </si>
  <si>
    <r>
      <rPr>
        <b/>
        <sz val="11"/>
        <color theme="1"/>
        <rFont val="Calibri"/>
        <family val="2"/>
      </rPr>
      <t>No. 2 Oil (MMTCO</t>
    </r>
    <r>
      <rPr>
        <b/>
        <vertAlign val="subscript"/>
        <sz val="10"/>
        <color theme="1"/>
        <rFont val="Arial"/>
        <family val="2"/>
      </rPr>
      <t>2</t>
    </r>
    <r>
      <rPr>
        <b/>
        <sz val="10"/>
        <color theme="1"/>
        <rFont val="Arial"/>
        <family val="2"/>
      </rPr>
      <t>E)</t>
    </r>
  </si>
  <si>
    <r>
      <rPr>
        <b/>
        <sz val="11"/>
        <color theme="1"/>
        <rFont val="Calibri"/>
        <family val="2"/>
      </rPr>
      <t>CO</t>
    </r>
    <r>
      <rPr>
        <b/>
        <vertAlign val="subscript"/>
        <sz val="10"/>
        <color theme="1"/>
        <rFont val="Arial"/>
        <family val="2"/>
      </rPr>
      <t xml:space="preserve">2 </t>
    </r>
    <r>
      <rPr>
        <b/>
        <sz val="10"/>
        <color theme="1"/>
        <rFont val="Arial"/>
        <family val="2"/>
      </rPr>
      <t>Emmission</t>
    </r>
  </si>
  <si>
    <r>
      <rPr>
        <b/>
        <sz val="11"/>
        <color theme="1"/>
        <rFont val="Calibri"/>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</si>
  <si>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1"/>
        <color theme="1"/>
        <rFont val="Calibri"/>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</si>
  <si>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 xml:space="preserve">  #6 Oil</t>
  </si>
  <si>
    <t>1600-14-40998</t>
  </si>
  <si>
    <t>#6 Oil</t>
  </si>
  <si>
    <t>1600-14-40999</t>
  </si>
  <si>
    <t>Unit 4</t>
  </si>
  <si>
    <t>Boiler 2  (Unit 4)</t>
  </si>
  <si>
    <t>P-No.6 Oil</t>
  </si>
  <si>
    <t xml:space="preserve"> gallons</t>
  </si>
  <si>
    <t># 6 Fuel Oil</t>
  </si>
  <si>
    <t>No.4 Oil</t>
  </si>
  <si>
    <t>023-0042</t>
  </si>
  <si>
    <t>Severstal (RG Steel)</t>
  </si>
  <si>
    <t>5-0491-15</t>
  </si>
  <si>
    <r>
      <rPr>
        <b/>
        <sz val="11"/>
        <color theme="1"/>
        <rFont val="Calibri"/>
        <family val="2"/>
      </rPr>
      <t>Pennwood Boilers</t>
    </r>
    <r>
      <rPr>
        <sz val="8"/>
        <color theme="1"/>
        <rFont val="Arial"/>
        <family val="2"/>
      </rPr>
      <t xml:space="preserve"> No. 1 -  No. 4</t>
    </r>
  </si>
  <si>
    <r>
      <rPr>
        <b/>
        <sz val="11"/>
        <color theme="1"/>
        <rFont val="Calibri"/>
        <family val="2"/>
      </rPr>
      <t># 6 Fuel Oil (MMTCO</t>
    </r>
    <r>
      <rPr>
        <b/>
        <vertAlign val="subscript"/>
        <sz val="10"/>
        <color theme="1"/>
        <rFont val="Arial"/>
        <family val="2"/>
      </rPr>
      <t>2</t>
    </r>
    <r>
      <rPr>
        <b/>
        <sz val="10"/>
        <color theme="1"/>
        <rFont val="Arial"/>
        <family val="2"/>
      </rPr>
      <t>E)</t>
    </r>
  </si>
  <si>
    <t>Total Petroleum (MMBTU)</t>
  </si>
  <si>
    <t xml:space="preserve"> NATURAL GAS COMBUSTION BY UNIT</t>
  </si>
  <si>
    <r>
      <rPr>
        <b/>
        <sz val="11"/>
        <color theme="1"/>
        <rFont val="Calibri"/>
        <family val="2"/>
      </rPr>
      <t>CO</t>
    </r>
    <r>
      <rPr>
        <b/>
        <vertAlign val="subscript"/>
        <sz val="10"/>
        <color theme="1"/>
        <rFont val="Arial"/>
        <family val="2"/>
      </rPr>
      <t>2</t>
    </r>
    <r>
      <rPr>
        <b/>
        <sz val="10"/>
        <color theme="1"/>
        <rFont val="Arial"/>
        <family val="2"/>
      </rPr>
      <t xml:space="preserve"> Emmission</t>
    </r>
  </si>
  <si>
    <r>
      <rPr>
        <b/>
        <sz val="11"/>
        <color theme="1"/>
        <rFont val="Calibri"/>
        <family val="2"/>
      </rPr>
      <t>CH</t>
    </r>
    <r>
      <rPr>
        <b/>
        <vertAlign val="subscript"/>
        <sz val="10"/>
        <color theme="1"/>
        <rFont val="Arial"/>
        <family val="2"/>
      </rPr>
      <t>4</t>
    </r>
    <r>
      <rPr>
        <b/>
        <sz val="10"/>
        <color theme="1"/>
        <rFont val="Arial"/>
        <family val="2"/>
      </rPr>
      <t xml:space="preserve">  Emission</t>
    </r>
  </si>
  <si>
    <r>
      <rPr>
        <b/>
        <sz val="11"/>
        <color theme="1"/>
        <rFont val="Calibri"/>
        <family val="2"/>
      </rPr>
      <t>N</t>
    </r>
    <r>
      <rPr>
        <b/>
        <vertAlign val="subscript"/>
        <sz val="10"/>
        <color theme="1"/>
        <rFont val="Arial"/>
        <family val="2"/>
      </rPr>
      <t>2</t>
    </r>
    <r>
      <rPr>
        <b/>
        <sz val="10"/>
        <color theme="1"/>
        <rFont val="Arial"/>
        <family val="2"/>
      </rPr>
      <t>O  Emission</t>
    </r>
  </si>
  <si>
    <t xml:space="preserve"> Natural Gas</t>
  </si>
  <si>
    <t>001-6-0136</t>
  </si>
  <si>
    <t>Limestone Dryer</t>
  </si>
  <si>
    <t>scf</t>
  </si>
  <si>
    <t>Btu/scf</t>
  </si>
  <si>
    <t>S-Gas</t>
  </si>
  <si>
    <t>MMBtu/1E+06 scf</t>
  </si>
  <si>
    <t>4-0307</t>
  </si>
  <si>
    <t>MMBTU/ 10E+06 scf</t>
  </si>
  <si>
    <t>4-1363</t>
  </si>
  <si>
    <t xml:space="preserve">Combustion Turbine # 6 </t>
  </si>
  <si>
    <t>MMBTU/10E+06 scf</t>
  </si>
  <si>
    <t>4-1082</t>
  </si>
  <si>
    <t xml:space="preserve"> Boiler #4</t>
  </si>
  <si>
    <t>510-0006</t>
  </si>
  <si>
    <t xml:space="preserve"> Westport</t>
  </si>
  <si>
    <t>5-0005</t>
  </si>
  <si>
    <t xml:space="preserve">Combustion Turbine Unit 5 </t>
  </si>
  <si>
    <t>MMBtu/ scf</t>
  </si>
  <si>
    <t>MMBtu/  scf</t>
  </si>
  <si>
    <t>(005-0076)</t>
  </si>
  <si>
    <t xml:space="preserve">CPSG- Notch Cliff </t>
  </si>
  <si>
    <t>MMBTU/ 1 E+06 scf</t>
  </si>
  <si>
    <t>5-0006</t>
  </si>
  <si>
    <t>5-0007</t>
  </si>
  <si>
    <t xml:space="preserve"> scf</t>
  </si>
  <si>
    <t>5-0008</t>
  </si>
  <si>
    <t>51,35</t>
  </si>
  <si>
    <t>5-0009</t>
  </si>
  <si>
    <t>Unit 5 CT</t>
  </si>
  <si>
    <t>5-0010</t>
  </si>
  <si>
    <t>Unit 6 CT</t>
  </si>
  <si>
    <t>5-0011</t>
  </si>
  <si>
    <t>Unit 7 CT</t>
  </si>
  <si>
    <t>5-0012</t>
  </si>
  <si>
    <t>Unit 8 CT</t>
  </si>
  <si>
    <t>015-0202</t>
  </si>
  <si>
    <t xml:space="preserve">Rock Spring </t>
  </si>
  <si>
    <t>5-0076</t>
  </si>
  <si>
    <t>Turbine 1</t>
  </si>
  <si>
    <t>5-0077</t>
  </si>
  <si>
    <t>Turbine 2</t>
  </si>
  <si>
    <t>5-0078</t>
  </si>
  <si>
    <t>Turbine 3</t>
  </si>
  <si>
    <t>5-0079</t>
  </si>
  <si>
    <t>Turbine 4</t>
  </si>
  <si>
    <t>6-0205</t>
  </si>
  <si>
    <t>NG Fuel Gas Heater</t>
  </si>
  <si>
    <t>510-0007</t>
  </si>
  <si>
    <t>CPSG- Gould Street</t>
  </si>
  <si>
    <t>4-0536</t>
  </si>
  <si>
    <t>Unit 3-Utility B</t>
  </si>
  <si>
    <r>
      <rPr>
        <b/>
        <sz val="11"/>
        <color theme="1"/>
        <rFont val="Calibri"/>
        <family val="2"/>
      </rPr>
      <t>Pennwood Boilers</t>
    </r>
    <r>
      <rPr>
        <sz val="8"/>
        <color theme="1"/>
        <rFont val="Arial"/>
        <family val="2"/>
      </rPr>
      <t xml:space="preserve"> No. 1 -  No. 4</t>
    </r>
  </si>
  <si>
    <t>MMBTU/ 1E+03 scf</t>
  </si>
  <si>
    <r>
      <rPr>
        <b/>
        <sz val="11"/>
        <color theme="1"/>
        <rFont val="Calibri"/>
        <family val="2"/>
      </rPr>
      <t>Pennwood Boilers</t>
    </r>
    <r>
      <rPr>
        <sz val="8"/>
        <color theme="1"/>
        <rFont val="Arial"/>
        <family val="2"/>
      </rPr>
      <t xml:space="preserve"> No. 1 -  No. 4</t>
    </r>
  </si>
  <si>
    <t>Blast furnace Gas</t>
  </si>
  <si>
    <r>
      <rPr>
        <b/>
        <sz val="11"/>
        <color theme="1"/>
        <rFont val="Calibri"/>
        <family val="2"/>
      </rPr>
      <t>Natural Gas (MMTCO</t>
    </r>
    <r>
      <rPr>
        <b/>
        <vertAlign val="subscript"/>
        <sz val="10"/>
        <color theme="1"/>
        <rFont val="Arial"/>
        <family val="2"/>
      </rPr>
      <t>2</t>
    </r>
    <r>
      <rPr>
        <b/>
        <sz val="10"/>
        <color theme="1"/>
        <rFont val="Arial"/>
        <family val="2"/>
      </rPr>
      <t>E)</t>
    </r>
  </si>
  <si>
    <r>
      <rPr>
        <b/>
        <sz val="11"/>
        <color rgb="FF0000FF"/>
        <rFont val="Calibri"/>
        <family val="2"/>
      </rPr>
      <t>CO</t>
    </r>
    <r>
      <rPr>
        <b/>
        <vertAlign val="subscript"/>
        <sz val="16"/>
        <color rgb="FF0000FF"/>
        <rFont val="Calibri"/>
        <family val="2"/>
      </rPr>
      <t>2</t>
    </r>
    <r>
      <rPr>
        <b/>
        <sz val="16"/>
        <color rgb="FF0000FF"/>
        <rFont val="Calibri"/>
        <family val="2"/>
      </rPr>
      <t xml:space="preserve"> EMISSION SUMMARY</t>
    </r>
  </si>
  <si>
    <t xml:space="preserve"> ALL UNITS</t>
  </si>
  <si>
    <r>
      <rPr>
        <b/>
        <sz val="11"/>
        <color theme="1"/>
        <rFont val="Calibri"/>
        <family val="2"/>
      </rPr>
      <t>CO</t>
    </r>
    <r>
      <rPr>
        <b/>
        <vertAlign val="subscript"/>
        <sz val="10"/>
        <color theme="1"/>
        <rFont val="Arial"/>
        <family val="2"/>
      </rPr>
      <t>2</t>
    </r>
    <r>
      <rPr>
        <b/>
        <sz val="10"/>
        <color theme="1"/>
        <rFont val="Arial"/>
        <family val="2"/>
      </rPr>
      <t xml:space="preserve"> Emission </t>
    </r>
  </si>
  <si>
    <r>
      <rPr>
        <b/>
        <sz val="11"/>
        <color theme="1"/>
        <rFont val="Calibri"/>
        <family val="2"/>
      </rPr>
      <t>CO</t>
    </r>
    <r>
      <rPr>
        <b/>
        <vertAlign val="subscript"/>
        <sz val="10"/>
        <color theme="1"/>
        <rFont val="Arial"/>
        <family val="2"/>
      </rPr>
      <t>2</t>
    </r>
    <r>
      <rPr>
        <b/>
        <sz val="10"/>
        <color theme="1"/>
        <rFont val="Arial"/>
        <family val="2"/>
      </rPr>
      <t xml:space="preserve"> Emission </t>
    </r>
  </si>
  <si>
    <r>
      <rPr>
        <b/>
        <sz val="11"/>
        <color theme="1"/>
        <rFont val="Calibri"/>
        <family val="2"/>
      </rPr>
      <t>CO</t>
    </r>
    <r>
      <rPr>
        <b/>
        <vertAlign val="subscript"/>
        <sz val="10"/>
        <color theme="1"/>
        <rFont val="Arial"/>
        <family val="2"/>
      </rPr>
      <t>2</t>
    </r>
    <r>
      <rPr>
        <b/>
        <sz val="10"/>
        <color theme="1"/>
        <rFont val="Arial"/>
        <family val="2"/>
      </rPr>
      <t xml:space="preserve"> Emission</t>
    </r>
  </si>
  <si>
    <r>
      <rPr>
        <b/>
        <sz val="11"/>
        <color theme="1"/>
        <rFont val="Calibri"/>
        <family val="2"/>
      </rPr>
      <t>CO</t>
    </r>
    <r>
      <rPr>
        <b/>
        <vertAlign val="subscript"/>
        <sz val="10"/>
        <color theme="1"/>
        <rFont val="Arial"/>
        <family val="2"/>
      </rPr>
      <t>2</t>
    </r>
    <r>
      <rPr>
        <b/>
        <sz val="10"/>
        <color theme="1"/>
        <rFont val="Arial"/>
        <family val="2"/>
      </rPr>
      <t xml:space="preserve"> Emission </t>
    </r>
  </si>
  <si>
    <r>
      <rPr>
        <b/>
        <sz val="11"/>
        <color theme="1"/>
        <rFont val="Calibri"/>
        <family val="2"/>
      </rPr>
      <t xml:space="preserve"> (MMTCO</t>
    </r>
    <r>
      <rPr>
        <b/>
        <vertAlign val="subscript"/>
        <sz val="10"/>
        <color theme="1"/>
        <rFont val="Arial"/>
        <family val="2"/>
      </rPr>
      <t>2</t>
    </r>
    <r>
      <rPr>
        <b/>
        <sz val="10"/>
        <color theme="1"/>
        <rFont val="Arial"/>
        <family val="2"/>
      </rPr>
      <t>)</t>
    </r>
  </si>
  <si>
    <t>(MMTC)</t>
  </si>
  <si>
    <r>
      <rPr>
        <b/>
        <sz val="11"/>
        <color rgb="FF0000FF"/>
        <rFont val="Calibri"/>
        <family val="2"/>
      </rPr>
      <t>CH</t>
    </r>
    <r>
      <rPr>
        <b/>
        <vertAlign val="subscript"/>
        <sz val="16"/>
        <color rgb="FF0000FF"/>
        <rFont val="Calibri"/>
        <family val="2"/>
      </rPr>
      <t>4</t>
    </r>
    <r>
      <rPr>
        <b/>
        <sz val="16"/>
        <color rgb="FF0000FF"/>
        <rFont val="Calibri"/>
        <family val="2"/>
      </rPr>
      <t xml:space="preserve"> EMISSION SUMMARY</t>
    </r>
  </si>
  <si>
    <r>
      <rPr>
        <sz val="11"/>
        <color rgb="FF000000"/>
        <rFont val="Calibri"/>
        <family val="2"/>
      </rPr>
      <t>Electric Power Sector CH</t>
    </r>
    <r>
      <rPr>
        <vertAlign val="subscript"/>
        <sz val="14"/>
        <color rgb="FF000000"/>
        <rFont val="Comic Sans MS"/>
        <family val="4"/>
      </rPr>
      <t>4</t>
    </r>
  </si>
  <si>
    <t>Consumption</t>
  </si>
  <si>
    <t xml:space="preserve">Emissions </t>
  </si>
  <si>
    <t>GWP</t>
  </si>
  <si>
    <t>(Billion Btu)</t>
  </si>
  <si>
    <r>
      <rPr>
        <b/>
        <sz val="11"/>
        <color theme="1"/>
        <rFont val="Calibri"/>
        <family val="2"/>
      </rPr>
      <t>(short tons CH</t>
    </r>
    <r>
      <rPr>
        <b/>
        <vertAlign val="subscript"/>
        <sz val="10"/>
        <color theme="1"/>
        <rFont val="Comic Sans MS"/>
        <family val="4"/>
      </rPr>
      <t>4</t>
    </r>
    <r>
      <rPr>
        <b/>
        <sz val="10"/>
        <color theme="1"/>
        <rFont val="Comic Sans MS"/>
        <family val="4"/>
      </rPr>
      <t>)</t>
    </r>
  </si>
  <si>
    <r>
      <rPr>
        <b/>
        <sz val="11"/>
        <color theme="1"/>
        <rFont val="Calibri"/>
        <family val="2"/>
      </rPr>
      <t>(metric tons CH</t>
    </r>
    <r>
      <rPr>
        <b/>
        <vertAlign val="subscript"/>
        <sz val="10"/>
        <color theme="1"/>
        <rFont val="Comic Sans MS"/>
        <family val="4"/>
      </rPr>
      <t>4</t>
    </r>
    <r>
      <rPr>
        <b/>
        <sz val="10"/>
        <color theme="1"/>
        <rFont val="Comic Sans MS"/>
        <family val="4"/>
      </rPr>
      <t>)</t>
    </r>
  </si>
  <si>
    <r>
      <rPr>
        <b/>
        <sz val="11"/>
        <color theme="1"/>
        <rFont val="Calibri"/>
        <family val="2"/>
      </rPr>
      <t>(MMTCO</t>
    </r>
    <r>
      <rPr>
        <b/>
        <vertAlign val="subscript"/>
        <sz val="10"/>
        <color theme="1"/>
        <rFont val="Comic Sans MS"/>
        <family val="4"/>
      </rPr>
      <t>2</t>
    </r>
    <r>
      <rPr>
        <b/>
        <sz val="10"/>
        <color theme="1"/>
        <rFont val="Comic Sans MS"/>
        <family val="4"/>
      </rPr>
      <t>E)</t>
    </r>
  </si>
  <si>
    <t>Distillate Fuel</t>
  </si>
  <si>
    <t>Residual Fuel</t>
  </si>
  <si>
    <r>
      <rPr>
        <b/>
        <sz val="11"/>
        <color rgb="FF0000FF"/>
        <rFont val="Calibri"/>
        <family val="2"/>
      </rPr>
      <t>N</t>
    </r>
    <r>
      <rPr>
        <b/>
        <vertAlign val="subscript"/>
        <sz val="16"/>
        <color rgb="FF0000FF"/>
        <rFont val="Calibri"/>
        <family val="2"/>
      </rPr>
      <t>2</t>
    </r>
    <r>
      <rPr>
        <b/>
        <sz val="16"/>
        <color rgb="FF0000FF"/>
        <rFont val="Calibri"/>
        <family val="2"/>
      </rPr>
      <t>O EMISSION SUMMARY</t>
    </r>
  </si>
  <si>
    <t>ALL UNITS</t>
  </si>
  <si>
    <r>
      <rPr>
        <sz val="11"/>
        <color theme="1"/>
        <rFont val="Calibri"/>
        <family val="2"/>
      </rPr>
      <t>Electric Power Sector N</t>
    </r>
    <r>
      <rPr>
        <vertAlign val="subscript"/>
        <sz val="14"/>
        <color theme="1"/>
        <rFont val="Comic Sans MS"/>
        <family val="4"/>
      </rPr>
      <t>2</t>
    </r>
    <r>
      <rPr>
        <sz val="14"/>
        <color theme="1"/>
        <rFont val="Comic Sans MS"/>
        <family val="4"/>
      </rPr>
      <t>O</t>
    </r>
  </si>
  <si>
    <r>
      <rPr>
        <b/>
        <sz val="11"/>
        <color theme="1"/>
        <rFont val="Calibri"/>
        <family val="2"/>
      </rPr>
      <t>(short tons N</t>
    </r>
    <r>
      <rPr>
        <b/>
        <vertAlign val="subscript"/>
        <sz val="10"/>
        <color theme="1"/>
        <rFont val="Comic Sans MS"/>
        <family val="4"/>
      </rPr>
      <t>2</t>
    </r>
    <r>
      <rPr>
        <b/>
        <sz val="10"/>
        <color theme="1"/>
        <rFont val="Comic Sans MS"/>
        <family val="4"/>
      </rPr>
      <t>O)</t>
    </r>
  </si>
  <si>
    <r>
      <rPr>
        <b/>
        <sz val="11"/>
        <color theme="1"/>
        <rFont val="Calibri"/>
        <family val="2"/>
      </rPr>
      <t>(metric tons N</t>
    </r>
    <r>
      <rPr>
        <b/>
        <vertAlign val="subscript"/>
        <sz val="10"/>
        <color theme="1"/>
        <rFont val="Comic Sans MS"/>
        <family val="4"/>
      </rPr>
      <t>2</t>
    </r>
    <r>
      <rPr>
        <b/>
        <sz val="10"/>
        <color theme="1"/>
        <rFont val="Comic Sans MS"/>
        <family val="4"/>
      </rPr>
      <t>O)</t>
    </r>
  </si>
  <si>
    <r>
      <rPr>
        <b/>
        <sz val="11"/>
        <color theme="1"/>
        <rFont val="Calibri"/>
        <family val="2"/>
      </rPr>
      <t>(MMTCO</t>
    </r>
    <r>
      <rPr>
        <b/>
        <vertAlign val="subscript"/>
        <sz val="10"/>
        <color theme="1"/>
        <rFont val="Comic Sans MS"/>
        <family val="4"/>
      </rPr>
      <t>2</t>
    </r>
    <r>
      <rPr>
        <b/>
        <sz val="10"/>
        <color theme="1"/>
        <rFont val="Comic Sans MS"/>
        <family val="4"/>
      </rPr>
      <t>E)</t>
    </r>
  </si>
  <si>
    <t>GHG EMISSION SUMMARY</t>
  </si>
  <si>
    <t>Electric Power Sector GHG</t>
  </si>
  <si>
    <r>
      <rPr>
        <b/>
        <sz val="11"/>
        <color theme="1"/>
        <rFont val="Calibri"/>
        <family val="2"/>
      </rPr>
      <t>CO</t>
    </r>
    <r>
      <rPr>
        <b/>
        <vertAlign val="subscript"/>
        <sz val="10"/>
        <color theme="1"/>
        <rFont val="Comic Sans MS"/>
        <family val="4"/>
      </rPr>
      <t>2</t>
    </r>
  </si>
  <si>
    <r>
      <rPr>
        <b/>
        <sz val="11"/>
        <color theme="1"/>
        <rFont val="Calibri"/>
        <family val="2"/>
      </rPr>
      <t>N</t>
    </r>
    <r>
      <rPr>
        <b/>
        <vertAlign val="subscript"/>
        <sz val="10"/>
        <color theme="1"/>
        <rFont val="Comic Sans MS"/>
        <family val="4"/>
      </rPr>
      <t>2</t>
    </r>
    <r>
      <rPr>
        <b/>
        <sz val="10"/>
        <color theme="1"/>
        <rFont val="Comic Sans MS"/>
        <family val="4"/>
      </rPr>
      <t>O</t>
    </r>
  </si>
  <si>
    <r>
      <rPr>
        <b/>
        <sz val="11"/>
        <color theme="1"/>
        <rFont val="Calibri"/>
        <family val="2"/>
      </rPr>
      <t>CH</t>
    </r>
    <r>
      <rPr>
        <b/>
        <vertAlign val="subscript"/>
        <sz val="10"/>
        <color theme="1"/>
        <rFont val="Comic Sans MS"/>
        <family val="4"/>
      </rPr>
      <t>4</t>
    </r>
  </si>
  <si>
    <r>
      <rPr>
        <b/>
        <sz val="11"/>
        <color theme="1"/>
        <rFont val="Calibri"/>
        <family val="2"/>
      </rPr>
      <t>(MMTCO</t>
    </r>
    <r>
      <rPr>
        <b/>
        <vertAlign val="subscript"/>
        <sz val="10"/>
        <color theme="1"/>
        <rFont val="Comic Sans MS"/>
        <family val="4"/>
      </rPr>
      <t>2</t>
    </r>
    <r>
      <rPr>
        <b/>
        <sz val="10"/>
        <color theme="1"/>
        <rFont val="Comic Sans MS"/>
        <family val="4"/>
      </rPr>
      <t>E)</t>
    </r>
  </si>
  <si>
    <r>
      <rPr>
        <b/>
        <sz val="11"/>
        <color theme="1"/>
        <rFont val="Calibri"/>
        <family val="2"/>
      </rPr>
      <t>(MMTCO</t>
    </r>
    <r>
      <rPr>
        <b/>
        <vertAlign val="subscript"/>
        <sz val="10"/>
        <color theme="1"/>
        <rFont val="Comic Sans MS"/>
        <family val="4"/>
      </rPr>
      <t>2</t>
    </r>
    <r>
      <rPr>
        <b/>
        <sz val="10"/>
        <color theme="1"/>
        <rFont val="Comic Sans MS"/>
        <family val="4"/>
      </rPr>
      <t>E)</t>
    </r>
  </si>
  <si>
    <r>
      <rPr>
        <b/>
        <sz val="11"/>
        <color theme="1"/>
        <rFont val="Calibri"/>
        <family val="2"/>
      </rPr>
      <t>(MMTCO</t>
    </r>
    <r>
      <rPr>
        <b/>
        <vertAlign val="subscript"/>
        <sz val="10"/>
        <color theme="1"/>
        <rFont val="Comic Sans MS"/>
        <family val="4"/>
      </rPr>
      <t>2</t>
    </r>
    <r>
      <rPr>
        <b/>
        <sz val="10"/>
        <color theme="1"/>
        <rFont val="Comic Sans MS"/>
        <family val="4"/>
      </rPr>
      <t>E)</t>
    </r>
  </si>
  <si>
    <r>
      <rPr>
        <b/>
        <sz val="11"/>
        <color theme="1"/>
        <rFont val="Calibri"/>
        <family val="2"/>
      </rPr>
      <t>(MMTCO</t>
    </r>
    <r>
      <rPr>
        <b/>
        <vertAlign val="subscript"/>
        <sz val="10"/>
        <color theme="1"/>
        <rFont val="Comic Sans MS"/>
        <family val="4"/>
      </rPr>
      <t>2</t>
    </r>
    <r>
      <rPr>
        <b/>
        <sz val="10"/>
        <color theme="1"/>
        <rFont val="Comic Sans MS"/>
        <family val="4"/>
      </rPr>
      <t>E)</t>
    </r>
  </si>
  <si>
    <t xml:space="preserve">Heat </t>
  </si>
  <si>
    <t xml:space="preserve">Heat Content </t>
  </si>
  <si>
    <t>Heat Input</t>
  </si>
  <si>
    <r>
      <rPr>
        <b/>
        <sz val="11"/>
        <color theme="1"/>
        <rFont val="Calibri"/>
        <family val="2"/>
      </rPr>
      <t>CO</t>
    </r>
    <r>
      <rPr>
        <b/>
        <vertAlign val="subscript"/>
        <sz val="10"/>
        <color theme="1"/>
        <rFont val="Arial"/>
        <family val="2"/>
      </rPr>
      <t xml:space="preserve">2 </t>
    </r>
    <r>
      <rPr>
        <b/>
        <sz val="10"/>
        <color theme="1"/>
        <rFont val="Arial"/>
        <family val="2"/>
      </rPr>
      <t>Emmission</t>
    </r>
  </si>
  <si>
    <r>
      <rPr>
        <b/>
        <sz val="11"/>
        <color theme="1"/>
        <rFont val="Calibri"/>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</si>
  <si>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1"/>
        <color theme="1"/>
        <rFont val="Calibri"/>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</si>
  <si>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Units</t>
  </si>
  <si>
    <t>Content</t>
  </si>
  <si>
    <t>Unit</t>
  </si>
  <si>
    <t>3-4-0081</t>
  </si>
  <si>
    <t>Temp Boiler</t>
  </si>
  <si>
    <t>10E3 gallons</t>
  </si>
  <si>
    <t>`</t>
  </si>
  <si>
    <t>10E+06scf</t>
  </si>
  <si>
    <t>10E+06 scf</t>
  </si>
  <si>
    <t>10E+03 gallons</t>
  </si>
  <si>
    <t>10E03 gallons</t>
  </si>
  <si>
    <t>Aux Boiler</t>
  </si>
  <si>
    <t>Combustion Turbine CT1</t>
  </si>
  <si>
    <t>Westport</t>
  </si>
  <si>
    <t>Combustion Turbine Unit 5</t>
  </si>
  <si>
    <t>MMBTU/10E+06 Scf</t>
  </si>
  <si>
    <t>CT1</t>
  </si>
  <si>
    <t>MMBTU/1E+06 scf</t>
  </si>
  <si>
    <t>#3 Oil</t>
  </si>
  <si>
    <t>CT3</t>
  </si>
  <si>
    <t>CT4</t>
  </si>
  <si>
    <t>CT5</t>
  </si>
  <si>
    <t>CT6</t>
  </si>
  <si>
    <t>MMBTU/scf</t>
  </si>
  <si>
    <t>005-0076</t>
  </si>
  <si>
    <t>CPSG- Notch Cliff</t>
  </si>
  <si>
    <t>MMBTU/1E+03 gallons</t>
  </si>
  <si>
    <t>Rock Spring</t>
  </si>
  <si>
    <t>Easton Utility -Airport Park</t>
  </si>
  <si>
    <t>20-4-0102</t>
  </si>
  <si>
    <t>Connectiv -Crisfield Generation</t>
  </si>
  <si>
    <t xml:space="preserve">Unit 1 </t>
  </si>
  <si>
    <t>11 Aux Boiler</t>
  </si>
  <si>
    <t>1B Emergenvy Generator</t>
  </si>
  <si>
    <t>2A Emergency Generator</t>
  </si>
  <si>
    <t>2B Emergency Generator</t>
  </si>
  <si>
    <t>9-0015 7 9-0016</t>
  </si>
  <si>
    <t>1A Emergency Generator</t>
  </si>
  <si>
    <t>OC Emergency Generator</t>
  </si>
  <si>
    <t>Security Diesel generator</t>
  </si>
  <si>
    <t>003-00529</t>
  </si>
  <si>
    <t>CPSG -Fort Smallwood Complex</t>
  </si>
  <si>
    <t>Propane</t>
  </si>
  <si>
    <t>CPSG - gould Street</t>
  </si>
  <si>
    <t>Unit 3 Utility B</t>
  </si>
  <si>
    <t>Electric Consumption (Imported Electricity) Emissions for Maryland</t>
  </si>
  <si>
    <t>Fuel Consumption For Electricity Generation</t>
  </si>
  <si>
    <t>Coal (Short Tons)</t>
  </si>
  <si>
    <t>Petroleum (Barrels)</t>
  </si>
  <si>
    <t>Natural Gas (Mcf)</t>
  </si>
  <si>
    <t>Other Gases (MMBTU)</t>
  </si>
  <si>
    <t xml:space="preserve"> MD In-State Gross Generation (MWh)</t>
  </si>
  <si>
    <t>Other Gases</t>
  </si>
  <si>
    <t>Nuclear</t>
  </si>
  <si>
    <t>Hydroelectric Conventional</t>
  </si>
  <si>
    <t>Wind</t>
  </si>
  <si>
    <t>Solar Thermal and Photovoltaic</t>
  </si>
  <si>
    <t>Wood and Wood Derived Fuels</t>
  </si>
  <si>
    <t>Other Biomass</t>
  </si>
  <si>
    <t>Other</t>
  </si>
  <si>
    <t>MD -Electricity Losses (MWh) (Transmission and Distribution) Assume 6.25 %</t>
  </si>
  <si>
    <t>T &amp;D Losses</t>
  </si>
  <si>
    <t xml:space="preserve"> Net MD In-State Electricity Generation (MWh) = MD In-State Electricity Generated - T &amp;D Losses</t>
  </si>
  <si>
    <t>Net In -State Generated Electricity</t>
  </si>
  <si>
    <t>Electricity Consumption (MWh) (MD Retail Sales)</t>
  </si>
  <si>
    <t>Residential</t>
  </si>
  <si>
    <t>Commercial</t>
  </si>
  <si>
    <t>Industrial</t>
  </si>
  <si>
    <t>Transportation</t>
  </si>
  <si>
    <t>Others</t>
  </si>
  <si>
    <t>Total Electric Consumption (Mwh) Net</t>
  </si>
  <si>
    <t>Total Electric Consumption (Mwh) Gross</t>
  </si>
  <si>
    <t>Electricity Imported (MWh) = MD Gross Retail Sales - Gross In-state Generation</t>
  </si>
  <si>
    <t>Imported Electricity to Meet MD Demand (MWh)</t>
  </si>
  <si>
    <t>GHG Associated with Imported Electricity</t>
  </si>
  <si>
    <r>
      <rPr>
        <sz val="11"/>
        <color theme="1"/>
        <rFont val="Calibri"/>
        <family val="2"/>
      </rPr>
      <t>CO</t>
    </r>
    <r>
      <rPr>
        <vertAlign val="subscript"/>
        <sz val="10"/>
        <color theme="1"/>
        <rFont val="MS Sans Serif"/>
      </rPr>
      <t>2</t>
    </r>
    <r>
      <rPr>
        <sz val="8"/>
        <color theme="1"/>
        <rFont val="Arial"/>
        <family val="2"/>
      </rPr>
      <t xml:space="preserve"> Emission</t>
    </r>
  </si>
  <si>
    <r>
      <rPr>
        <b/>
        <sz val="11"/>
        <color theme="1"/>
        <rFont val="Calibri"/>
        <family val="2"/>
      </rPr>
      <t>PJM</t>
    </r>
    <r>
      <rPr>
        <sz val="8"/>
        <color theme="1"/>
        <rFont val="Arial"/>
        <family val="2"/>
      </rPr>
      <t xml:space="preserve"> Average CO</t>
    </r>
    <r>
      <rPr>
        <vertAlign val="subscript"/>
        <sz val="10"/>
        <color theme="1"/>
        <rFont val="MS Sans Serif"/>
      </rPr>
      <t>2</t>
    </r>
    <r>
      <rPr>
        <sz val="8"/>
        <color theme="1"/>
        <rFont val="Arial"/>
        <family val="2"/>
      </rPr>
      <t xml:space="preserve"> Emission Rate (lbs/MWh)</t>
    </r>
  </si>
  <si>
    <r>
      <rPr>
        <sz val="11"/>
        <color theme="1"/>
        <rFont val="Calibri"/>
        <family val="2"/>
      </rPr>
      <t>(CO</t>
    </r>
    <r>
      <rPr>
        <vertAlign val="subscript"/>
        <sz val="10"/>
        <color theme="1"/>
        <rFont val="MS Sans Serif"/>
      </rPr>
      <t>2</t>
    </r>
    <r>
      <rPr>
        <sz val="8"/>
        <color theme="1"/>
        <rFont val="Arial"/>
        <family val="2"/>
      </rPr>
      <t xml:space="preserve"> Emission Rate of Marginal Units)</t>
    </r>
  </si>
  <si>
    <t>Hydroelectric</t>
  </si>
  <si>
    <t>Solid Waste</t>
  </si>
  <si>
    <r>
      <rPr>
        <b/>
        <sz val="11"/>
        <color theme="1"/>
        <rFont val="Calibri"/>
        <family val="2"/>
      </rPr>
      <t>Captured CH</t>
    </r>
    <r>
      <rPr>
        <b/>
        <vertAlign val="subscript"/>
        <sz val="8"/>
        <color theme="1"/>
        <rFont val="MS Sans Serif"/>
      </rPr>
      <t>4</t>
    </r>
  </si>
  <si>
    <t>Solar</t>
  </si>
  <si>
    <t>Wood</t>
  </si>
  <si>
    <t>Actual Total 2011</t>
  </si>
  <si>
    <t>PJM Electricity Generation Fuel Mix 2011(%)</t>
  </si>
  <si>
    <t>Maryland 2011  Import Share (MWh)</t>
  </si>
  <si>
    <r>
      <rPr>
        <sz val="11"/>
        <color theme="1"/>
        <rFont val="Calibri"/>
        <family val="2"/>
      </rPr>
      <t>Imported Electric CO</t>
    </r>
    <r>
      <rPr>
        <vertAlign val="subscript"/>
        <sz val="10"/>
        <color theme="1"/>
        <rFont val="MS Sans Serif"/>
      </rPr>
      <t>2</t>
    </r>
    <r>
      <rPr>
        <sz val="8"/>
        <color theme="1"/>
        <rFont val="Arial"/>
        <family val="2"/>
      </rPr>
      <t xml:space="preserve"> Emissions Factors (tons/MWh)</t>
    </r>
  </si>
  <si>
    <r>
      <rPr>
        <sz val="11"/>
        <color theme="1"/>
        <rFont val="Calibri"/>
        <family val="2"/>
      </rPr>
      <t>Imported Electric CO</t>
    </r>
    <r>
      <rPr>
        <vertAlign val="subscript"/>
        <sz val="10"/>
        <color theme="1"/>
        <rFont val="MS Sans Serif"/>
      </rPr>
      <t>2</t>
    </r>
    <r>
      <rPr>
        <sz val="8"/>
        <color theme="1"/>
        <rFont val="Arial"/>
        <family val="2"/>
      </rPr>
      <t xml:space="preserve"> Emissions (metric tons)</t>
    </r>
  </si>
  <si>
    <r>
      <rPr>
        <sz val="11"/>
        <color theme="1"/>
        <rFont val="Calibri"/>
        <family val="2"/>
      </rPr>
      <t>Imported Electric CO</t>
    </r>
    <r>
      <rPr>
        <vertAlign val="subscript"/>
        <sz val="10"/>
        <color theme="1"/>
        <rFont val="MS Sans Serif"/>
      </rPr>
      <t>2</t>
    </r>
    <r>
      <rPr>
        <sz val="8"/>
        <color theme="1"/>
        <rFont val="Arial"/>
        <family val="2"/>
      </rPr>
      <t xml:space="preserve"> Emissions (MMTCO</t>
    </r>
    <r>
      <rPr>
        <vertAlign val="subscript"/>
        <sz val="10"/>
        <color theme="1"/>
        <rFont val="MS Sans Serif"/>
      </rPr>
      <t>2</t>
    </r>
    <r>
      <rPr>
        <sz val="8"/>
        <color theme="1"/>
        <rFont val="Arial"/>
        <family val="2"/>
      </rPr>
      <t>)</t>
    </r>
  </si>
  <si>
    <r>
      <rPr>
        <b/>
        <sz val="11"/>
        <color theme="1"/>
        <rFont val="Calibri"/>
        <family val="2"/>
      </rPr>
      <t xml:space="preserve"> Imported Electricity Emissions  (MMTCO</t>
    </r>
    <r>
      <rPr>
        <b/>
        <vertAlign val="subscript"/>
        <sz val="10"/>
        <color theme="1"/>
        <rFont val="MS Sans Serif"/>
      </rPr>
      <t>2</t>
    </r>
    <r>
      <rPr>
        <b/>
        <sz val="10"/>
        <color theme="1"/>
        <rFont val="MS Sans Serif"/>
      </rPr>
      <t>E)</t>
    </r>
  </si>
  <si>
    <t>Transportation Consumption and GHG Emissions</t>
  </si>
  <si>
    <t>Activity Data (Consumption)</t>
  </si>
  <si>
    <t xml:space="preserve"> State Energy Data  2011</t>
  </si>
  <si>
    <t>(Thousand Barrels)</t>
  </si>
  <si>
    <t>(Gallons)</t>
  </si>
  <si>
    <t xml:space="preserve">Aviation Gasoline </t>
  </si>
  <si>
    <t xml:space="preserve">Distillate Fuel  Oil </t>
  </si>
  <si>
    <t xml:space="preserve">Jet Fuel Naphtha </t>
  </si>
  <si>
    <t xml:space="preserve">Jet Fuel Kerosene Type </t>
  </si>
  <si>
    <t>Liquidfied Petroleum Gases</t>
  </si>
  <si>
    <t xml:space="preserve">Lubricant </t>
  </si>
  <si>
    <t>Motor Gasoline</t>
  </si>
  <si>
    <t>Ethanol</t>
  </si>
  <si>
    <t>Natural Gases -  (Million Cubic Feet)</t>
  </si>
  <si>
    <t>Residual Fuel Oil</t>
  </si>
  <si>
    <t xml:space="preserve">                                                     Gasoline Fuel Usage</t>
  </si>
  <si>
    <t>Source</t>
  </si>
  <si>
    <t>Year</t>
  </si>
  <si>
    <t>Subsource</t>
  </si>
  <si>
    <t>Vehicle / Fuel Type</t>
  </si>
  <si>
    <t>Amount
(gal)</t>
  </si>
  <si>
    <t>Percentage</t>
  </si>
  <si>
    <t>Percentage of NR Gasoline</t>
  </si>
  <si>
    <t>FHWA Data MF-24</t>
  </si>
  <si>
    <t>Farm Equipment</t>
  </si>
  <si>
    <t>Gasoline Tractor</t>
  </si>
  <si>
    <t>Construction</t>
  </si>
  <si>
    <t>Gasoline Construction</t>
  </si>
  <si>
    <t>Non-Highway Industrial</t>
  </si>
  <si>
    <t>Gasoline HD Utility</t>
  </si>
  <si>
    <t>EPA NonRoad Model Output</t>
  </si>
  <si>
    <t>Gasoline Small Utility</t>
  </si>
  <si>
    <t>Boat (Marine Gasoline)</t>
  </si>
  <si>
    <t>Gasoline</t>
  </si>
  <si>
    <t>MD Comptroller</t>
  </si>
  <si>
    <t>Motor Gasoline (Total Sold)</t>
  </si>
  <si>
    <t>All</t>
  </si>
  <si>
    <t>MOVES Output</t>
  </si>
  <si>
    <t>Motor Gasoline (On-Road Mobile)</t>
  </si>
  <si>
    <t>Motor Gasoline (Non-Road Mobile)</t>
  </si>
  <si>
    <t xml:space="preserve">                                           Diesel Fuel Usage</t>
  </si>
  <si>
    <t>Percentage of NR Diesel</t>
  </si>
  <si>
    <t>EIA Adjusted Distillate Fuel Oil and Kerosene Sales By End-Use</t>
  </si>
  <si>
    <t>Diesel Tractor</t>
  </si>
  <si>
    <t>Diesel Construction</t>
  </si>
  <si>
    <t>Diesel HD Utility</t>
  </si>
  <si>
    <t>MDE Survey</t>
  </si>
  <si>
    <t>Locomotive</t>
  </si>
  <si>
    <t>Diesel Fuel</t>
  </si>
  <si>
    <t>Boat (Marine)</t>
  </si>
  <si>
    <t>Distillate Fuel Oil**</t>
  </si>
  <si>
    <t>EIA State Energy Data</t>
  </si>
  <si>
    <t>Distillate Fuel  Oil (Total Sold)</t>
  </si>
  <si>
    <t>Motor Diesel (On-Road)</t>
  </si>
  <si>
    <t>Calculated</t>
  </si>
  <si>
    <t>Motor Diesel (Non-Road)</t>
  </si>
  <si>
    <t>Diesel (gallons)</t>
  </si>
  <si>
    <t>Residual Fuel Oil**</t>
  </si>
  <si>
    <t>Residual Fuel (gallons)</t>
  </si>
  <si>
    <t>CONSTANTS</t>
  </si>
  <si>
    <t>Btu/Gallon</t>
  </si>
  <si>
    <r>
      <rPr>
        <sz val="11"/>
        <color theme="1"/>
        <rFont val="Calibri"/>
        <family val="2"/>
      </rPr>
      <t>Emissions Data (MMTCO</t>
    </r>
    <r>
      <rPr>
        <vertAlign val="subscript"/>
        <sz val="14"/>
        <color theme="1"/>
        <rFont val="Comic Sans MS"/>
        <family val="4"/>
      </rPr>
      <t>2</t>
    </r>
    <r>
      <rPr>
        <sz val="14"/>
        <color theme="1"/>
        <rFont val="Comic Sans MS"/>
        <family val="4"/>
      </rPr>
      <t>e)</t>
    </r>
  </si>
  <si>
    <t>Transportation Sector Emissions: Non-Road Mobile Sources  2011</t>
  </si>
  <si>
    <r>
      <rPr>
        <b/>
        <sz val="11"/>
        <color rgb="FF000000"/>
        <rFont val="Calibri"/>
        <family val="2"/>
      </rPr>
      <t>CO</t>
    </r>
    <r>
      <rPr>
        <b/>
        <vertAlign val="subscript"/>
        <sz val="8"/>
        <color rgb="FF000000"/>
        <rFont val="Arial"/>
        <family val="2"/>
      </rPr>
      <t>2</t>
    </r>
    <r>
      <rPr>
        <b/>
        <sz val="8"/>
        <color rgb="FF000000"/>
        <rFont val="Arial"/>
        <family val="2"/>
      </rPr>
      <t xml:space="preserve"> Emissions</t>
    </r>
  </si>
  <si>
    <r>
      <rPr>
        <b/>
        <sz val="11"/>
        <color rgb="FF000000"/>
        <rFont val="Calibri"/>
        <family val="2"/>
      </rPr>
      <t>N</t>
    </r>
    <r>
      <rPr>
        <b/>
        <vertAlign val="subscript"/>
        <sz val="8"/>
        <color rgb="FF000000"/>
        <rFont val="Arial"/>
        <family val="2"/>
      </rPr>
      <t>2</t>
    </r>
    <r>
      <rPr>
        <b/>
        <sz val="8"/>
        <color rgb="FF000000"/>
        <rFont val="Arial"/>
        <family val="2"/>
      </rPr>
      <t>O Emissions</t>
    </r>
  </si>
  <si>
    <r>
      <rPr>
        <b/>
        <sz val="11"/>
        <color rgb="FF000000"/>
        <rFont val="Calibri"/>
        <family val="2"/>
      </rPr>
      <t>CH</t>
    </r>
    <r>
      <rPr>
        <b/>
        <vertAlign val="subscript"/>
        <sz val="8"/>
        <color rgb="FF000000"/>
        <rFont val="Arial"/>
        <family val="2"/>
      </rPr>
      <t>4</t>
    </r>
    <r>
      <rPr>
        <b/>
        <sz val="8"/>
        <color rgb="FF000000"/>
        <rFont val="Arial"/>
        <family val="2"/>
      </rPr>
      <t xml:space="preserve"> Emissions</t>
    </r>
  </si>
  <si>
    <r>
      <rPr>
        <b/>
        <sz val="11"/>
        <color theme="1"/>
        <rFont val="Calibri"/>
        <family val="2"/>
      </rPr>
      <t>CH</t>
    </r>
    <r>
      <rPr>
        <b/>
        <vertAlign val="subscript"/>
        <sz val="8"/>
        <color theme="1"/>
        <rFont val="Arial"/>
        <family val="2"/>
      </rPr>
      <t>4</t>
    </r>
    <r>
      <rPr>
        <b/>
        <sz val="8"/>
        <color theme="1"/>
        <rFont val="Arial"/>
        <family val="2"/>
      </rPr>
      <t xml:space="preserve"> &amp;</t>
    </r>
  </si>
  <si>
    <t>Emission Factor</t>
  </si>
  <si>
    <t>Combustion</t>
  </si>
  <si>
    <r>
      <rPr>
        <b/>
        <sz val="11"/>
        <color theme="1"/>
        <rFont val="Calibri"/>
        <family val="2"/>
      </rPr>
      <t>N</t>
    </r>
    <r>
      <rPr>
        <b/>
        <vertAlign val="subscript"/>
        <sz val="8"/>
        <color theme="1"/>
        <rFont val="Arial"/>
        <family val="2"/>
      </rPr>
      <t>2</t>
    </r>
    <r>
      <rPr>
        <b/>
        <sz val="8"/>
        <color theme="1"/>
        <rFont val="Arial"/>
        <family val="2"/>
      </rPr>
      <t>O</t>
    </r>
  </si>
  <si>
    <t>(gallon)</t>
  </si>
  <si>
    <t>(lbs C/Million Btu)</t>
  </si>
  <si>
    <t>Efficiency (%)</t>
  </si>
  <si>
    <t>(short tons carbon)</t>
  </si>
  <si>
    <t>(MMTCE)</t>
  </si>
  <si>
    <r>
      <rPr>
        <b/>
        <sz val="11"/>
        <color theme="1"/>
        <rFont val="Calibri"/>
        <family val="2"/>
      </rPr>
      <t>(MMTCO</t>
    </r>
    <r>
      <rPr>
        <b/>
        <vertAlign val="subscript"/>
        <sz val="10"/>
        <color theme="1"/>
        <rFont val="Calibri"/>
        <family val="2"/>
      </rPr>
      <t>2</t>
    </r>
    <r>
      <rPr>
        <b/>
        <sz val="10"/>
        <color theme="1"/>
        <rFont val="Calibri"/>
        <family val="2"/>
      </rPr>
      <t>E)</t>
    </r>
  </si>
  <si>
    <t>Energy Content
(kg/Mbtu)</t>
  </si>
  <si>
    <t>Density
(kg/gallon)</t>
  </si>
  <si>
    <r>
      <rPr>
        <b/>
        <sz val="11"/>
        <color theme="1"/>
        <rFont val="Calibri"/>
        <family val="2"/>
      </rPr>
      <t>N</t>
    </r>
    <r>
      <rPr>
        <b/>
        <vertAlign val="subscript"/>
        <sz val="8"/>
        <color theme="1"/>
        <rFont val="Arial"/>
        <family val="2"/>
      </rPr>
      <t>2</t>
    </r>
    <r>
      <rPr>
        <b/>
        <sz val="8"/>
        <color theme="1"/>
        <rFont val="Arial"/>
        <family val="2"/>
      </rPr>
      <t>O EF
(g/kg fuel)</t>
    </r>
  </si>
  <si>
    <r>
      <rPr>
        <b/>
        <sz val="11"/>
        <color theme="1"/>
        <rFont val="Calibri"/>
        <family val="2"/>
      </rPr>
      <t>N</t>
    </r>
    <r>
      <rPr>
        <b/>
        <vertAlign val="subscript"/>
        <sz val="8"/>
        <color theme="1"/>
        <rFont val="Arial"/>
        <family val="2"/>
      </rPr>
      <t>2</t>
    </r>
    <r>
      <rPr>
        <b/>
        <sz val="8"/>
        <color theme="1"/>
        <rFont val="Arial"/>
        <family val="2"/>
      </rPr>
      <t>O EM
(Gigagrams)</t>
    </r>
  </si>
  <si>
    <r>
      <rPr>
        <b/>
        <sz val="11"/>
        <color theme="1"/>
        <rFont val="Calibri"/>
        <family val="2"/>
      </rPr>
      <t>N</t>
    </r>
    <r>
      <rPr>
        <b/>
        <vertAlign val="subscript"/>
        <sz val="8"/>
        <color theme="1"/>
        <rFont val="Arial"/>
        <family val="2"/>
      </rPr>
      <t>2</t>
    </r>
    <r>
      <rPr>
        <b/>
        <sz val="8"/>
        <color theme="1"/>
        <rFont val="Arial"/>
        <family val="2"/>
      </rPr>
      <t>O
(MTCE)</t>
    </r>
  </si>
  <si>
    <r>
      <rPr>
        <b/>
        <sz val="11"/>
        <color theme="1"/>
        <rFont val="Calibri"/>
        <family val="2"/>
      </rPr>
      <t>N</t>
    </r>
    <r>
      <rPr>
        <b/>
        <vertAlign val="subscript"/>
        <sz val="8"/>
        <color theme="1"/>
        <rFont val="Arial"/>
        <family val="2"/>
      </rPr>
      <t>2</t>
    </r>
    <r>
      <rPr>
        <b/>
        <sz val="8"/>
        <color theme="1"/>
        <rFont val="Arial"/>
        <family val="2"/>
      </rPr>
      <t>O
(MTCO</t>
    </r>
    <r>
      <rPr>
        <b/>
        <vertAlign val="subscript"/>
        <sz val="8"/>
        <color theme="1"/>
        <rFont val="Arial"/>
        <family val="2"/>
      </rPr>
      <t>2</t>
    </r>
    <r>
      <rPr>
        <b/>
        <sz val="8"/>
        <color theme="1"/>
        <rFont val="Arial"/>
        <family val="2"/>
      </rPr>
      <t>E)</t>
    </r>
  </si>
  <si>
    <r>
      <rPr>
        <b/>
        <sz val="11"/>
        <color theme="1"/>
        <rFont val="Calibri"/>
        <family val="2"/>
      </rPr>
      <t>CH</t>
    </r>
    <r>
      <rPr>
        <b/>
        <vertAlign val="subscript"/>
        <sz val="8"/>
        <color theme="1"/>
        <rFont val="Arial"/>
        <family val="2"/>
      </rPr>
      <t>4</t>
    </r>
    <r>
      <rPr>
        <b/>
        <sz val="8"/>
        <color theme="1"/>
        <rFont val="Arial"/>
        <family val="2"/>
      </rPr>
      <t xml:space="preserve"> EF
(g/kg fuel)</t>
    </r>
  </si>
  <si>
    <r>
      <rPr>
        <b/>
        <sz val="11"/>
        <color theme="1"/>
        <rFont val="Calibri"/>
        <family val="2"/>
      </rPr>
      <t>CH</t>
    </r>
    <r>
      <rPr>
        <b/>
        <vertAlign val="subscript"/>
        <sz val="8"/>
        <color theme="1"/>
        <rFont val="Arial"/>
        <family val="2"/>
      </rPr>
      <t>4</t>
    </r>
    <r>
      <rPr>
        <b/>
        <sz val="8"/>
        <color theme="1"/>
        <rFont val="Arial"/>
        <family val="2"/>
      </rPr>
      <t xml:space="preserve"> EM
(Gigagrams)</t>
    </r>
  </si>
  <si>
    <r>
      <rPr>
        <b/>
        <sz val="11"/>
        <color theme="1"/>
        <rFont val="Calibri"/>
        <family val="2"/>
      </rPr>
      <t>CH</t>
    </r>
    <r>
      <rPr>
        <b/>
        <vertAlign val="subscript"/>
        <sz val="8"/>
        <color theme="1"/>
        <rFont val="Arial"/>
        <family val="2"/>
      </rPr>
      <t xml:space="preserve">4
</t>
    </r>
    <r>
      <rPr>
        <b/>
        <sz val="8"/>
        <color theme="1"/>
        <rFont val="Arial"/>
        <family val="2"/>
      </rPr>
      <t>MTCE</t>
    </r>
  </si>
  <si>
    <r>
      <rPr>
        <b/>
        <sz val="11"/>
        <color theme="1"/>
        <rFont val="Calibri"/>
        <family val="2"/>
      </rPr>
      <t>CH</t>
    </r>
    <r>
      <rPr>
        <b/>
        <vertAlign val="subscript"/>
        <sz val="8"/>
        <color theme="1"/>
        <rFont val="Arial"/>
        <family val="2"/>
      </rPr>
      <t xml:space="preserve">4
</t>
    </r>
    <r>
      <rPr>
        <b/>
        <sz val="8"/>
        <color theme="1"/>
        <rFont val="Arial"/>
        <family val="2"/>
      </rPr>
      <t>MTCO</t>
    </r>
    <r>
      <rPr>
        <b/>
        <vertAlign val="subscript"/>
        <sz val="8"/>
        <color theme="1"/>
        <rFont val="Arial"/>
        <family val="2"/>
      </rPr>
      <t>2</t>
    </r>
    <r>
      <rPr>
        <b/>
        <sz val="8"/>
        <color theme="1"/>
        <rFont val="Arial"/>
        <family val="2"/>
      </rPr>
      <t>E</t>
    </r>
  </si>
  <si>
    <r>
      <rPr>
        <b/>
        <sz val="11"/>
        <color theme="1"/>
        <rFont val="Calibri"/>
        <family val="2"/>
      </rPr>
      <t>TOTAL
MTCO</t>
    </r>
    <r>
      <rPr>
        <b/>
        <vertAlign val="subscript"/>
        <sz val="8"/>
        <color theme="1"/>
        <rFont val="Arial"/>
        <family val="2"/>
      </rPr>
      <t>2</t>
    </r>
    <r>
      <rPr>
        <b/>
        <sz val="8"/>
        <color theme="1"/>
        <rFont val="Arial"/>
        <family val="2"/>
      </rPr>
      <t>E</t>
    </r>
  </si>
  <si>
    <t>Aviation Gasoline</t>
  </si>
  <si>
    <t>x</t>
  </si>
  <si>
    <t>=</t>
  </si>
  <si>
    <t>Distillate Fuel - Farm</t>
  </si>
  <si>
    <t>Distillate Fuel - Construction</t>
  </si>
  <si>
    <t>Distillate Fuel - Ind HD Diesel</t>
  </si>
  <si>
    <t>Distillate Fuel - Locomotive</t>
  </si>
  <si>
    <t>Distillate Fuel - Marine</t>
  </si>
  <si>
    <t>Jet Fuel, Kerosene</t>
  </si>
  <si>
    <t>Jet Fuel, Naphtha</t>
  </si>
  <si>
    <t>LPG</t>
  </si>
  <si>
    <t>Motor Gasoline - Farm</t>
  </si>
  <si>
    <t>Motor Gasoline - Construction</t>
  </si>
  <si>
    <t>Motor Gasoline - Ind HD Utility</t>
  </si>
  <si>
    <t>Motor Gasoline - Ind Small Utility</t>
  </si>
  <si>
    <t>Motor Gasoline - Marine</t>
  </si>
  <si>
    <t xml:space="preserve">Non-Energy </t>
  </si>
  <si>
    <t xml:space="preserve">Net combustible </t>
  </si>
  <si>
    <t>Storage Factor (%)</t>
  </si>
  <si>
    <r>
      <rPr>
        <b/>
        <sz val="11"/>
        <color theme="1"/>
        <rFont val="Calibri"/>
        <family val="2"/>
      </rPr>
      <t>(MMTCO</t>
    </r>
    <r>
      <rPr>
        <b/>
        <vertAlign val="subscript"/>
        <sz val="10"/>
        <color theme="1"/>
        <rFont val="Calibri"/>
        <family val="2"/>
      </rPr>
      <t>2</t>
    </r>
    <r>
      <rPr>
        <b/>
        <sz val="10"/>
        <color theme="1"/>
        <rFont val="Calibri"/>
        <family val="2"/>
      </rPr>
      <t>E)</t>
    </r>
  </si>
  <si>
    <t>Lubricants</t>
  </si>
  <si>
    <t>- (</t>
  </si>
  <si>
    <t>) =</t>
  </si>
  <si>
    <t>International Bunker Fuels</t>
  </si>
  <si>
    <r>
      <rPr>
        <b/>
        <sz val="11"/>
        <color theme="1"/>
        <rFont val="Calibri"/>
        <family val="2"/>
      </rPr>
      <t>(MMTCO</t>
    </r>
    <r>
      <rPr>
        <b/>
        <vertAlign val="subscript"/>
        <sz val="10"/>
        <color theme="1"/>
        <rFont val="Calibri"/>
        <family val="2"/>
      </rPr>
      <t>2</t>
    </r>
    <r>
      <rPr>
        <b/>
        <sz val="10"/>
        <color theme="1"/>
        <rFont val="Calibri"/>
        <family val="2"/>
      </rPr>
      <t>E)</t>
    </r>
  </si>
  <si>
    <r>
      <rPr>
        <sz val="11"/>
        <color theme="1"/>
        <rFont val="Calibri"/>
        <family val="2"/>
      </rPr>
      <t>Emissions Data (MMTCO</t>
    </r>
    <r>
      <rPr>
        <vertAlign val="subscript"/>
        <sz val="14"/>
        <color theme="1"/>
        <rFont val="Comic Sans MS"/>
        <family val="4"/>
      </rPr>
      <t>2</t>
    </r>
    <r>
      <rPr>
        <sz val="14"/>
        <color theme="1"/>
        <rFont val="Comic Sans MS"/>
        <family val="4"/>
      </rPr>
      <t>e)</t>
    </r>
  </si>
  <si>
    <t>Transportation Sector: On-Road Mobile Sources  2011</t>
  </si>
  <si>
    <r>
      <rPr>
        <b/>
        <sz val="11"/>
        <color rgb="FF000000"/>
        <rFont val="Calibri"/>
        <family val="2"/>
      </rPr>
      <t>CO</t>
    </r>
    <r>
      <rPr>
        <b/>
        <vertAlign val="subscript"/>
        <sz val="8"/>
        <color rgb="FF000000"/>
        <rFont val="Arial"/>
        <family val="2"/>
      </rPr>
      <t>2</t>
    </r>
    <r>
      <rPr>
        <b/>
        <sz val="8"/>
        <color rgb="FF000000"/>
        <rFont val="Arial"/>
        <family val="2"/>
      </rPr>
      <t xml:space="preserve"> Emissions</t>
    </r>
  </si>
  <si>
    <r>
      <rPr>
        <b/>
        <sz val="11"/>
        <color rgb="FF000000"/>
        <rFont val="Calibri"/>
        <family val="2"/>
      </rPr>
      <t>N</t>
    </r>
    <r>
      <rPr>
        <b/>
        <vertAlign val="subscript"/>
        <sz val="8"/>
        <color rgb="FF000000"/>
        <rFont val="Arial"/>
        <family val="2"/>
      </rPr>
      <t>2</t>
    </r>
    <r>
      <rPr>
        <b/>
        <sz val="8"/>
        <color rgb="FF000000"/>
        <rFont val="Arial"/>
        <family val="2"/>
      </rPr>
      <t>O Emissions</t>
    </r>
  </si>
  <si>
    <r>
      <rPr>
        <b/>
        <sz val="11"/>
        <color rgb="FF000000"/>
        <rFont val="Calibri"/>
        <family val="2"/>
      </rPr>
      <t>CH</t>
    </r>
    <r>
      <rPr>
        <b/>
        <vertAlign val="subscript"/>
        <sz val="8"/>
        <color rgb="FF000000"/>
        <rFont val="Arial"/>
        <family val="2"/>
      </rPr>
      <t>4</t>
    </r>
    <r>
      <rPr>
        <b/>
        <sz val="8"/>
        <color rgb="FF000000"/>
        <rFont val="Arial"/>
        <family val="2"/>
      </rPr>
      <t xml:space="preserve"> Emissions</t>
    </r>
  </si>
  <si>
    <r>
      <rPr>
        <b/>
        <sz val="11"/>
        <color theme="1"/>
        <rFont val="Calibri"/>
        <family val="2"/>
      </rPr>
      <t>CH</t>
    </r>
    <r>
      <rPr>
        <b/>
        <vertAlign val="subscript"/>
        <sz val="8"/>
        <color theme="1"/>
        <rFont val="Arial"/>
        <family val="2"/>
      </rPr>
      <t>4</t>
    </r>
    <r>
      <rPr>
        <b/>
        <sz val="8"/>
        <color theme="1"/>
        <rFont val="Arial"/>
        <family val="2"/>
      </rPr>
      <t xml:space="preserve"> &amp;</t>
    </r>
  </si>
  <si>
    <r>
      <rPr>
        <b/>
        <sz val="11"/>
        <color theme="1"/>
        <rFont val="Calibri"/>
        <family val="2"/>
      </rPr>
      <t>N</t>
    </r>
    <r>
      <rPr>
        <b/>
        <vertAlign val="subscript"/>
        <sz val="8"/>
        <color theme="1"/>
        <rFont val="Arial"/>
        <family val="2"/>
      </rPr>
      <t>2</t>
    </r>
    <r>
      <rPr>
        <b/>
        <sz val="8"/>
        <color theme="1"/>
        <rFont val="Arial"/>
        <family val="2"/>
      </rPr>
      <t>O</t>
    </r>
  </si>
  <si>
    <r>
      <rPr>
        <b/>
        <sz val="11"/>
        <color theme="1"/>
        <rFont val="Calibri"/>
        <family val="2"/>
      </rPr>
      <t>(MMTCO</t>
    </r>
    <r>
      <rPr>
        <b/>
        <vertAlign val="subscript"/>
        <sz val="10"/>
        <color theme="1"/>
        <rFont val="Calibri"/>
        <family val="2"/>
      </rPr>
      <t>2</t>
    </r>
    <r>
      <rPr>
        <b/>
        <sz val="10"/>
        <color theme="1"/>
        <rFont val="Calibri"/>
        <family val="2"/>
      </rPr>
      <t>E)</t>
    </r>
  </si>
  <si>
    <t>Energy Content
kg/MBtu</t>
  </si>
  <si>
    <t>Density
kg/gallon</t>
  </si>
  <si>
    <r>
      <rPr>
        <b/>
        <sz val="11"/>
        <color theme="1"/>
        <rFont val="Calibri"/>
        <family val="2"/>
      </rPr>
      <t>N</t>
    </r>
    <r>
      <rPr>
        <b/>
        <vertAlign val="subscript"/>
        <sz val="8"/>
        <color theme="1"/>
        <rFont val="Arial"/>
        <family val="2"/>
      </rPr>
      <t>2</t>
    </r>
    <r>
      <rPr>
        <b/>
        <sz val="8"/>
        <color theme="1"/>
        <rFont val="Arial"/>
        <family val="2"/>
      </rPr>
      <t>O EF
g/kg fuel</t>
    </r>
  </si>
  <si>
    <r>
      <rPr>
        <b/>
        <sz val="11"/>
        <color theme="1"/>
        <rFont val="Calibri"/>
        <family val="2"/>
      </rPr>
      <t>N</t>
    </r>
    <r>
      <rPr>
        <b/>
        <vertAlign val="subscript"/>
        <sz val="8"/>
        <color theme="1"/>
        <rFont val="Arial"/>
        <family val="2"/>
      </rPr>
      <t>2</t>
    </r>
    <r>
      <rPr>
        <b/>
        <sz val="8"/>
        <color theme="1"/>
        <rFont val="Arial"/>
        <family val="2"/>
      </rPr>
      <t>O EM
Gigagrams</t>
    </r>
  </si>
  <si>
    <r>
      <rPr>
        <b/>
        <sz val="11"/>
        <color theme="1"/>
        <rFont val="Calibri"/>
        <family val="2"/>
      </rPr>
      <t>N</t>
    </r>
    <r>
      <rPr>
        <b/>
        <vertAlign val="subscript"/>
        <sz val="8"/>
        <color theme="1"/>
        <rFont val="Arial"/>
        <family val="2"/>
      </rPr>
      <t>2</t>
    </r>
    <r>
      <rPr>
        <b/>
        <sz val="8"/>
        <color theme="1"/>
        <rFont val="Arial"/>
        <family val="2"/>
      </rPr>
      <t>O
MTCE</t>
    </r>
  </si>
  <si>
    <r>
      <rPr>
        <b/>
        <sz val="11"/>
        <color theme="1"/>
        <rFont val="Calibri"/>
        <family val="2"/>
      </rPr>
      <t>N</t>
    </r>
    <r>
      <rPr>
        <b/>
        <vertAlign val="subscript"/>
        <sz val="8"/>
        <color theme="1"/>
        <rFont val="Arial"/>
        <family val="2"/>
      </rPr>
      <t>2</t>
    </r>
    <r>
      <rPr>
        <b/>
        <sz val="8"/>
        <color theme="1"/>
        <rFont val="Arial"/>
        <family val="2"/>
      </rPr>
      <t>O
MTCO</t>
    </r>
    <r>
      <rPr>
        <b/>
        <vertAlign val="subscript"/>
        <sz val="8"/>
        <color theme="1"/>
        <rFont val="Arial"/>
        <family val="2"/>
      </rPr>
      <t>2</t>
    </r>
    <r>
      <rPr>
        <b/>
        <sz val="8"/>
        <color theme="1"/>
        <rFont val="Arial"/>
        <family val="2"/>
      </rPr>
      <t>E</t>
    </r>
  </si>
  <si>
    <r>
      <rPr>
        <b/>
        <sz val="11"/>
        <color theme="1"/>
        <rFont val="Calibri"/>
        <family val="2"/>
      </rPr>
      <t>CH</t>
    </r>
    <r>
      <rPr>
        <b/>
        <vertAlign val="subscript"/>
        <sz val="8"/>
        <color theme="1"/>
        <rFont val="Arial"/>
        <family val="2"/>
      </rPr>
      <t>4</t>
    </r>
    <r>
      <rPr>
        <b/>
        <sz val="8"/>
        <color theme="1"/>
        <rFont val="Arial"/>
        <family val="2"/>
      </rPr>
      <t xml:space="preserve"> EF
g/kg fuel</t>
    </r>
  </si>
  <si>
    <r>
      <rPr>
        <b/>
        <sz val="11"/>
        <color theme="1"/>
        <rFont val="Calibri"/>
        <family val="2"/>
      </rPr>
      <t>CH</t>
    </r>
    <r>
      <rPr>
        <b/>
        <vertAlign val="subscript"/>
        <sz val="8"/>
        <color theme="1"/>
        <rFont val="Arial"/>
        <family val="2"/>
      </rPr>
      <t>4</t>
    </r>
    <r>
      <rPr>
        <b/>
        <sz val="8"/>
        <color theme="1"/>
        <rFont val="Arial"/>
        <family val="2"/>
      </rPr>
      <t xml:space="preserve"> EM
Gigagrams</t>
    </r>
  </si>
  <si>
    <r>
      <rPr>
        <b/>
        <sz val="11"/>
        <color theme="1"/>
        <rFont val="Calibri"/>
        <family val="2"/>
      </rPr>
      <t>CH</t>
    </r>
    <r>
      <rPr>
        <b/>
        <vertAlign val="subscript"/>
        <sz val="8"/>
        <color theme="1"/>
        <rFont val="Arial"/>
        <family val="2"/>
      </rPr>
      <t xml:space="preserve">4
</t>
    </r>
    <r>
      <rPr>
        <b/>
        <sz val="8"/>
        <color theme="1"/>
        <rFont val="Arial"/>
        <family val="2"/>
      </rPr>
      <t>MTCE</t>
    </r>
  </si>
  <si>
    <r>
      <rPr>
        <b/>
        <sz val="11"/>
        <color theme="1"/>
        <rFont val="Calibri"/>
        <family val="2"/>
      </rPr>
      <t>CH</t>
    </r>
    <r>
      <rPr>
        <b/>
        <vertAlign val="subscript"/>
        <sz val="8"/>
        <color theme="1"/>
        <rFont val="Arial"/>
        <family val="2"/>
      </rPr>
      <t xml:space="preserve">4
</t>
    </r>
    <r>
      <rPr>
        <b/>
        <sz val="8"/>
        <color theme="1"/>
        <rFont val="Arial"/>
        <family val="2"/>
      </rPr>
      <t>MTCO</t>
    </r>
    <r>
      <rPr>
        <b/>
        <vertAlign val="subscript"/>
        <sz val="8"/>
        <color theme="1"/>
        <rFont val="Arial"/>
        <family val="2"/>
      </rPr>
      <t>2</t>
    </r>
    <r>
      <rPr>
        <b/>
        <sz val="8"/>
        <color theme="1"/>
        <rFont val="Arial"/>
        <family val="2"/>
      </rPr>
      <t>E</t>
    </r>
  </si>
  <si>
    <r>
      <rPr>
        <b/>
        <sz val="11"/>
        <color theme="1"/>
        <rFont val="Calibri"/>
        <family val="2"/>
      </rPr>
      <t>TOTAL
MTCO</t>
    </r>
    <r>
      <rPr>
        <b/>
        <vertAlign val="subscript"/>
        <sz val="8"/>
        <color theme="1"/>
        <rFont val="Arial"/>
        <family val="2"/>
      </rPr>
      <t>2</t>
    </r>
    <r>
      <rPr>
        <b/>
        <sz val="8"/>
        <color theme="1"/>
        <rFont val="Arial"/>
        <family val="2"/>
      </rPr>
      <t>E</t>
    </r>
  </si>
  <si>
    <t>Motor Diesel  (On-Road)</t>
  </si>
  <si>
    <t>Motor Gasoline (On Road)</t>
  </si>
  <si>
    <t>Residential Consumption and CO2 Emissions in Maryland</t>
  </si>
  <si>
    <r>
      <rPr>
        <sz val="11"/>
        <color theme="1"/>
        <rFont val="Calibri"/>
        <family val="2"/>
      </rPr>
      <t>Residential Sector CO</t>
    </r>
    <r>
      <rPr>
        <vertAlign val="subscript"/>
        <sz val="14"/>
        <color theme="1"/>
        <rFont val="Comic Sans MS"/>
        <family val="4"/>
      </rPr>
      <t>2</t>
    </r>
  </si>
  <si>
    <r>
      <rPr>
        <b/>
        <sz val="11"/>
        <color theme="1"/>
        <rFont val="Calibri"/>
        <family val="2"/>
      </rPr>
      <t>(MMTCO</t>
    </r>
    <r>
      <rPr>
        <b/>
        <vertAlign val="subscript"/>
        <sz val="7"/>
        <color theme="1"/>
        <rFont val="Comic Sans MS"/>
        <family val="4"/>
      </rPr>
      <t>2</t>
    </r>
    <r>
      <rPr>
        <b/>
        <sz val="7"/>
        <color theme="1"/>
        <rFont val="Comic Sans MS"/>
        <family val="4"/>
      </rPr>
      <t>E)</t>
    </r>
  </si>
  <si>
    <t>Kerosene</t>
  </si>
  <si>
    <r>
      <rPr>
        <sz val="11"/>
        <color theme="1"/>
        <rFont val="Calibri"/>
        <family val="2"/>
      </rPr>
      <t>Residential Sector N</t>
    </r>
    <r>
      <rPr>
        <vertAlign val="subscript"/>
        <sz val="11"/>
        <color theme="1"/>
        <rFont val="Calibri"/>
        <family val="2"/>
      </rPr>
      <t>2</t>
    </r>
    <r>
      <rPr>
        <sz val="11"/>
        <color theme="1"/>
        <rFont val="Calibri"/>
        <family val="2"/>
      </rPr>
      <t>O</t>
    </r>
  </si>
  <si>
    <r>
      <rPr>
        <b/>
        <sz val="11"/>
        <color theme="1"/>
        <rFont val="Calibri"/>
        <family val="2"/>
      </rPr>
      <t>(metric tons N</t>
    </r>
    <r>
      <rPr>
        <b/>
        <vertAlign val="subscript"/>
        <sz val="7"/>
        <color theme="1"/>
        <rFont val="Comic Sans MS"/>
        <family val="4"/>
      </rPr>
      <t>2</t>
    </r>
    <r>
      <rPr>
        <b/>
        <sz val="7"/>
        <color theme="1"/>
        <rFont val="Comic Sans MS"/>
        <family val="4"/>
      </rPr>
      <t>O/BBtu)</t>
    </r>
  </si>
  <si>
    <r>
      <rPr>
        <b/>
        <sz val="11"/>
        <color theme="1"/>
        <rFont val="Calibri"/>
        <family val="2"/>
      </rPr>
      <t>(metric tons N</t>
    </r>
    <r>
      <rPr>
        <b/>
        <vertAlign val="subscript"/>
        <sz val="7"/>
        <color theme="1"/>
        <rFont val="Comic Sans MS"/>
        <family val="4"/>
      </rPr>
      <t>2</t>
    </r>
    <r>
      <rPr>
        <b/>
        <sz val="7"/>
        <color theme="1"/>
        <rFont val="Comic Sans MS"/>
        <family val="4"/>
      </rPr>
      <t>O)</t>
    </r>
  </si>
  <si>
    <r>
      <rPr>
        <b/>
        <sz val="11"/>
        <color theme="1"/>
        <rFont val="Calibri"/>
        <family val="2"/>
      </rPr>
      <t>(MMTCO</t>
    </r>
    <r>
      <rPr>
        <b/>
        <vertAlign val="subscript"/>
        <sz val="7"/>
        <color theme="1"/>
        <rFont val="Comic Sans MS"/>
        <family val="4"/>
      </rPr>
      <t>2</t>
    </r>
    <r>
      <rPr>
        <b/>
        <sz val="7"/>
        <color theme="1"/>
        <rFont val="Comic Sans MS"/>
        <family val="4"/>
      </rPr>
      <t>E)</t>
    </r>
  </si>
  <si>
    <r>
      <rPr>
        <sz val="11"/>
        <color theme="1"/>
        <rFont val="Calibri"/>
        <family val="2"/>
      </rPr>
      <t>Residential Sector CH</t>
    </r>
    <r>
      <rPr>
        <vertAlign val="subscript"/>
        <sz val="14"/>
        <color theme="1"/>
        <rFont val="Comic Sans MS"/>
        <family val="4"/>
      </rPr>
      <t>4</t>
    </r>
  </si>
  <si>
    <t>(metric tons CH4 /BBtu)</t>
  </si>
  <si>
    <r>
      <rPr>
        <b/>
        <sz val="11"/>
        <color theme="1"/>
        <rFont val="Calibri"/>
        <family val="2"/>
      </rPr>
      <t>(metric tons CH</t>
    </r>
    <r>
      <rPr>
        <b/>
        <vertAlign val="subscript"/>
        <sz val="7"/>
        <color theme="1"/>
        <rFont val="Comic Sans MS"/>
        <family val="4"/>
      </rPr>
      <t>4</t>
    </r>
    <r>
      <rPr>
        <b/>
        <sz val="7"/>
        <color theme="1"/>
        <rFont val="Comic Sans MS"/>
        <family val="4"/>
      </rPr>
      <t>)</t>
    </r>
  </si>
  <si>
    <t>(MMTCO2E)</t>
  </si>
  <si>
    <t xml:space="preserve">Residential Sector 2011 GHG Emissions </t>
  </si>
  <si>
    <r>
      <rPr>
        <b/>
        <sz val="11"/>
        <color theme="1"/>
        <rFont val="Calibri"/>
        <family val="2"/>
      </rPr>
      <t>CO</t>
    </r>
    <r>
      <rPr>
        <b/>
        <vertAlign val="subscript"/>
        <sz val="8"/>
        <color theme="1"/>
        <rFont val="Arial"/>
        <family val="2"/>
      </rPr>
      <t>2</t>
    </r>
  </si>
  <si>
    <r>
      <rPr>
        <b/>
        <sz val="11"/>
        <color theme="1"/>
        <rFont val="Calibri"/>
        <family val="2"/>
      </rPr>
      <t>N</t>
    </r>
    <r>
      <rPr>
        <b/>
        <vertAlign val="subscript"/>
        <sz val="8"/>
        <color theme="1"/>
        <rFont val="Arial"/>
        <family val="2"/>
      </rPr>
      <t>2</t>
    </r>
    <r>
      <rPr>
        <b/>
        <sz val="8"/>
        <color theme="1"/>
        <rFont val="Arial"/>
        <family val="2"/>
      </rPr>
      <t>O</t>
    </r>
  </si>
  <si>
    <r>
      <rPr>
        <b/>
        <sz val="11"/>
        <color theme="1"/>
        <rFont val="Calibri"/>
        <family val="2"/>
      </rPr>
      <t>CH</t>
    </r>
    <r>
      <rPr>
        <b/>
        <vertAlign val="subscript"/>
        <sz val="8"/>
        <color theme="1"/>
        <rFont val="Arial"/>
        <family val="2"/>
      </rPr>
      <t>4</t>
    </r>
  </si>
  <si>
    <r>
      <rPr>
        <b/>
        <sz val="11"/>
        <color theme="1"/>
        <rFont val="Calibri"/>
        <family val="2"/>
      </rPr>
      <t>(MMTCO</t>
    </r>
    <r>
      <rPr>
        <b/>
        <vertAlign val="subscript"/>
        <sz val="8"/>
        <color theme="1"/>
        <rFont val="Arial"/>
        <family val="2"/>
      </rPr>
      <t>2</t>
    </r>
    <r>
      <rPr>
        <b/>
        <sz val="8"/>
        <color theme="1"/>
        <rFont val="Arial"/>
        <family val="2"/>
      </rPr>
      <t>E)</t>
    </r>
  </si>
  <si>
    <r>
      <rPr>
        <b/>
        <sz val="11"/>
        <color theme="1"/>
        <rFont val="Calibri"/>
        <family val="2"/>
      </rPr>
      <t>(MMTCO</t>
    </r>
    <r>
      <rPr>
        <b/>
        <vertAlign val="subscript"/>
        <sz val="8"/>
        <color theme="1"/>
        <rFont val="Arial"/>
        <family val="2"/>
      </rPr>
      <t>2</t>
    </r>
    <r>
      <rPr>
        <b/>
        <sz val="8"/>
        <color theme="1"/>
        <rFont val="Arial"/>
        <family val="2"/>
      </rPr>
      <t>E)</t>
    </r>
  </si>
  <si>
    <r>
      <rPr>
        <b/>
        <sz val="11"/>
        <color theme="1"/>
        <rFont val="Calibri"/>
        <family val="2"/>
      </rPr>
      <t>(MMTCO</t>
    </r>
    <r>
      <rPr>
        <b/>
        <vertAlign val="subscript"/>
        <sz val="8"/>
        <color theme="1"/>
        <rFont val="Arial"/>
        <family val="2"/>
      </rPr>
      <t>2</t>
    </r>
    <r>
      <rPr>
        <b/>
        <sz val="8"/>
        <color theme="1"/>
        <rFont val="Arial"/>
        <family val="2"/>
      </rPr>
      <t>E)</t>
    </r>
  </si>
  <si>
    <r>
      <rPr>
        <b/>
        <sz val="11"/>
        <color theme="1"/>
        <rFont val="Calibri"/>
        <family val="2"/>
      </rPr>
      <t>(MMTCO</t>
    </r>
    <r>
      <rPr>
        <b/>
        <vertAlign val="subscript"/>
        <sz val="8"/>
        <color theme="1"/>
        <rFont val="Arial"/>
        <family val="2"/>
      </rPr>
      <t>2</t>
    </r>
    <r>
      <rPr>
        <b/>
        <sz val="8"/>
        <color theme="1"/>
        <rFont val="Arial"/>
        <family val="2"/>
      </rPr>
      <t>E)</t>
    </r>
  </si>
  <si>
    <t>- Default state-level data derived from EIA’s State Energy Consumption, Price, and Expenditure Estimates (SEDS) 2007: Consumption Estimates (EIA 2009)  http://www.eia.doe.gov/emeu/states/_seds.html</t>
  </si>
  <si>
    <t>- Default state synthetic natural gas data obtained from Table 12 of EIA’s Historical Natural Gas Annual (EIA 2009), and Table 8 for Natural Gas Annual publications from 2001-2007 http://www.eia.doe.gov/oil_gas/natural_gas/data_publications/natural_gas_annual/nga.html</t>
  </si>
  <si>
    <t>Commercial Consumption and CO2 Emissions in Maryland</t>
  </si>
  <si>
    <r>
      <rPr>
        <sz val="11"/>
        <color theme="1"/>
        <rFont val="Calibri"/>
        <family val="2"/>
      </rPr>
      <t>Commercial Sector CO</t>
    </r>
    <r>
      <rPr>
        <vertAlign val="subscript"/>
        <sz val="14"/>
        <color theme="1"/>
        <rFont val="Comic Sans MS"/>
        <family val="4"/>
      </rPr>
      <t>2</t>
    </r>
  </si>
  <si>
    <r>
      <rPr>
        <b/>
        <sz val="11"/>
        <color theme="1"/>
        <rFont val="Calibri"/>
        <family val="2"/>
      </rPr>
      <t>(MMTCO</t>
    </r>
    <r>
      <rPr>
        <b/>
        <vertAlign val="subscript"/>
        <sz val="7"/>
        <color theme="1"/>
        <rFont val="Comic Sans MS"/>
        <family val="4"/>
      </rPr>
      <t>2</t>
    </r>
    <r>
      <rPr>
        <b/>
        <sz val="7"/>
        <color theme="1"/>
        <rFont val="Comic Sans MS"/>
        <family val="4"/>
      </rPr>
      <t>E)</t>
    </r>
  </si>
  <si>
    <r>
      <rPr>
        <sz val="11"/>
        <color theme="1"/>
        <rFont val="Calibri"/>
        <family val="2"/>
      </rPr>
      <t>Commercial Sector N</t>
    </r>
    <r>
      <rPr>
        <vertAlign val="subscript"/>
        <sz val="11"/>
        <color theme="1"/>
        <rFont val="Calibri"/>
        <family val="2"/>
      </rPr>
      <t>2</t>
    </r>
    <r>
      <rPr>
        <sz val="11"/>
        <color theme="1"/>
        <rFont val="Calibri"/>
        <family val="2"/>
      </rPr>
      <t>O</t>
    </r>
  </si>
  <si>
    <r>
      <rPr>
        <b/>
        <sz val="11"/>
        <color theme="1"/>
        <rFont val="Calibri"/>
        <family val="2"/>
      </rPr>
      <t>(metric tons N</t>
    </r>
    <r>
      <rPr>
        <b/>
        <vertAlign val="subscript"/>
        <sz val="7"/>
        <color theme="1"/>
        <rFont val="Comic Sans MS"/>
        <family val="4"/>
      </rPr>
      <t>2</t>
    </r>
    <r>
      <rPr>
        <b/>
        <sz val="7"/>
        <color theme="1"/>
        <rFont val="Comic Sans MS"/>
        <family val="4"/>
      </rPr>
      <t>O/BBtu)</t>
    </r>
  </si>
  <si>
    <r>
      <rPr>
        <b/>
        <sz val="11"/>
        <color theme="1"/>
        <rFont val="Calibri"/>
        <family val="2"/>
      </rPr>
      <t>(metric tons N</t>
    </r>
    <r>
      <rPr>
        <b/>
        <vertAlign val="subscript"/>
        <sz val="7"/>
        <color theme="1"/>
        <rFont val="Comic Sans MS"/>
        <family val="4"/>
      </rPr>
      <t>2</t>
    </r>
    <r>
      <rPr>
        <b/>
        <sz val="7"/>
        <color theme="1"/>
        <rFont val="Comic Sans MS"/>
        <family val="4"/>
      </rPr>
      <t>O)</t>
    </r>
  </si>
  <si>
    <r>
      <rPr>
        <sz val="11"/>
        <color theme="1"/>
        <rFont val="Calibri"/>
        <family val="2"/>
      </rPr>
      <t>Commercial Sector CH</t>
    </r>
    <r>
      <rPr>
        <vertAlign val="subscript"/>
        <sz val="14"/>
        <color theme="1"/>
        <rFont val="Comic Sans MS"/>
        <family val="4"/>
      </rPr>
      <t>4</t>
    </r>
  </si>
  <si>
    <r>
      <rPr>
        <b/>
        <sz val="11"/>
        <color theme="1"/>
        <rFont val="Calibri"/>
        <family val="2"/>
      </rPr>
      <t>(metric tons CH</t>
    </r>
    <r>
      <rPr>
        <b/>
        <vertAlign val="subscript"/>
        <sz val="7"/>
        <color theme="1"/>
        <rFont val="Comic Sans MS"/>
        <family val="4"/>
      </rPr>
      <t>4</t>
    </r>
    <r>
      <rPr>
        <b/>
        <sz val="7"/>
        <color theme="1"/>
        <rFont val="Comic Sans MS"/>
        <family val="4"/>
      </rPr>
      <t xml:space="preserve"> /BBtu)</t>
    </r>
  </si>
  <si>
    <r>
      <rPr>
        <b/>
        <sz val="11"/>
        <color theme="1"/>
        <rFont val="Calibri"/>
        <family val="2"/>
      </rPr>
      <t>(metric tons CH</t>
    </r>
    <r>
      <rPr>
        <b/>
        <vertAlign val="subscript"/>
        <sz val="7"/>
        <color theme="1"/>
        <rFont val="Comic Sans MS"/>
        <family val="4"/>
      </rPr>
      <t>4</t>
    </r>
    <r>
      <rPr>
        <b/>
        <sz val="7"/>
        <color theme="1"/>
        <rFont val="Comic Sans MS"/>
        <family val="4"/>
      </rPr>
      <t>)</t>
    </r>
  </si>
  <si>
    <r>
      <rPr>
        <b/>
        <sz val="11"/>
        <color theme="1"/>
        <rFont val="Calibri"/>
        <family val="2"/>
      </rPr>
      <t>(MMTCO</t>
    </r>
    <r>
      <rPr>
        <b/>
        <vertAlign val="subscript"/>
        <sz val="7"/>
        <color theme="1"/>
        <rFont val="Comic Sans MS"/>
        <family val="4"/>
      </rPr>
      <t>2</t>
    </r>
    <r>
      <rPr>
        <b/>
        <sz val="7"/>
        <color theme="1"/>
        <rFont val="Comic Sans MS"/>
        <family val="4"/>
      </rPr>
      <t>E)</t>
    </r>
  </si>
  <si>
    <t>Commercial Sector 2011 GHG Emission</t>
  </si>
  <si>
    <r>
      <rPr>
        <b/>
        <sz val="11"/>
        <color theme="1"/>
        <rFont val="Calibri"/>
        <family val="2"/>
      </rPr>
      <t>CO</t>
    </r>
    <r>
      <rPr>
        <b/>
        <vertAlign val="subscript"/>
        <sz val="10"/>
        <color theme="1"/>
        <rFont val="Arial"/>
        <family val="2"/>
      </rPr>
      <t>2</t>
    </r>
  </si>
  <si>
    <r>
      <rPr>
        <b/>
        <sz val="11"/>
        <color theme="1"/>
        <rFont val="Calibri"/>
        <family val="2"/>
      </rPr>
      <t>CH</t>
    </r>
    <r>
      <rPr>
        <b/>
        <vertAlign val="subscript"/>
        <sz val="10"/>
        <color theme="1"/>
        <rFont val="Arial"/>
        <family val="2"/>
      </rPr>
      <t>4</t>
    </r>
  </si>
  <si>
    <r>
      <rPr>
        <b/>
        <sz val="11"/>
        <color theme="1"/>
        <rFont val="Calibri"/>
        <family val="2"/>
      </rPr>
      <t>N</t>
    </r>
    <r>
      <rPr>
        <b/>
        <vertAlign val="subscript"/>
        <sz val="10"/>
        <color theme="1"/>
        <rFont val="Arial"/>
        <family val="2"/>
      </rPr>
      <t>2</t>
    </r>
    <r>
      <rPr>
        <b/>
        <sz val="10"/>
        <color theme="1"/>
        <rFont val="Arial"/>
        <family val="2"/>
      </rPr>
      <t>O</t>
    </r>
  </si>
  <si>
    <t>GHG</t>
  </si>
  <si>
    <r>
      <rPr>
        <b/>
        <sz val="11"/>
        <color theme="1"/>
        <rFont val="Calibri"/>
        <family val="2"/>
      </rPr>
      <t>(MMTCO</t>
    </r>
    <r>
      <rPr>
        <b/>
        <vertAlign val="subscript"/>
        <sz val="7"/>
        <color theme="1"/>
        <rFont val="Comic Sans MS"/>
        <family val="4"/>
      </rPr>
      <t>2</t>
    </r>
    <r>
      <rPr>
        <b/>
        <sz val="7"/>
        <color theme="1"/>
        <rFont val="Comic Sans MS"/>
        <family val="4"/>
      </rPr>
      <t>E)</t>
    </r>
  </si>
  <si>
    <r>
      <rPr>
        <b/>
        <sz val="11"/>
        <color theme="1"/>
        <rFont val="Calibri"/>
        <family val="2"/>
      </rPr>
      <t>(MMTCO</t>
    </r>
    <r>
      <rPr>
        <b/>
        <vertAlign val="subscript"/>
        <sz val="7"/>
        <color theme="1"/>
        <rFont val="Comic Sans MS"/>
        <family val="4"/>
      </rPr>
      <t>2</t>
    </r>
    <r>
      <rPr>
        <b/>
        <sz val="7"/>
        <color theme="1"/>
        <rFont val="Comic Sans MS"/>
        <family val="4"/>
      </rPr>
      <t>E)</t>
    </r>
  </si>
  <si>
    <r>
      <rPr>
        <b/>
        <sz val="11"/>
        <color theme="1"/>
        <rFont val="Calibri"/>
        <family val="2"/>
      </rPr>
      <t>(MMTCO</t>
    </r>
    <r>
      <rPr>
        <b/>
        <vertAlign val="subscript"/>
        <sz val="7"/>
        <color theme="1"/>
        <rFont val="Comic Sans MS"/>
        <family val="4"/>
      </rPr>
      <t>2</t>
    </r>
    <r>
      <rPr>
        <b/>
        <sz val="7"/>
        <color theme="1"/>
        <rFont val="Comic Sans MS"/>
        <family val="4"/>
      </rPr>
      <t>E)</t>
    </r>
  </si>
  <si>
    <r>
      <rPr>
        <b/>
        <sz val="11"/>
        <color theme="1"/>
        <rFont val="Calibri"/>
        <family val="2"/>
      </rPr>
      <t>(MMTCO</t>
    </r>
    <r>
      <rPr>
        <b/>
        <vertAlign val="subscript"/>
        <sz val="7"/>
        <color theme="1"/>
        <rFont val="Comic Sans MS"/>
        <family val="4"/>
      </rPr>
      <t>2</t>
    </r>
    <r>
      <rPr>
        <b/>
        <sz val="7"/>
        <color theme="1"/>
        <rFont val="Comic Sans MS"/>
        <family val="4"/>
      </rPr>
      <t>E)</t>
    </r>
  </si>
  <si>
    <t>- Default state-level data derived from EIA's State Energy Consumption, Price, and Expenditure Estimates (SEDS) 2011: Consumption Estimates (EIA 2013)  http://www.eia.gov/state/seds/seds-data-complete.cfm?sid=US.</t>
  </si>
  <si>
    <t>Industrial Consumption and CO2 Emissions in Maryland</t>
  </si>
  <si>
    <r>
      <rPr>
        <sz val="11"/>
        <color rgb="FF000000"/>
        <rFont val="Calibri"/>
        <family val="2"/>
      </rPr>
      <t>Industrial Sector CO</t>
    </r>
    <r>
      <rPr>
        <vertAlign val="subscript"/>
        <sz val="14"/>
        <color rgb="FF000000"/>
        <rFont val="Comic Sans MS"/>
        <family val="4"/>
      </rPr>
      <t>2</t>
    </r>
  </si>
  <si>
    <r>
      <rPr>
        <b/>
        <sz val="11"/>
        <color theme="1"/>
        <rFont val="Calibri"/>
        <family val="2"/>
      </rPr>
      <t>(MMTCO</t>
    </r>
    <r>
      <rPr>
        <b/>
        <vertAlign val="subscript"/>
        <sz val="7"/>
        <color theme="1"/>
        <rFont val="Comic Sans MS"/>
        <family val="4"/>
      </rPr>
      <t>2</t>
    </r>
    <r>
      <rPr>
        <b/>
        <sz val="7"/>
        <color theme="1"/>
        <rFont val="Comic Sans MS"/>
        <family val="4"/>
      </rPr>
      <t>E)</t>
    </r>
  </si>
  <si>
    <t>Coking Coal</t>
  </si>
  <si>
    <t>Other Coal</t>
  </si>
  <si>
    <t>Asphalt and Road Oil</t>
  </si>
  <si>
    <t>Aviation Gasoline Blending Components</t>
  </si>
  <si>
    <t>Crude Oil</t>
  </si>
  <si>
    <t>Feedstocks, Naphtha less than 401 F</t>
  </si>
  <si>
    <t>Feedstocks, Other Oils greater than 401 F</t>
  </si>
  <si>
    <t>Motor Gasoline Blending Components</t>
  </si>
  <si>
    <t>Misc. Petro Products</t>
  </si>
  <si>
    <t>Petroleum Coke</t>
  </si>
  <si>
    <t>Pentanes Plus</t>
  </si>
  <si>
    <t>Still Gas</t>
  </si>
  <si>
    <t>Special Naphthas</t>
  </si>
  <si>
    <t>Unfinished Oils</t>
  </si>
  <si>
    <t>Waxes</t>
  </si>
  <si>
    <r>
      <rPr>
        <sz val="11"/>
        <color theme="1"/>
        <rFont val="Calibri"/>
        <family val="2"/>
      </rPr>
      <t>Industrial Sector N</t>
    </r>
    <r>
      <rPr>
        <vertAlign val="subscript"/>
        <sz val="14"/>
        <color theme="1"/>
        <rFont val="Comic Sans MS"/>
        <family val="4"/>
      </rPr>
      <t>2</t>
    </r>
    <r>
      <rPr>
        <sz val="14"/>
        <color theme="1"/>
        <rFont val="Comic Sans MS"/>
        <family val="4"/>
      </rPr>
      <t>O</t>
    </r>
  </si>
  <si>
    <r>
      <rPr>
        <b/>
        <sz val="11"/>
        <color theme="1"/>
        <rFont val="Calibri"/>
        <family val="2"/>
      </rPr>
      <t>(metric tons N</t>
    </r>
    <r>
      <rPr>
        <b/>
        <vertAlign val="subscript"/>
        <sz val="7"/>
        <color theme="1"/>
        <rFont val="Comic Sans MS"/>
        <family val="4"/>
      </rPr>
      <t>2</t>
    </r>
    <r>
      <rPr>
        <b/>
        <sz val="7"/>
        <color theme="1"/>
        <rFont val="Comic Sans MS"/>
        <family val="4"/>
      </rPr>
      <t>O/BBtu)</t>
    </r>
  </si>
  <si>
    <r>
      <rPr>
        <b/>
        <sz val="11"/>
        <color theme="1"/>
        <rFont val="Calibri"/>
        <family val="2"/>
      </rPr>
      <t>(metric tons N</t>
    </r>
    <r>
      <rPr>
        <b/>
        <vertAlign val="subscript"/>
        <sz val="7"/>
        <color theme="1"/>
        <rFont val="Comic Sans MS"/>
        <family val="4"/>
      </rPr>
      <t>2</t>
    </r>
    <r>
      <rPr>
        <b/>
        <sz val="7"/>
        <color theme="1"/>
        <rFont val="Comic Sans MS"/>
        <family val="4"/>
      </rPr>
      <t>O)</t>
    </r>
  </si>
  <si>
    <r>
      <rPr>
        <b/>
        <sz val="11"/>
        <color theme="1"/>
        <rFont val="Calibri"/>
        <family val="2"/>
      </rPr>
      <t>(MMTCO</t>
    </r>
    <r>
      <rPr>
        <b/>
        <vertAlign val="subscript"/>
        <sz val="7"/>
        <color theme="1"/>
        <rFont val="Comic Sans MS"/>
        <family val="4"/>
      </rPr>
      <t>2</t>
    </r>
    <r>
      <rPr>
        <b/>
        <sz val="7"/>
        <color theme="1"/>
        <rFont val="Comic Sans MS"/>
        <family val="4"/>
      </rPr>
      <t>E)</t>
    </r>
  </si>
  <si>
    <t>NA</t>
  </si>
  <si>
    <r>
      <rPr>
        <sz val="11"/>
        <color rgb="FF000000"/>
        <rFont val="Calibri"/>
        <family val="2"/>
      </rPr>
      <t>Industrial Sector CH</t>
    </r>
    <r>
      <rPr>
        <vertAlign val="subscript"/>
        <sz val="14"/>
        <color rgb="FF000000"/>
        <rFont val="Comic Sans MS"/>
        <family val="4"/>
      </rPr>
      <t>4</t>
    </r>
  </si>
  <si>
    <t>(metric tons CH4)</t>
  </si>
  <si>
    <t>Industrial Sector GHG</t>
  </si>
  <si>
    <r>
      <rPr>
        <b/>
        <sz val="11"/>
        <color rgb="FF000000"/>
        <rFont val="Calibri"/>
        <family val="2"/>
      </rPr>
      <t>CO</t>
    </r>
    <r>
      <rPr>
        <b/>
        <vertAlign val="subscript"/>
        <sz val="8"/>
        <color rgb="FF000000"/>
        <rFont val="Arial"/>
        <family val="2"/>
      </rPr>
      <t>2</t>
    </r>
  </si>
  <si>
    <r>
      <rPr>
        <b/>
        <sz val="11"/>
        <color rgb="FF000000"/>
        <rFont val="Calibri"/>
        <family val="2"/>
      </rPr>
      <t>CH</t>
    </r>
    <r>
      <rPr>
        <b/>
        <vertAlign val="subscript"/>
        <sz val="8"/>
        <color rgb="FF000000"/>
        <rFont val="Arial"/>
        <family val="2"/>
      </rPr>
      <t>4</t>
    </r>
  </si>
  <si>
    <r>
      <rPr>
        <b/>
        <sz val="11"/>
        <color rgb="FF000000"/>
        <rFont val="Calibri"/>
        <family val="2"/>
      </rPr>
      <t>N</t>
    </r>
    <r>
      <rPr>
        <b/>
        <vertAlign val="subscript"/>
        <sz val="8"/>
        <color rgb="FF000000"/>
        <rFont val="Arial"/>
        <family val="2"/>
      </rPr>
      <t>2</t>
    </r>
    <r>
      <rPr>
        <b/>
        <sz val="8"/>
        <color rgb="FF000000"/>
        <rFont val="Arial"/>
        <family val="2"/>
      </rPr>
      <t>O</t>
    </r>
  </si>
  <si>
    <r>
      <rPr>
        <b/>
        <sz val="11"/>
        <color theme="1"/>
        <rFont val="Calibri"/>
        <family val="2"/>
      </rPr>
      <t>(MMTCO</t>
    </r>
    <r>
      <rPr>
        <b/>
        <vertAlign val="subscript"/>
        <sz val="7"/>
        <color theme="1"/>
        <rFont val="Comic Sans MS"/>
        <family val="4"/>
      </rPr>
      <t>2</t>
    </r>
    <r>
      <rPr>
        <b/>
        <sz val="7"/>
        <color theme="1"/>
        <rFont val="Comic Sans MS"/>
        <family val="4"/>
      </rPr>
      <t>E)</t>
    </r>
  </si>
  <si>
    <r>
      <rPr>
        <b/>
        <sz val="11"/>
        <color theme="1"/>
        <rFont val="Calibri"/>
        <family val="2"/>
      </rPr>
      <t>(MMTCO</t>
    </r>
    <r>
      <rPr>
        <b/>
        <vertAlign val="subscript"/>
        <sz val="7"/>
        <color theme="1"/>
        <rFont val="Comic Sans MS"/>
        <family val="4"/>
      </rPr>
      <t>2</t>
    </r>
    <r>
      <rPr>
        <b/>
        <sz val="7"/>
        <color theme="1"/>
        <rFont val="Comic Sans MS"/>
        <family val="4"/>
      </rPr>
      <t>E)</t>
    </r>
  </si>
  <si>
    <r>
      <rPr>
        <b/>
        <sz val="11"/>
        <color theme="1"/>
        <rFont val="Calibri"/>
        <family val="2"/>
      </rPr>
      <t>(MMTCO</t>
    </r>
    <r>
      <rPr>
        <b/>
        <vertAlign val="subscript"/>
        <sz val="7"/>
        <color theme="1"/>
        <rFont val="Comic Sans MS"/>
        <family val="4"/>
      </rPr>
      <t>2</t>
    </r>
    <r>
      <rPr>
        <b/>
        <sz val="7"/>
        <color theme="1"/>
        <rFont val="Comic Sans MS"/>
        <family val="4"/>
      </rPr>
      <t>E)</t>
    </r>
  </si>
  <si>
    <r>
      <rPr>
        <b/>
        <sz val="11"/>
        <color theme="1"/>
        <rFont val="Calibri"/>
        <family val="2"/>
      </rPr>
      <t>(MMTCO</t>
    </r>
    <r>
      <rPr>
        <b/>
        <vertAlign val="subscript"/>
        <sz val="7"/>
        <color theme="1"/>
        <rFont val="Comic Sans MS"/>
        <family val="4"/>
      </rPr>
      <t>2</t>
    </r>
    <r>
      <rPr>
        <b/>
        <sz val="7"/>
        <color theme="1"/>
        <rFont val="Comic Sans MS"/>
        <family val="4"/>
      </rPr>
      <t>E)</t>
    </r>
  </si>
  <si>
    <r>
      <rPr>
        <b/>
        <sz val="11"/>
        <color theme="1"/>
        <rFont val="Calibri"/>
        <family val="2"/>
      </rPr>
      <t>Limestone &amp; Dolomite; Soda Ash; Ammonia &amp; Urea; ODS; Electric Power T&amp;D Summary (MTCO</t>
    </r>
    <r>
      <rPr>
        <b/>
        <vertAlign val="subscript"/>
        <sz val="14"/>
        <color theme="1"/>
        <rFont val="Comic Sans MS"/>
        <family val="4"/>
      </rPr>
      <t>2</t>
    </r>
    <r>
      <rPr>
        <b/>
        <sz val="11"/>
        <color theme="1"/>
        <rFont val="Calibri"/>
        <family val="2"/>
      </rPr>
      <t>E</t>
    </r>
    <r>
      <rPr>
        <b/>
        <sz val="14"/>
        <color theme="1"/>
        <rFont val="Comic Sans MS"/>
        <family val="4"/>
      </rPr>
      <t>)</t>
    </r>
  </si>
  <si>
    <t>Limestone and Dolomite Use</t>
  </si>
  <si>
    <t>Consumption
(Metric Tons)</t>
  </si>
  <si>
    <r>
      <rPr>
        <b/>
        <sz val="11"/>
        <color theme="1"/>
        <rFont val="Calibri"/>
        <family val="2"/>
      </rPr>
      <t>Emission Factor
(t CO</t>
    </r>
    <r>
      <rPr>
        <b/>
        <vertAlign val="subscript"/>
        <sz val="9"/>
        <color theme="1"/>
        <rFont val="Calibri"/>
        <family val="2"/>
      </rPr>
      <t>2</t>
    </r>
    <r>
      <rPr>
        <b/>
        <sz val="9"/>
        <color theme="1"/>
        <rFont val="Calibri"/>
        <family val="2"/>
      </rPr>
      <t>/t production)</t>
    </r>
  </si>
  <si>
    <t>Emissions
(MTCE)</t>
  </si>
  <si>
    <r>
      <rPr>
        <b/>
        <sz val="11"/>
        <color theme="1"/>
        <rFont val="Calibri"/>
        <family val="2"/>
      </rPr>
      <t>Emissions
(MTCO</t>
    </r>
    <r>
      <rPr>
        <b/>
        <vertAlign val="subscript"/>
        <sz val="9"/>
        <color theme="1"/>
        <rFont val="Calibri"/>
        <family val="2"/>
      </rPr>
      <t>2</t>
    </r>
    <r>
      <rPr>
        <b/>
        <sz val="9"/>
        <color theme="1"/>
        <rFont val="Calibri"/>
        <family val="2"/>
      </rPr>
      <t>E)</t>
    </r>
  </si>
  <si>
    <t>Limestone</t>
  </si>
  <si>
    <t>Dolomite</t>
  </si>
  <si>
    <t>Magesium Production from Dolomite</t>
  </si>
  <si>
    <t>Soda Ash Use</t>
  </si>
  <si>
    <t>Manufacture and Consumption
(Metric tons)</t>
  </si>
  <si>
    <r>
      <rPr>
        <b/>
        <sz val="11"/>
        <color theme="1"/>
        <rFont val="Calibri"/>
        <family val="2"/>
      </rPr>
      <t>Emission Factor
(t CO</t>
    </r>
    <r>
      <rPr>
        <b/>
        <vertAlign val="subscript"/>
        <sz val="9"/>
        <color theme="1"/>
        <rFont val="Calibri"/>
        <family val="2"/>
      </rPr>
      <t>2</t>
    </r>
    <r>
      <rPr>
        <b/>
        <sz val="9"/>
        <color theme="1"/>
        <rFont val="Calibri"/>
        <family val="2"/>
      </rPr>
      <t>/t production)</t>
    </r>
  </si>
  <si>
    <r>
      <rPr>
        <b/>
        <sz val="11"/>
        <color theme="1"/>
        <rFont val="Calibri"/>
        <family val="2"/>
      </rPr>
      <t>Emissions
(MTCO</t>
    </r>
    <r>
      <rPr>
        <b/>
        <vertAlign val="subscript"/>
        <sz val="9"/>
        <color theme="1"/>
        <rFont val="Calibri"/>
        <family val="2"/>
      </rPr>
      <t>2</t>
    </r>
    <r>
      <rPr>
        <b/>
        <sz val="9"/>
        <color theme="1"/>
        <rFont val="Calibri"/>
        <family val="2"/>
      </rPr>
      <t>E)</t>
    </r>
  </si>
  <si>
    <t>Manufacture</t>
  </si>
  <si>
    <t>Ammonia Production and Urea Consumption</t>
  </si>
  <si>
    <t>Production &amp; Consumption
(Metric Tons)</t>
  </si>
  <si>
    <r>
      <rPr>
        <b/>
        <sz val="11"/>
        <color theme="1"/>
        <rFont val="Calibri"/>
        <family val="2"/>
      </rPr>
      <t>Emission Factor
(mt CO</t>
    </r>
    <r>
      <rPr>
        <b/>
        <vertAlign val="subscript"/>
        <sz val="9"/>
        <color theme="1"/>
        <rFont val="Calibri"/>
        <family val="2"/>
      </rPr>
      <t>2</t>
    </r>
    <r>
      <rPr>
        <b/>
        <sz val="9"/>
        <color theme="1"/>
        <rFont val="Calibri"/>
        <family val="2"/>
      </rPr>
      <t>/mt activity)</t>
    </r>
  </si>
  <si>
    <t>Subract emissions from Urea</t>
  </si>
  <si>
    <r>
      <rPr>
        <b/>
        <sz val="11"/>
        <color theme="1"/>
        <rFont val="Calibri"/>
        <family val="2"/>
      </rPr>
      <t>Emissions
(MTCO</t>
    </r>
    <r>
      <rPr>
        <b/>
        <vertAlign val="subscript"/>
        <sz val="9"/>
        <color theme="1"/>
        <rFont val="Calibri"/>
        <family val="2"/>
      </rPr>
      <t>2</t>
    </r>
    <r>
      <rPr>
        <b/>
        <sz val="9"/>
        <color theme="1"/>
        <rFont val="Calibri"/>
        <family val="2"/>
      </rPr>
      <t>E)</t>
    </r>
  </si>
  <si>
    <t xml:space="preserve">Ammonia Production </t>
  </si>
  <si>
    <t>Urea Consumption</t>
  </si>
  <si>
    <t xml:space="preserve">   =</t>
  </si>
  <si>
    <t>Ozone Depleting Substances (ODS) Substitutes</t>
  </si>
  <si>
    <r>
      <rPr>
        <b/>
        <sz val="11"/>
        <color theme="1"/>
        <rFont val="Calibri"/>
        <family val="2"/>
      </rPr>
      <t xml:space="preserve"> National Emissions
(Metric Tons CO</t>
    </r>
    <r>
      <rPr>
        <b/>
        <vertAlign val="subscript"/>
        <sz val="9"/>
        <color theme="1"/>
        <rFont val="Calibri"/>
        <family val="2"/>
      </rPr>
      <t>2</t>
    </r>
    <r>
      <rPr>
        <b/>
        <sz val="9"/>
        <color theme="1"/>
        <rFont val="Calibri"/>
        <family val="2"/>
      </rPr>
      <t xml:space="preserve"> Eq.)</t>
    </r>
  </si>
  <si>
    <t>State Population</t>
  </si>
  <si>
    <t>National Population</t>
  </si>
  <si>
    <t>Apportioned National Emissions
(MTCE)</t>
  </si>
  <si>
    <r>
      <rPr>
        <b/>
        <sz val="11"/>
        <color theme="1"/>
        <rFont val="Calibri"/>
        <family val="2"/>
      </rPr>
      <t>Apportioned National Emissions
(MTCO</t>
    </r>
    <r>
      <rPr>
        <b/>
        <vertAlign val="subscript"/>
        <sz val="9"/>
        <color theme="1"/>
        <rFont val="Calibri"/>
        <family val="2"/>
      </rPr>
      <t>2</t>
    </r>
    <r>
      <rPr>
        <b/>
        <sz val="9"/>
        <color theme="1"/>
        <rFont val="Calibri"/>
        <family val="2"/>
      </rPr>
      <t>E)</t>
    </r>
  </si>
  <si>
    <t>/</t>
  </si>
  <si>
    <t>Electric Power Transmission &amp; Distribution (T&amp;D)</t>
  </si>
  <si>
    <r>
      <rPr>
        <b/>
        <sz val="11"/>
        <color theme="1"/>
        <rFont val="Calibri"/>
        <family val="2"/>
      </rPr>
      <t>SF</t>
    </r>
    <r>
      <rPr>
        <b/>
        <vertAlign val="subscript"/>
        <sz val="9"/>
        <color theme="1"/>
        <rFont val="Calibri"/>
        <family val="2"/>
      </rPr>
      <t>6</t>
    </r>
    <r>
      <rPr>
        <b/>
        <sz val="9"/>
        <color theme="1"/>
        <rFont val="Calibri"/>
        <family val="2"/>
      </rPr>
      <t xml:space="preserve"> Consumption
(Metric Tons)</t>
    </r>
  </si>
  <si>
    <r>
      <rPr>
        <b/>
        <sz val="11"/>
        <color theme="1"/>
        <rFont val="Calibri"/>
        <family val="2"/>
      </rPr>
      <t>Emission Factor
(t SF</t>
    </r>
    <r>
      <rPr>
        <b/>
        <vertAlign val="subscript"/>
        <sz val="9"/>
        <color theme="1"/>
        <rFont val="Calibri"/>
        <family val="2"/>
      </rPr>
      <t>6</t>
    </r>
    <r>
      <rPr>
        <b/>
        <sz val="9"/>
        <color theme="1"/>
        <rFont val="Calibri"/>
        <family val="2"/>
      </rPr>
      <t>/t Consumption)</t>
    </r>
  </si>
  <si>
    <r>
      <rPr>
        <b/>
        <sz val="11"/>
        <color theme="1"/>
        <rFont val="Calibri"/>
        <family val="2"/>
      </rPr>
      <t>Emissions
(Metric Tons SF</t>
    </r>
    <r>
      <rPr>
        <b/>
        <vertAlign val="subscript"/>
        <sz val="9"/>
        <color theme="1"/>
        <rFont val="Calibri"/>
        <family val="2"/>
      </rPr>
      <t>6</t>
    </r>
    <r>
      <rPr>
        <b/>
        <sz val="9"/>
        <color theme="1"/>
        <rFont val="Calibri"/>
        <family val="2"/>
      </rPr>
      <t>)</t>
    </r>
  </si>
  <si>
    <r>
      <rPr>
        <b/>
        <sz val="11"/>
        <color theme="1"/>
        <rFont val="Calibri"/>
        <family val="2"/>
      </rPr>
      <t>Emissions
(MTCO</t>
    </r>
    <r>
      <rPr>
        <b/>
        <vertAlign val="subscript"/>
        <sz val="9"/>
        <color theme="1"/>
        <rFont val="Calibri"/>
        <family val="2"/>
      </rPr>
      <t>2</t>
    </r>
    <r>
      <rPr>
        <b/>
        <sz val="9"/>
        <color theme="1"/>
        <rFont val="Calibri"/>
        <family val="2"/>
      </rPr>
      <t>E)</t>
    </r>
  </si>
  <si>
    <t>Aluminum Production (EastAlCo Shut Down)</t>
  </si>
  <si>
    <t>Production
(Metric Tons)</t>
  </si>
  <si>
    <t>Emission Factor
(t CE/t Production)</t>
  </si>
  <si>
    <r>
      <rPr>
        <b/>
        <sz val="11"/>
        <color theme="1"/>
        <rFont val="Calibri"/>
        <family val="2"/>
      </rPr>
      <t>Emissions
(MTCO</t>
    </r>
    <r>
      <rPr>
        <b/>
        <vertAlign val="subscript"/>
        <sz val="9"/>
        <color theme="1"/>
        <rFont val="Calibri"/>
        <family val="2"/>
      </rPr>
      <t>2</t>
    </r>
    <r>
      <rPr>
        <b/>
        <sz val="9"/>
        <color theme="1"/>
        <rFont val="Calibri"/>
        <family val="2"/>
      </rPr>
      <t>E)</t>
    </r>
  </si>
  <si>
    <t>Carbon Dioxide Emissions</t>
  </si>
  <si>
    <t>Cement Manufacture</t>
  </si>
  <si>
    <t>Lime Manufacture</t>
  </si>
  <si>
    <t>Soda Ash</t>
  </si>
  <si>
    <t>Ammonia &amp; Urea</t>
  </si>
  <si>
    <t>Iron &amp; Steel Production</t>
  </si>
  <si>
    <t>Nitrous Oxide Emissions</t>
  </si>
  <si>
    <t>Nitric Acid Production</t>
  </si>
  <si>
    <t>Adipic Acid Production</t>
  </si>
  <si>
    <t>HFC, PFC, and SF6 Emissions</t>
  </si>
  <si>
    <t>ODS Substitutes</t>
  </si>
  <si>
    <t>Semiconductor Manufacturing</t>
  </si>
  <si>
    <t>Magnesium Production</t>
  </si>
  <si>
    <t>Electric Power Transmission and Distribution Systems</t>
  </si>
  <si>
    <t>HCFC-22 Production</t>
  </si>
  <si>
    <t>Aluminum Production</t>
  </si>
  <si>
    <t>Total Emissions</t>
  </si>
  <si>
    <t>Cement Industry Production Emissions</t>
  </si>
  <si>
    <t>EPA- Mandatory GHG Rule Reporting Methodology used in Emission Certification Reports.</t>
  </si>
  <si>
    <t>% Biomass</t>
  </si>
  <si>
    <r>
      <rPr>
        <b/>
        <sz val="11"/>
        <color theme="1"/>
        <rFont val="Calibri"/>
        <family val="2"/>
      </rPr>
      <t>CO</t>
    </r>
    <r>
      <rPr>
        <b/>
        <vertAlign val="subscript"/>
        <sz val="8"/>
        <color theme="1"/>
        <rFont val="Arial"/>
        <family val="2"/>
      </rPr>
      <t>2</t>
    </r>
    <r>
      <rPr>
        <b/>
        <sz val="8"/>
        <color theme="1"/>
        <rFont val="Arial"/>
        <family val="2"/>
      </rPr>
      <t xml:space="preserve"> Emissions (metric tons)</t>
    </r>
  </si>
  <si>
    <r>
      <rPr>
        <b/>
        <sz val="11"/>
        <color theme="1"/>
        <rFont val="Calibri"/>
        <family val="2"/>
      </rPr>
      <t>CH</t>
    </r>
    <r>
      <rPr>
        <b/>
        <vertAlign val="subscript"/>
        <sz val="8"/>
        <color theme="1"/>
        <rFont val="Arial"/>
        <family val="2"/>
      </rPr>
      <t>4</t>
    </r>
    <r>
      <rPr>
        <b/>
        <sz val="8"/>
        <color theme="1"/>
        <rFont val="Arial"/>
        <family val="2"/>
      </rPr>
      <t xml:space="preserve"> Emissions (metric tons CH</t>
    </r>
    <r>
      <rPr>
        <b/>
        <vertAlign val="subscript"/>
        <sz val="8"/>
        <color theme="1"/>
        <rFont val="Arial"/>
        <family val="2"/>
      </rPr>
      <t>4</t>
    </r>
    <r>
      <rPr>
        <b/>
        <sz val="8"/>
        <color theme="1"/>
        <rFont val="Arial"/>
        <family val="2"/>
      </rPr>
      <t>)</t>
    </r>
  </si>
  <si>
    <r>
      <rPr>
        <b/>
        <sz val="11"/>
        <color theme="1"/>
        <rFont val="Calibri"/>
        <family val="2"/>
      </rPr>
      <t>N</t>
    </r>
    <r>
      <rPr>
        <b/>
        <vertAlign val="subscript"/>
        <sz val="8"/>
        <color theme="1"/>
        <rFont val="Arial"/>
        <family val="2"/>
      </rPr>
      <t>2</t>
    </r>
    <r>
      <rPr>
        <b/>
        <sz val="8"/>
        <color theme="1"/>
        <rFont val="Arial"/>
        <family val="2"/>
      </rPr>
      <t>O Emissions (metric tons CH</t>
    </r>
    <r>
      <rPr>
        <b/>
        <vertAlign val="subscript"/>
        <sz val="8"/>
        <color theme="1"/>
        <rFont val="Arial"/>
        <family val="2"/>
      </rPr>
      <t>4</t>
    </r>
    <r>
      <rPr>
        <b/>
        <sz val="8"/>
        <color theme="1"/>
        <rFont val="Arial"/>
        <family val="2"/>
      </rPr>
      <t>)</t>
    </r>
  </si>
  <si>
    <t>(A)</t>
  </si>
  <si>
    <t xml:space="preserve"> Lehigh Kiln System </t>
  </si>
  <si>
    <t xml:space="preserve"> -Coal</t>
  </si>
  <si>
    <t>metric  tons</t>
  </si>
  <si>
    <t xml:space="preserve"> - DBS (Preheater/Precalciner Kiln)</t>
  </si>
  <si>
    <t xml:space="preserve"> - #2 Oil</t>
  </si>
  <si>
    <t>Gallons</t>
  </si>
  <si>
    <t xml:space="preserve"> - Fly Ash</t>
  </si>
  <si>
    <t>metric tons</t>
  </si>
  <si>
    <t>Kiln Fossil Fuel Combustion (Calculation)</t>
  </si>
  <si>
    <r>
      <rPr>
        <b/>
        <sz val="11"/>
        <color theme="1"/>
        <rFont val="Calibri"/>
        <family val="2"/>
      </rPr>
      <t>Kiln System Total CO</t>
    </r>
    <r>
      <rPr>
        <b/>
        <vertAlign val="subscript"/>
        <sz val="8"/>
        <color theme="1"/>
        <rFont val="Arial"/>
        <family val="2"/>
      </rPr>
      <t>2</t>
    </r>
    <r>
      <rPr>
        <b/>
        <sz val="8"/>
        <color theme="1"/>
        <rFont val="Arial"/>
        <family val="2"/>
      </rPr>
      <t xml:space="preserve"> (CEM Measured)</t>
    </r>
  </si>
  <si>
    <r>
      <rPr>
        <b/>
        <sz val="11"/>
        <color theme="1"/>
        <rFont val="Calibri"/>
        <family val="2"/>
      </rPr>
      <t>Cement Production-Process CO</t>
    </r>
    <r>
      <rPr>
        <b/>
        <vertAlign val="subscript"/>
        <sz val="8"/>
        <color theme="1"/>
        <rFont val="Arial"/>
        <family val="2"/>
      </rPr>
      <t xml:space="preserve">2 </t>
    </r>
    <r>
      <rPr>
        <b/>
        <sz val="8"/>
        <color theme="1"/>
        <rFont val="Arial"/>
        <family val="2"/>
      </rPr>
      <t>(metric tons)</t>
    </r>
    <r>
      <rPr>
        <b/>
        <vertAlign val="subscript"/>
        <sz val="8"/>
        <color theme="1"/>
        <rFont val="Arial"/>
        <family val="2"/>
      </rPr>
      <t xml:space="preserve">  </t>
    </r>
    <r>
      <rPr>
        <b/>
        <sz val="8"/>
        <color theme="1"/>
        <rFont val="Arial"/>
        <family val="2"/>
      </rPr>
      <t>= Kiln System Total CO</t>
    </r>
    <r>
      <rPr>
        <b/>
        <vertAlign val="subscript"/>
        <sz val="8"/>
        <color theme="1"/>
        <rFont val="Arial"/>
        <family val="2"/>
      </rPr>
      <t>2</t>
    </r>
    <r>
      <rPr>
        <b/>
        <sz val="8"/>
        <color theme="1"/>
        <rFont val="Arial"/>
        <family val="2"/>
      </rPr>
      <t xml:space="preserve"> - Kiln Fossil Fuel Combustion CO</t>
    </r>
    <r>
      <rPr>
        <b/>
        <vertAlign val="subscript"/>
        <sz val="8"/>
        <color theme="1"/>
        <rFont val="Arial"/>
        <family val="2"/>
      </rPr>
      <t>2</t>
    </r>
  </si>
  <si>
    <t>Non Kiln</t>
  </si>
  <si>
    <t xml:space="preserve"> Finish Mill (#2 Oil)</t>
  </si>
  <si>
    <r>
      <rPr>
        <b/>
        <sz val="11"/>
        <color theme="1"/>
        <rFont val="Calibri"/>
        <family val="2"/>
      </rPr>
      <t>Total Facility CO</t>
    </r>
    <r>
      <rPr>
        <b/>
        <vertAlign val="subscript"/>
        <sz val="8"/>
        <color theme="1"/>
        <rFont val="Arial"/>
        <family val="2"/>
      </rPr>
      <t>2</t>
    </r>
    <r>
      <rPr>
        <b/>
        <sz val="8"/>
        <color theme="1"/>
        <rFont val="Arial"/>
        <family val="2"/>
      </rPr>
      <t>= Kiln System CO</t>
    </r>
    <r>
      <rPr>
        <b/>
        <vertAlign val="subscript"/>
        <sz val="8"/>
        <color theme="1"/>
        <rFont val="Arial"/>
        <family val="2"/>
      </rPr>
      <t>2</t>
    </r>
    <r>
      <rPr>
        <b/>
        <sz val="8"/>
        <color theme="1"/>
        <rFont val="Arial"/>
        <family val="2"/>
      </rPr>
      <t xml:space="preserve"> + Non-Kiln CO</t>
    </r>
    <r>
      <rPr>
        <b/>
        <vertAlign val="subscript"/>
        <sz val="8"/>
        <color theme="1"/>
        <rFont val="Arial"/>
        <family val="2"/>
      </rPr>
      <t>2</t>
    </r>
  </si>
  <si>
    <t>Emissions (short tons)</t>
  </si>
  <si>
    <t>Kiln Fossil Fuel Combustion (short tons)</t>
  </si>
  <si>
    <r>
      <rPr>
        <b/>
        <sz val="11"/>
        <color theme="1"/>
        <rFont val="Calibri"/>
        <family val="2"/>
      </rPr>
      <t>Kiln System Total CO</t>
    </r>
    <r>
      <rPr>
        <b/>
        <vertAlign val="subscript"/>
        <sz val="8"/>
        <color theme="1"/>
        <rFont val="Arial"/>
        <family val="2"/>
      </rPr>
      <t>2</t>
    </r>
    <r>
      <rPr>
        <b/>
        <sz val="8"/>
        <color theme="1"/>
        <rFont val="Arial"/>
        <family val="2"/>
      </rPr>
      <t xml:space="preserve"> (CEM Measured) (short tons)</t>
    </r>
  </si>
  <si>
    <r>
      <rPr>
        <b/>
        <sz val="11"/>
        <color theme="1"/>
        <rFont val="Calibri"/>
        <family val="2"/>
      </rPr>
      <t>Cement Production-Process CO</t>
    </r>
    <r>
      <rPr>
        <b/>
        <vertAlign val="subscript"/>
        <sz val="8"/>
        <color theme="1"/>
        <rFont val="Arial"/>
        <family val="2"/>
      </rPr>
      <t xml:space="preserve">2 </t>
    </r>
    <r>
      <rPr>
        <b/>
        <sz val="8"/>
        <color theme="1"/>
        <rFont val="Arial"/>
        <family val="2"/>
      </rPr>
      <t>(short tons)</t>
    </r>
    <r>
      <rPr>
        <b/>
        <vertAlign val="subscript"/>
        <sz val="8"/>
        <color theme="1"/>
        <rFont val="Arial"/>
        <family val="2"/>
      </rPr>
      <t xml:space="preserve">  </t>
    </r>
    <r>
      <rPr>
        <b/>
        <sz val="8"/>
        <color theme="1"/>
        <rFont val="Arial"/>
        <family val="2"/>
      </rPr>
      <t>= Kiln System Total CO</t>
    </r>
    <r>
      <rPr>
        <b/>
        <vertAlign val="subscript"/>
        <sz val="8"/>
        <color theme="1"/>
        <rFont val="Arial"/>
        <family val="2"/>
      </rPr>
      <t>2</t>
    </r>
    <r>
      <rPr>
        <b/>
        <sz val="8"/>
        <color theme="1"/>
        <rFont val="Arial"/>
        <family val="2"/>
      </rPr>
      <t xml:space="preserve"> - Kiln Fossil Fuel Combustion CO</t>
    </r>
    <r>
      <rPr>
        <b/>
        <vertAlign val="subscript"/>
        <sz val="8"/>
        <color theme="1"/>
        <rFont val="Arial"/>
        <family val="2"/>
      </rPr>
      <t>2</t>
    </r>
  </si>
  <si>
    <r>
      <rPr>
        <b/>
        <sz val="11"/>
        <color theme="1"/>
        <rFont val="Calibri"/>
        <family val="2"/>
      </rPr>
      <t>Total Facility CO</t>
    </r>
    <r>
      <rPr>
        <b/>
        <vertAlign val="subscript"/>
        <sz val="8"/>
        <color theme="1"/>
        <rFont val="Arial"/>
        <family val="2"/>
      </rPr>
      <t>2</t>
    </r>
    <r>
      <rPr>
        <b/>
        <sz val="8"/>
        <color theme="1"/>
        <rFont val="Arial"/>
        <family val="2"/>
      </rPr>
      <t xml:space="preserve"> (short tons)</t>
    </r>
    <r>
      <rPr>
        <b/>
        <vertAlign val="subscript"/>
        <sz val="8"/>
        <color theme="1"/>
        <rFont val="Arial"/>
        <family val="2"/>
      </rPr>
      <t xml:space="preserve"> </t>
    </r>
    <r>
      <rPr>
        <b/>
        <sz val="8"/>
        <color theme="1"/>
        <rFont val="Arial"/>
        <family val="2"/>
      </rPr>
      <t>= Kiln System CO</t>
    </r>
    <r>
      <rPr>
        <b/>
        <vertAlign val="subscript"/>
        <sz val="8"/>
        <color theme="1"/>
        <rFont val="Arial"/>
        <family val="2"/>
      </rPr>
      <t>2</t>
    </r>
    <r>
      <rPr>
        <b/>
        <sz val="8"/>
        <color theme="1"/>
        <rFont val="Arial"/>
        <family val="2"/>
      </rPr>
      <t xml:space="preserve"> + Non-Kiln CO</t>
    </r>
    <r>
      <rPr>
        <b/>
        <vertAlign val="subscript"/>
        <sz val="8"/>
        <color theme="1"/>
        <rFont val="Arial"/>
        <family val="2"/>
      </rPr>
      <t>2</t>
    </r>
  </si>
  <si>
    <t>(B)</t>
  </si>
  <si>
    <t>Holcim Kiln 2011</t>
  </si>
  <si>
    <r>
      <rPr>
        <b/>
        <sz val="11"/>
        <color theme="1"/>
        <rFont val="Calibri"/>
        <family val="2"/>
      </rPr>
      <t>CO</t>
    </r>
    <r>
      <rPr>
        <b/>
        <vertAlign val="subscript"/>
        <sz val="8"/>
        <color theme="1"/>
        <rFont val="Arial"/>
        <family val="2"/>
      </rPr>
      <t>2</t>
    </r>
    <r>
      <rPr>
        <b/>
        <sz val="8"/>
        <color theme="1"/>
        <rFont val="Arial"/>
        <family val="2"/>
      </rPr>
      <t xml:space="preserve"> Emissions (metric tons)</t>
    </r>
  </si>
  <si>
    <r>
      <rPr>
        <b/>
        <sz val="11"/>
        <color theme="1"/>
        <rFont val="Calibri"/>
        <family val="2"/>
      </rPr>
      <t>CH</t>
    </r>
    <r>
      <rPr>
        <b/>
        <vertAlign val="subscript"/>
        <sz val="8"/>
        <color theme="1"/>
        <rFont val="Arial"/>
        <family val="2"/>
      </rPr>
      <t>4</t>
    </r>
    <r>
      <rPr>
        <b/>
        <sz val="8"/>
        <color theme="1"/>
        <rFont val="Arial"/>
        <family val="2"/>
      </rPr>
      <t xml:space="preserve"> Emissions (metric tons CH</t>
    </r>
    <r>
      <rPr>
        <b/>
        <vertAlign val="subscript"/>
        <sz val="8"/>
        <color theme="1"/>
        <rFont val="Arial"/>
        <family val="2"/>
      </rPr>
      <t>4</t>
    </r>
    <r>
      <rPr>
        <b/>
        <sz val="8"/>
        <color theme="1"/>
        <rFont val="Arial"/>
        <family val="2"/>
      </rPr>
      <t>)</t>
    </r>
  </si>
  <si>
    <r>
      <rPr>
        <b/>
        <sz val="11"/>
        <color theme="1"/>
        <rFont val="Calibri"/>
        <family val="2"/>
      </rPr>
      <t>N</t>
    </r>
    <r>
      <rPr>
        <b/>
        <vertAlign val="subscript"/>
        <sz val="8"/>
        <color theme="1"/>
        <rFont val="Arial"/>
        <family val="2"/>
      </rPr>
      <t>2</t>
    </r>
    <r>
      <rPr>
        <b/>
        <sz val="8"/>
        <color theme="1"/>
        <rFont val="Arial"/>
        <family val="2"/>
      </rPr>
      <t>O  Emissions   (metric tons N</t>
    </r>
    <r>
      <rPr>
        <b/>
        <vertAlign val="subscript"/>
        <sz val="8"/>
        <color theme="1"/>
        <rFont val="Arial"/>
        <family val="2"/>
      </rPr>
      <t>2</t>
    </r>
    <r>
      <rPr>
        <b/>
        <sz val="8"/>
        <color theme="1"/>
        <rFont val="Arial"/>
        <family val="2"/>
      </rPr>
      <t>O)</t>
    </r>
  </si>
  <si>
    <t>Kiln System</t>
  </si>
  <si>
    <t>short  tons</t>
  </si>
  <si>
    <t xml:space="preserve"> - Tire</t>
  </si>
  <si>
    <r>
      <rPr>
        <b/>
        <sz val="11"/>
        <color theme="1"/>
        <rFont val="Calibri"/>
        <family val="2"/>
      </rPr>
      <t>Kiln Fossil Fuel Alone CO</t>
    </r>
    <r>
      <rPr>
        <b/>
        <vertAlign val="subscript"/>
        <sz val="8"/>
        <color theme="1"/>
        <rFont val="Arial"/>
        <family val="2"/>
      </rPr>
      <t>2</t>
    </r>
    <r>
      <rPr>
        <b/>
        <sz val="8"/>
        <color theme="1"/>
        <rFont val="Arial"/>
        <family val="2"/>
      </rPr>
      <t xml:space="preserve"> (Calculation)</t>
    </r>
  </si>
  <si>
    <t xml:space="preserve">Non Kiln </t>
  </si>
  <si>
    <t>Raw Meal - # 2 Oil</t>
  </si>
  <si>
    <r>
      <rPr>
        <b/>
        <sz val="11"/>
        <color theme="1"/>
        <rFont val="Calibri"/>
        <family val="2"/>
      </rPr>
      <t>Kiln System Total CO</t>
    </r>
    <r>
      <rPr>
        <b/>
        <vertAlign val="subscript"/>
        <sz val="8"/>
        <color theme="1"/>
        <rFont val="Arial"/>
        <family val="2"/>
      </rPr>
      <t>2</t>
    </r>
    <r>
      <rPr>
        <b/>
        <sz val="8"/>
        <color theme="1"/>
        <rFont val="Arial"/>
        <family val="2"/>
      </rPr>
      <t xml:space="preserve"> (CEM Measured).</t>
    </r>
  </si>
  <si>
    <r>
      <rPr>
        <b/>
        <sz val="11"/>
        <color theme="1"/>
        <rFont val="Calibri"/>
        <family val="2"/>
      </rPr>
      <t>Kiln Fossil Fuel Alone CO</t>
    </r>
    <r>
      <rPr>
        <b/>
        <vertAlign val="subscript"/>
        <sz val="8"/>
        <color theme="1"/>
        <rFont val="Arial"/>
        <family val="2"/>
      </rPr>
      <t>2</t>
    </r>
    <r>
      <rPr>
        <b/>
        <sz val="8"/>
        <color theme="1"/>
        <rFont val="Arial"/>
        <family val="2"/>
      </rPr>
      <t xml:space="preserve"> (Calculation)</t>
    </r>
  </si>
  <si>
    <r>
      <rPr>
        <b/>
        <sz val="11"/>
        <color theme="1"/>
        <rFont val="Calibri"/>
        <family val="2"/>
      </rPr>
      <t>Cement Process CO</t>
    </r>
    <r>
      <rPr>
        <b/>
        <vertAlign val="subscript"/>
        <sz val="8"/>
        <color theme="1"/>
        <rFont val="Arial"/>
        <family val="2"/>
      </rPr>
      <t xml:space="preserve">2 </t>
    </r>
    <r>
      <rPr>
        <b/>
        <sz val="8"/>
        <color theme="1"/>
        <rFont val="Arial"/>
        <family val="2"/>
      </rPr>
      <t>(metric tons)</t>
    </r>
    <r>
      <rPr>
        <b/>
        <vertAlign val="subscript"/>
        <sz val="8"/>
        <color theme="1"/>
        <rFont val="Arial"/>
        <family val="2"/>
      </rPr>
      <t xml:space="preserve"> </t>
    </r>
    <r>
      <rPr>
        <b/>
        <sz val="8"/>
        <color theme="1"/>
        <rFont val="Arial"/>
        <family val="2"/>
      </rPr>
      <t xml:space="preserve"> = (Total Kiln CO</t>
    </r>
    <r>
      <rPr>
        <b/>
        <vertAlign val="subscript"/>
        <sz val="8"/>
        <color theme="1"/>
        <rFont val="Arial"/>
        <family val="2"/>
      </rPr>
      <t>2</t>
    </r>
    <r>
      <rPr>
        <b/>
        <sz val="8"/>
        <color theme="1"/>
        <rFont val="Arial"/>
        <family val="2"/>
      </rPr>
      <t>)  - (Kiln Fossil Fuel Alone CO</t>
    </r>
    <r>
      <rPr>
        <b/>
        <vertAlign val="subscript"/>
        <sz val="8"/>
        <color theme="1"/>
        <rFont val="Arial"/>
        <family val="2"/>
      </rPr>
      <t>2</t>
    </r>
    <r>
      <rPr>
        <b/>
        <sz val="8"/>
        <color theme="1"/>
        <rFont val="Arial"/>
        <family val="2"/>
      </rPr>
      <t>)</t>
    </r>
  </si>
  <si>
    <r>
      <rPr>
        <b/>
        <sz val="11"/>
        <color theme="1"/>
        <rFont val="Calibri"/>
        <family val="2"/>
      </rPr>
      <t>Total Facility CO</t>
    </r>
    <r>
      <rPr>
        <b/>
        <vertAlign val="subscript"/>
        <sz val="8"/>
        <color theme="1"/>
        <rFont val="Arial"/>
        <family val="2"/>
      </rPr>
      <t>2</t>
    </r>
    <r>
      <rPr>
        <b/>
        <sz val="8"/>
        <color theme="1"/>
        <rFont val="Arial"/>
        <family val="2"/>
      </rPr>
      <t xml:space="preserve"> Emission = (Kiln System Total CO</t>
    </r>
    <r>
      <rPr>
        <b/>
        <vertAlign val="subscript"/>
        <sz val="8"/>
        <color theme="1"/>
        <rFont val="Arial"/>
        <family val="2"/>
      </rPr>
      <t>2</t>
    </r>
    <r>
      <rPr>
        <b/>
        <sz val="8"/>
        <color theme="1"/>
        <rFont val="Arial"/>
        <family val="2"/>
      </rPr>
      <t>) + (Non Kiln CO</t>
    </r>
    <r>
      <rPr>
        <b/>
        <vertAlign val="subscript"/>
        <sz val="8"/>
        <color theme="1"/>
        <rFont val="Arial"/>
        <family val="2"/>
      </rPr>
      <t>2</t>
    </r>
    <r>
      <rPr>
        <b/>
        <sz val="8"/>
        <color theme="1"/>
        <rFont val="Arial"/>
        <family val="2"/>
      </rPr>
      <t>)</t>
    </r>
  </si>
  <si>
    <r>
      <rPr>
        <b/>
        <sz val="11"/>
        <color theme="1"/>
        <rFont val="Calibri"/>
        <family val="2"/>
      </rPr>
      <t>Kiln System Total CO</t>
    </r>
    <r>
      <rPr>
        <b/>
        <vertAlign val="subscript"/>
        <sz val="8"/>
        <color theme="1"/>
        <rFont val="Arial"/>
        <family val="2"/>
      </rPr>
      <t>2</t>
    </r>
    <r>
      <rPr>
        <b/>
        <sz val="8"/>
        <color theme="1"/>
        <rFont val="Arial"/>
        <family val="2"/>
      </rPr>
      <t xml:space="preserve"> (CEM Measured) (short tons)</t>
    </r>
  </si>
  <si>
    <r>
      <rPr>
        <b/>
        <sz val="11"/>
        <color theme="1"/>
        <rFont val="Calibri"/>
        <family val="2"/>
      </rPr>
      <t>Kiln Fossil Fuel Alone CO</t>
    </r>
    <r>
      <rPr>
        <b/>
        <vertAlign val="subscript"/>
        <sz val="8"/>
        <color theme="1"/>
        <rFont val="Arial"/>
        <family val="2"/>
      </rPr>
      <t>2</t>
    </r>
    <r>
      <rPr>
        <b/>
        <sz val="8"/>
        <color theme="1"/>
        <rFont val="Arial"/>
        <family val="2"/>
      </rPr>
      <t xml:space="preserve"> (Calculated) (short tons)</t>
    </r>
  </si>
  <si>
    <r>
      <rPr>
        <b/>
        <sz val="11"/>
        <color theme="1"/>
        <rFont val="Calibri"/>
        <family val="2"/>
      </rPr>
      <t>Cement Process CO</t>
    </r>
    <r>
      <rPr>
        <b/>
        <vertAlign val="subscript"/>
        <sz val="8"/>
        <color theme="1"/>
        <rFont val="Arial"/>
        <family val="2"/>
      </rPr>
      <t>2</t>
    </r>
    <r>
      <rPr>
        <b/>
        <sz val="8"/>
        <color theme="1"/>
        <rFont val="Arial"/>
        <family val="2"/>
      </rPr>
      <t xml:space="preserve"> (short tons) = (Total Kiln CO</t>
    </r>
    <r>
      <rPr>
        <b/>
        <vertAlign val="subscript"/>
        <sz val="8"/>
        <color theme="1"/>
        <rFont val="Arial"/>
        <family val="2"/>
      </rPr>
      <t>2</t>
    </r>
    <r>
      <rPr>
        <b/>
        <sz val="8"/>
        <color theme="1"/>
        <rFont val="Arial"/>
        <family val="2"/>
      </rPr>
      <t>)  - (Kiln Fossil Fuel Alone CO</t>
    </r>
    <r>
      <rPr>
        <b/>
        <vertAlign val="subscript"/>
        <sz val="8"/>
        <color theme="1"/>
        <rFont val="Arial"/>
        <family val="2"/>
      </rPr>
      <t>2</t>
    </r>
    <r>
      <rPr>
        <b/>
        <sz val="8"/>
        <color theme="1"/>
        <rFont val="Arial"/>
        <family val="2"/>
      </rPr>
      <t>)</t>
    </r>
  </si>
  <si>
    <r>
      <rPr>
        <b/>
        <sz val="11"/>
        <color theme="1"/>
        <rFont val="Calibri"/>
        <family val="2"/>
      </rPr>
      <t>Total Facility CO</t>
    </r>
    <r>
      <rPr>
        <b/>
        <vertAlign val="subscript"/>
        <sz val="8"/>
        <color theme="1"/>
        <rFont val="Arial"/>
        <family val="2"/>
      </rPr>
      <t>2</t>
    </r>
    <r>
      <rPr>
        <b/>
        <sz val="8"/>
        <color theme="1"/>
        <rFont val="Arial"/>
        <family val="2"/>
      </rPr>
      <t xml:space="preserve"> Emission(short tons) = (Kiln System Total CO</t>
    </r>
    <r>
      <rPr>
        <b/>
        <vertAlign val="subscript"/>
        <sz val="8"/>
        <color theme="1"/>
        <rFont val="Arial"/>
        <family val="2"/>
      </rPr>
      <t>2</t>
    </r>
    <r>
      <rPr>
        <b/>
        <sz val="8"/>
        <color theme="1"/>
        <rFont val="Arial"/>
        <family val="2"/>
      </rPr>
      <t>) + (Non Kiln CO</t>
    </r>
    <r>
      <rPr>
        <b/>
        <vertAlign val="subscript"/>
        <sz val="8"/>
        <color theme="1"/>
        <rFont val="Arial"/>
        <family val="2"/>
      </rPr>
      <t>2</t>
    </r>
    <r>
      <rPr>
        <b/>
        <sz val="8"/>
        <color theme="1"/>
        <rFont val="Arial"/>
        <family val="2"/>
      </rPr>
      <t>)</t>
    </r>
  </si>
  <si>
    <t>(A) +(B)</t>
  </si>
  <si>
    <r>
      <rPr>
        <b/>
        <sz val="11"/>
        <color theme="1"/>
        <rFont val="Calibri"/>
        <family val="2"/>
      </rPr>
      <t>MD Summmary Cement Process CO</t>
    </r>
    <r>
      <rPr>
        <b/>
        <vertAlign val="subscript"/>
        <sz val="8"/>
        <color theme="1"/>
        <rFont val="Arial"/>
        <family val="2"/>
      </rPr>
      <t>2</t>
    </r>
    <r>
      <rPr>
        <b/>
        <sz val="8"/>
        <color theme="1"/>
        <rFont val="Arial"/>
        <family val="2"/>
      </rPr>
      <t xml:space="preserve"> Emissions (short tons) </t>
    </r>
  </si>
  <si>
    <r>
      <rPr>
        <b/>
        <sz val="11"/>
        <color theme="1"/>
        <rFont val="Calibri"/>
        <family val="2"/>
      </rPr>
      <t>MD Summmary Cement Process CO</t>
    </r>
    <r>
      <rPr>
        <b/>
        <vertAlign val="subscript"/>
        <sz val="8"/>
        <color theme="1"/>
        <rFont val="Arial"/>
        <family val="2"/>
      </rPr>
      <t>2</t>
    </r>
    <r>
      <rPr>
        <b/>
        <sz val="8"/>
        <color theme="1"/>
        <rFont val="Arial"/>
        <family val="2"/>
      </rPr>
      <t xml:space="preserve"> Emissions (metric tons) </t>
    </r>
  </si>
  <si>
    <r>
      <rPr>
        <b/>
        <sz val="11"/>
        <color theme="1"/>
        <rFont val="Calibri"/>
        <family val="2"/>
      </rPr>
      <t>MD Summmary Cement Process CO</t>
    </r>
    <r>
      <rPr>
        <b/>
        <vertAlign val="subscript"/>
        <sz val="8"/>
        <color theme="1"/>
        <rFont val="Arial"/>
        <family val="2"/>
      </rPr>
      <t>2</t>
    </r>
    <r>
      <rPr>
        <b/>
        <sz val="8"/>
        <color theme="1"/>
        <rFont val="Arial"/>
        <family val="2"/>
      </rPr>
      <t xml:space="preserve"> Emissions (MMTCO</t>
    </r>
    <r>
      <rPr>
        <b/>
        <vertAlign val="subscript"/>
        <sz val="8"/>
        <color theme="1"/>
        <rFont val="Arial"/>
        <family val="2"/>
      </rPr>
      <t>2</t>
    </r>
    <r>
      <rPr>
        <b/>
        <sz val="8"/>
        <color theme="1"/>
        <rFont val="Arial"/>
        <family val="2"/>
      </rPr>
      <t xml:space="preserve">E) </t>
    </r>
  </si>
  <si>
    <t>Production &amp; Consumption</t>
  </si>
  <si>
    <t>Subract emissions</t>
  </si>
  <si>
    <t>(Metric Tons)</t>
  </si>
  <si>
    <r>
      <rPr>
        <b/>
        <sz val="11"/>
        <color theme="1"/>
        <rFont val="Calibri"/>
        <family val="2"/>
      </rPr>
      <t>(mt CO</t>
    </r>
    <r>
      <rPr>
        <b/>
        <vertAlign val="subscript"/>
        <sz val="10"/>
        <color theme="1"/>
        <rFont val="Times New Roman"/>
        <family val="1"/>
      </rPr>
      <t>2</t>
    </r>
    <r>
      <rPr>
        <b/>
        <sz val="10"/>
        <color theme="1"/>
        <rFont val="Times New Roman"/>
        <family val="1"/>
      </rPr>
      <t>/mt activity)</t>
    </r>
  </si>
  <si>
    <t xml:space="preserve"> from Urea</t>
  </si>
  <si>
    <r>
      <rPr>
        <b/>
        <sz val="11"/>
        <color theme="1"/>
        <rFont val="Calibri"/>
        <family val="2"/>
      </rPr>
      <t>(MTCO</t>
    </r>
    <r>
      <rPr>
        <b/>
        <vertAlign val="subscript"/>
        <sz val="10"/>
        <color theme="1"/>
        <rFont val="Calibri"/>
        <family val="2"/>
      </rPr>
      <t>2</t>
    </r>
    <r>
      <rPr>
        <b/>
        <sz val="10"/>
        <color theme="1"/>
        <rFont val="Calibri"/>
        <family val="2"/>
      </rPr>
      <t>E)</t>
    </r>
  </si>
  <si>
    <r>
      <rPr>
        <b/>
        <sz val="11"/>
        <color theme="1"/>
        <rFont val="Calibri"/>
        <family val="2"/>
      </rPr>
      <t>(MMTCO</t>
    </r>
    <r>
      <rPr>
        <b/>
        <vertAlign val="subscript"/>
        <sz val="10"/>
        <color theme="1"/>
        <rFont val="Calibri"/>
        <family val="2"/>
      </rPr>
      <t>2</t>
    </r>
    <r>
      <rPr>
        <b/>
        <sz val="10"/>
        <color theme="1"/>
        <rFont val="Calibri"/>
        <family val="2"/>
      </rPr>
      <t>E)</t>
    </r>
  </si>
  <si>
    <t>Iron &amp; Steel Industry Production Emissions</t>
  </si>
  <si>
    <r>
      <rPr>
        <b/>
        <sz val="11"/>
        <color theme="1"/>
        <rFont val="Calibri"/>
        <family val="2"/>
      </rPr>
      <t>CO</t>
    </r>
    <r>
      <rPr>
        <b/>
        <vertAlign val="subscript"/>
        <sz val="10"/>
        <color theme="1"/>
        <rFont val="Arial"/>
        <family val="2"/>
      </rPr>
      <t>2</t>
    </r>
    <r>
      <rPr>
        <b/>
        <sz val="10"/>
        <color theme="1"/>
        <rFont val="Arial"/>
        <family val="2"/>
      </rPr>
      <t xml:space="preserve"> Emissions (metric tons)</t>
    </r>
  </si>
  <si>
    <r>
      <rPr>
        <b/>
        <sz val="11"/>
        <color theme="1"/>
        <rFont val="Calibri"/>
        <family val="2"/>
      </rPr>
      <t>CO</t>
    </r>
    <r>
      <rPr>
        <b/>
        <vertAlign val="subscript"/>
        <sz val="10"/>
        <color theme="1"/>
        <rFont val="Arial"/>
        <family val="2"/>
      </rPr>
      <t>2</t>
    </r>
    <r>
      <rPr>
        <b/>
        <sz val="10"/>
        <color theme="1"/>
        <rFont val="Arial"/>
        <family val="2"/>
      </rPr>
      <t xml:space="preserve"> Emissions (short tons)</t>
    </r>
  </si>
  <si>
    <r>
      <rPr>
        <sz val="11"/>
        <color theme="1"/>
        <rFont val="Calibri"/>
        <family val="2"/>
      </rPr>
      <t>CO</t>
    </r>
    <r>
      <rPr>
        <vertAlign val="subscript"/>
        <sz val="10"/>
        <color theme="1"/>
        <rFont val="Arial"/>
        <family val="2"/>
      </rPr>
      <t>2</t>
    </r>
  </si>
  <si>
    <t>Bleeders</t>
  </si>
  <si>
    <r>
      <rPr>
        <sz val="11"/>
        <color theme="1"/>
        <rFont val="Calibri"/>
        <family val="2"/>
      </rPr>
      <t>CH</t>
    </r>
    <r>
      <rPr>
        <vertAlign val="subscript"/>
        <sz val="10"/>
        <color theme="1"/>
        <rFont val="Arial"/>
        <family val="2"/>
      </rPr>
      <t>4</t>
    </r>
  </si>
  <si>
    <r>
      <rPr>
        <sz val="11"/>
        <color theme="1"/>
        <rFont val="Calibri"/>
        <family val="2"/>
      </rPr>
      <t>N</t>
    </r>
    <r>
      <rPr>
        <vertAlign val="subscript"/>
        <sz val="10"/>
        <color theme="1"/>
        <rFont val="Arial"/>
        <family val="2"/>
      </rPr>
      <t>2</t>
    </r>
    <r>
      <rPr>
        <sz val="8"/>
        <color theme="1"/>
        <rFont val="Arial"/>
        <family val="2"/>
      </rPr>
      <t>O</t>
    </r>
  </si>
  <si>
    <r>
      <rPr>
        <sz val="11"/>
        <color theme="1"/>
        <rFont val="Calibri"/>
        <family val="2"/>
      </rPr>
      <t>CO</t>
    </r>
    <r>
      <rPr>
        <vertAlign val="subscript"/>
        <sz val="10"/>
        <color theme="1"/>
        <rFont val="Arial"/>
        <family val="2"/>
      </rPr>
      <t>2</t>
    </r>
  </si>
  <si>
    <t>L Blast Furnace</t>
  </si>
  <si>
    <r>
      <rPr>
        <sz val="11"/>
        <color theme="1"/>
        <rFont val="Calibri"/>
        <family val="2"/>
      </rPr>
      <t>CH</t>
    </r>
    <r>
      <rPr>
        <vertAlign val="subscript"/>
        <sz val="10"/>
        <color theme="1"/>
        <rFont val="Arial"/>
        <family val="2"/>
      </rPr>
      <t>4</t>
    </r>
  </si>
  <si>
    <r>
      <rPr>
        <sz val="11"/>
        <color theme="1"/>
        <rFont val="Calibri"/>
        <family val="2"/>
      </rPr>
      <t>N</t>
    </r>
    <r>
      <rPr>
        <vertAlign val="subscript"/>
        <sz val="10"/>
        <color theme="1"/>
        <rFont val="Arial"/>
        <family val="2"/>
      </rPr>
      <t>2</t>
    </r>
    <r>
      <rPr>
        <sz val="8"/>
        <color theme="1"/>
        <rFont val="Arial"/>
        <family val="2"/>
      </rPr>
      <t>O</t>
    </r>
  </si>
  <si>
    <t>Sinter Plant</t>
  </si>
  <si>
    <r>
      <rPr>
        <sz val="11"/>
        <color theme="1"/>
        <rFont val="Calibri"/>
        <family val="2"/>
      </rPr>
      <t>CO</t>
    </r>
    <r>
      <rPr>
        <vertAlign val="subscript"/>
        <sz val="10"/>
        <color theme="1"/>
        <rFont val="Arial"/>
        <family val="2"/>
      </rPr>
      <t>2</t>
    </r>
  </si>
  <si>
    <t>BOF</t>
  </si>
  <si>
    <r>
      <rPr>
        <sz val="11"/>
        <color theme="1"/>
        <rFont val="Calibri"/>
        <family val="2"/>
      </rPr>
      <t>CO</t>
    </r>
    <r>
      <rPr>
        <vertAlign val="subscript"/>
        <sz val="10"/>
        <color theme="1"/>
        <rFont val="Arial"/>
        <family val="2"/>
      </rPr>
      <t>2</t>
    </r>
  </si>
  <si>
    <r>
      <rPr>
        <sz val="11"/>
        <color theme="1"/>
        <rFont val="Calibri"/>
        <family val="2"/>
      </rPr>
      <t>CO</t>
    </r>
    <r>
      <rPr>
        <vertAlign val="subscript"/>
        <sz val="10"/>
        <color theme="1"/>
        <rFont val="Arial"/>
        <family val="2"/>
      </rPr>
      <t>2</t>
    </r>
  </si>
  <si>
    <r>
      <rPr>
        <sz val="11"/>
        <color theme="1"/>
        <rFont val="Calibri"/>
        <family val="2"/>
      </rPr>
      <t>CH</t>
    </r>
    <r>
      <rPr>
        <vertAlign val="subscript"/>
        <sz val="10"/>
        <color theme="1"/>
        <rFont val="Arial"/>
        <family val="2"/>
      </rPr>
      <t>4</t>
    </r>
  </si>
  <si>
    <r>
      <rPr>
        <sz val="11"/>
        <color theme="1"/>
        <rFont val="Calibri"/>
        <family val="2"/>
      </rPr>
      <t>N</t>
    </r>
    <r>
      <rPr>
        <vertAlign val="subscript"/>
        <sz val="10"/>
        <color theme="1"/>
        <rFont val="Arial"/>
        <family val="2"/>
      </rPr>
      <t>2</t>
    </r>
    <r>
      <rPr>
        <sz val="8"/>
        <color theme="1"/>
        <rFont val="Arial"/>
        <family val="2"/>
      </rPr>
      <t>O</t>
    </r>
  </si>
  <si>
    <t>Landfill Emissions</t>
  </si>
  <si>
    <t>Uncontrolled Landfills</t>
  </si>
  <si>
    <t>Flared Landfills</t>
  </si>
  <si>
    <t>LFTGE Landfills</t>
  </si>
  <si>
    <t>County</t>
  </si>
  <si>
    <t>Facility Name</t>
  </si>
  <si>
    <t>TOTAL Landfill Capacity (Million tons)</t>
  </si>
  <si>
    <t>Correct Capacity (MegaGrams)</t>
  </si>
  <si>
    <t>Average Acceptance / Yearly Disposal (tons/yr)</t>
  </si>
  <si>
    <t>Average Acceptance / Yearly Disposal ( Mg/yr)</t>
  </si>
  <si>
    <t>Year Opened</t>
  </si>
  <si>
    <t>Year Closed</t>
  </si>
  <si>
    <t>Flare Control Efficeincy (%)</t>
  </si>
  <si>
    <t>Surface Oxidation %</t>
  </si>
  <si>
    <t>Total CH4 Emissions (tons)</t>
  </si>
  <si>
    <t>Tolat GHG Emissions (tons)</t>
  </si>
  <si>
    <t>Allegany</t>
  </si>
  <si>
    <t>Mountainview Municipal Landfill</t>
  </si>
  <si>
    <t>Vale Summit</t>
  </si>
  <si>
    <t>Anne Arundel</t>
  </si>
  <si>
    <t>Annapolis</t>
  </si>
  <si>
    <t>Fort G. Meade Municipal Landfill</t>
  </si>
  <si>
    <t>Millersville Municipal Landfill</t>
  </si>
  <si>
    <t>Sudley Road</t>
  </si>
  <si>
    <t>Solley Road</t>
  </si>
  <si>
    <t>Glen Burnie</t>
  </si>
  <si>
    <t>Baltimore City</t>
  </si>
  <si>
    <t>Norris Farm</t>
  </si>
  <si>
    <t>Calvert</t>
  </si>
  <si>
    <t>Barstow</t>
  </si>
  <si>
    <t>Carroll</t>
  </si>
  <si>
    <t>Hoods Mill</t>
  </si>
  <si>
    <t>Northern Municpal Landfill</t>
  </si>
  <si>
    <t>Caroline</t>
  </si>
  <si>
    <t>Midshore I Regional Landfill</t>
  </si>
  <si>
    <t>Cecil</t>
  </si>
  <si>
    <t>Cecil County Central Landfill - Hog Hill</t>
  </si>
  <si>
    <t>Charles</t>
  </si>
  <si>
    <t>Charles County Municipal LF #2</t>
  </si>
  <si>
    <t>Pisgah</t>
  </si>
  <si>
    <t xml:space="preserve">Dorchester </t>
  </si>
  <si>
    <t>Beulah HE #1</t>
  </si>
  <si>
    <t>Beulah HE #2</t>
  </si>
  <si>
    <t>Frederick</t>
  </si>
  <si>
    <t>Fort Detrick Municipal Landfill</t>
  </si>
  <si>
    <t>Garrett</t>
  </si>
  <si>
    <t>Garrett County SWD&amp;RF  or  Del Signiore</t>
  </si>
  <si>
    <t>Round Glade</t>
  </si>
  <si>
    <t>Harford</t>
  </si>
  <si>
    <t>Harford W.D. Center Municipal Landfill</t>
  </si>
  <si>
    <t>Howard</t>
  </si>
  <si>
    <t>Alpha Ridge</t>
  </si>
  <si>
    <t>Kent</t>
  </si>
  <si>
    <t>Nicholson</t>
  </si>
  <si>
    <t>Montgomery</t>
  </si>
  <si>
    <t>Gude Landfill</t>
  </si>
  <si>
    <t>Oaks Landfill</t>
  </si>
  <si>
    <t>Prince Georges</t>
  </si>
  <si>
    <t>Brown Station Landfill A</t>
  </si>
  <si>
    <t>Brown Station Landfill B</t>
  </si>
  <si>
    <t>CDP/Sandy Hill</t>
  </si>
  <si>
    <t>Saint Andrews 1 &amp; 2 Municipal LF</t>
  </si>
  <si>
    <t>Somerset</t>
  </si>
  <si>
    <t>Somerset County Municipal LF or Fairmount Rd</t>
  </si>
  <si>
    <t>Westover/Ring</t>
  </si>
  <si>
    <t>Talbot</t>
  </si>
  <si>
    <t>Midshore II Regional Municipal LF</t>
  </si>
  <si>
    <t>Washington</t>
  </si>
  <si>
    <t>Hancock Landfill</t>
  </si>
  <si>
    <t>Forty West</t>
  </si>
  <si>
    <t>Wicomico</t>
  </si>
  <si>
    <t>Worcester</t>
  </si>
  <si>
    <t>Worcester County Sanitary Landfill Cells 2 &amp; 3</t>
  </si>
  <si>
    <r>
      <rPr>
        <b/>
        <sz val="11"/>
        <color theme="1"/>
        <rFont val="Calibri"/>
        <family val="2"/>
      </rPr>
      <t>Flared CH</t>
    </r>
    <r>
      <rPr>
        <b/>
        <vertAlign val="subscript"/>
        <sz val="10"/>
        <color theme="1"/>
        <rFont val="Arial"/>
        <family val="2"/>
      </rPr>
      <t>4</t>
    </r>
    <r>
      <rPr>
        <b/>
        <sz val="8"/>
        <color theme="1"/>
        <rFont val="Arial"/>
        <family val="2"/>
      </rPr>
      <t xml:space="preserve"> (short tons)</t>
    </r>
  </si>
  <si>
    <t>Landfill Gas-to-Energy (tons)</t>
  </si>
  <si>
    <r>
      <rPr>
        <sz val="11"/>
        <color theme="1"/>
        <rFont val="Calibri"/>
        <family val="2"/>
      </rPr>
      <t>CH</t>
    </r>
    <r>
      <rPr>
        <vertAlign val="subscript"/>
        <sz val="10"/>
        <color theme="1"/>
        <rFont val="Arial"/>
        <family val="2"/>
      </rPr>
      <t>4</t>
    </r>
    <r>
      <rPr>
        <sz val="10"/>
        <color theme="1"/>
        <rFont val="Arial"/>
        <family val="2"/>
      </rPr>
      <t xml:space="preserve"> GWP</t>
    </r>
  </si>
  <si>
    <r>
      <rPr>
        <sz val="11"/>
        <color theme="1"/>
        <rFont val="Calibri"/>
        <family val="2"/>
      </rPr>
      <t>CH</t>
    </r>
    <r>
      <rPr>
        <vertAlign val="subscript"/>
        <sz val="10"/>
        <color theme="1"/>
        <rFont val="Arial"/>
        <family val="2"/>
      </rPr>
      <t>4</t>
    </r>
    <r>
      <rPr>
        <sz val="10"/>
        <color theme="1"/>
        <rFont val="Arial"/>
        <family val="2"/>
      </rPr>
      <t xml:space="preserve"> GWP</t>
    </r>
  </si>
  <si>
    <r>
      <rPr>
        <sz val="11"/>
        <color theme="1"/>
        <rFont val="Calibri"/>
        <family val="2"/>
      </rPr>
      <t>CH</t>
    </r>
    <r>
      <rPr>
        <vertAlign val="subscript"/>
        <sz val="10"/>
        <color theme="1"/>
        <rFont val="Arial"/>
        <family val="2"/>
      </rPr>
      <t>4</t>
    </r>
    <r>
      <rPr>
        <sz val="10"/>
        <color theme="1"/>
        <rFont val="Arial"/>
        <family val="2"/>
      </rPr>
      <t xml:space="preserve"> GWP</t>
    </r>
  </si>
  <si>
    <r>
      <rPr>
        <b/>
        <sz val="11"/>
        <color theme="1"/>
        <rFont val="Calibri"/>
        <family val="2"/>
      </rPr>
      <t>Flared CH</t>
    </r>
    <r>
      <rPr>
        <b/>
        <vertAlign val="subscript"/>
        <sz val="10"/>
        <color theme="1"/>
        <rFont val="Arial"/>
        <family val="2"/>
      </rPr>
      <t>4</t>
    </r>
    <r>
      <rPr>
        <b/>
        <sz val="10"/>
        <color theme="1"/>
        <rFont val="Arial"/>
        <family val="2"/>
      </rPr>
      <t xml:space="preserve"> (MTCO</t>
    </r>
    <r>
      <rPr>
        <b/>
        <vertAlign val="subscript"/>
        <sz val="10"/>
        <color theme="1"/>
        <rFont val="Arial"/>
        <family val="2"/>
      </rPr>
      <t>2</t>
    </r>
    <r>
      <rPr>
        <b/>
        <sz val="10"/>
        <color theme="1"/>
        <rFont val="Arial"/>
        <family val="2"/>
      </rPr>
      <t>E)</t>
    </r>
  </si>
  <si>
    <r>
      <rPr>
        <b/>
        <sz val="11"/>
        <color theme="1"/>
        <rFont val="Calibri"/>
        <family val="2"/>
      </rPr>
      <t>Landfill Gas-to-Energy (MTCO</t>
    </r>
    <r>
      <rPr>
        <b/>
        <vertAlign val="subscript"/>
        <sz val="10"/>
        <color theme="1"/>
        <rFont val="Arial"/>
        <family val="2"/>
      </rPr>
      <t>2</t>
    </r>
    <r>
      <rPr>
        <b/>
        <sz val="10"/>
        <color theme="1"/>
        <rFont val="Arial"/>
        <family val="2"/>
      </rPr>
      <t>E)</t>
    </r>
  </si>
  <si>
    <r>
      <rPr>
        <b/>
        <sz val="11"/>
        <color theme="1"/>
        <rFont val="Calibri"/>
        <family val="2"/>
      </rPr>
      <t>Industrial  Generation (MTCO</t>
    </r>
    <r>
      <rPr>
        <b/>
        <vertAlign val="subscript"/>
        <sz val="10"/>
        <color theme="1"/>
        <rFont val="Arial"/>
        <family val="2"/>
      </rPr>
      <t>2</t>
    </r>
    <r>
      <rPr>
        <b/>
        <sz val="10"/>
        <color theme="1"/>
        <rFont val="Arial"/>
        <family val="2"/>
      </rPr>
      <t>E)</t>
    </r>
  </si>
  <si>
    <r>
      <rPr>
        <b/>
        <sz val="11"/>
        <color theme="1"/>
        <rFont val="Calibri"/>
        <family val="2"/>
      </rPr>
      <t>Landfill Gas-to-Energy (MTC</t>
    </r>
    <r>
      <rPr>
        <b/>
        <sz val="10"/>
        <color theme="1"/>
        <rFont val="Arial"/>
        <family val="2"/>
      </rPr>
      <t>E)</t>
    </r>
  </si>
  <si>
    <r>
      <rPr>
        <b/>
        <sz val="11"/>
        <color theme="1"/>
        <rFont val="Calibri"/>
        <family val="2"/>
      </rPr>
      <t>Potential CH</t>
    </r>
    <r>
      <rPr>
        <b/>
        <vertAlign val="subscript"/>
        <sz val="10"/>
        <color theme="1"/>
        <rFont val="Arial"/>
        <family val="2"/>
      </rPr>
      <t xml:space="preserve">4 </t>
    </r>
    <r>
      <rPr>
        <b/>
        <sz val="10"/>
        <color theme="1"/>
        <rFont val="Arial"/>
        <family val="2"/>
      </rPr>
      <t>(MTCO</t>
    </r>
    <r>
      <rPr>
        <b/>
        <vertAlign val="subscript"/>
        <sz val="10"/>
        <color theme="1"/>
        <rFont val="Arial"/>
        <family val="2"/>
      </rPr>
      <t>2</t>
    </r>
    <r>
      <rPr>
        <b/>
        <sz val="10"/>
        <color theme="1"/>
        <rFont val="Arial"/>
        <family val="2"/>
      </rPr>
      <t>E)</t>
    </r>
  </si>
  <si>
    <r>
      <rPr>
        <b/>
        <sz val="11"/>
        <color theme="1"/>
        <rFont val="Calibri"/>
        <family val="2"/>
      </rPr>
      <t>CH</t>
    </r>
    <r>
      <rPr>
        <b/>
        <vertAlign val="subscript"/>
        <sz val="10"/>
        <color theme="1"/>
        <rFont val="Arial"/>
        <family val="2"/>
      </rPr>
      <t>4</t>
    </r>
    <r>
      <rPr>
        <b/>
        <sz val="10"/>
        <color theme="1"/>
        <rFont val="Arial"/>
        <family val="2"/>
      </rPr>
      <t xml:space="preserve"> Avoided (MTCO</t>
    </r>
    <r>
      <rPr>
        <b/>
        <vertAlign val="subscript"/>
        <sz val="10"/>
        <color theme="1"/>
        <rFont val="Arial"/>
        <family val="2"/>
      </rPr>
      <t>2</t>
    </r>
    <r>
      <rPr>
        <b/>
        <sz val="10"/>
        <color theme="1"/>
        <rFont val="Arial"/>
        <family val="2"/>
      </rPr>
      <t>E)</t>
    </r>
  </si>
  <si>
    <t>Oxidation at MSW Landfills (tons)</t>
  </si>
  <si>
    <r>
      <rPr>
        <sz val="11"/>
        <color theme="1"/>
        <rFont val="Calibri"/>
        <family val="2"/>
      </rPr>
      <t>CH</t>
    </r>
    <r>
      <rPr>
        <vertAlign val="subscript"/>
        <sz val="10"/>
        <color theme="1"/>
        <rFont val="Arial"/>
        <family val="2"/>
      </rPr>
      <t>4</t>
    </r>
    <r>
      <rPr>
        <sz val="10"/>
        <color theme="1"/>
        <rFont val="Arial"/>
        <family val="2"/>
      </rPr>
      <t xml:space="preserve"> GWP</t>
    </r>
  </si>
  <si>
    <r>
      <rPr>
        <b/>
        <sz val="11"/>
        <color theme="1"/>
        <rFont val="Calibri"/>
        <family val="2"/>
      </rPr>
      <t>Potential CH</t>
    </r>
    <r>
      <rPr>
        <b/>
        <vertAlign val="subscript"/>
        <sz val="10"/>
        <color theme="1"/>
        <rFont val="Arial"/>
        <family val="2"/>
      </rPr>
      <t xml:space="preserve">4 </t>
    </r>
    <r>
      <rPr>
        <b/>
        <sz val="10"/>
        <color theme="1"/>
        <rFont val="Arial"/>
        <family val="2"/>
      </rPr>
      <t>(MTCE)</t>
    </r>
  </si>
  <si>
    <r>
      <rPr>
        <b/>
        <sz val="11"/>
        <color theme="1"/>
        <rFont val="Calibri"/>
        <family val="2"/>
      </rPr>
      <t>CH</t>
    </r>
    <r>
      <rPr>
        <b/>
        <vertAlign val="subscript"/>
        <sz val="10"/>
        <color theme="1"/>
        <rFont val="Arial"/>
        <family val="2"/>
      </rPr>
      <t>4</t>
    </r>
    <r>
      <rPr>
        <b/>
        <sz val="10"/>
        <color theme="1"/>
        <rFont val="Arial"/>
        <family val="2"/>
      </rPr>
      <t xml:space="preserve"> Avoided (MTCE)</t>
    </r>
  </si>
  <si>
    <r>
      <rPr>
        <b/>
        <sz val="11"/>
        <color theme="1"/>
        <rFont val="Calibri"/>
        <family val="2"/>
      </rPr>
      <t>Oxidation at MSW Landfills (MTCO</t>
    </r>
    <r>
      <rPr>
        <b/>
        <vertAlign val="subscript"/>
        <sz val="10"/>
        <color theme="1"/>
        <rFont val="Arial"/>
        <family val="2"/>
      </rPr>
      <t>2</t>
    </r>
    <r>
      <rPr>
        <b/>
        <sz val="10"/>
        <color theme="1"/>
        <rFont val="Arial"/>
        <family val="2"/>
      </rPr>
      <t>E)</t>
    </r>
  </si>
  <si>
    <r>
      <rPr>
        <b/>
        <sz val="11"/>
        <color theme="1"/>
        <rFont val="Calibri"/>
        <family val="2"/>
      </rPr>
      <t>Oxidation at MSW Landfills (MTC</t>
    </r>
    <r>
      <rPr>
        <b/>
        <sz val="10"/>
        <color theme="1"/>
        <rFont val="Arial"/>
        <family val="2"/>
      </rPr>
      <t>E)</t>
    </r>
  </si>
  <si>
    <r>
      <rPr>
        <b/>
        <sz val="11"/>
        <color theme="1"/>
        <rFont val="Calibri"/>
        <family val="2"/>
      </rPr>
      <t>Oxidation at Industrial Landfills (MTCO</t>
    </r>
    <r>
      <rPr>
        <b/>
        <vertAlign val="subscript"/>
        <sz val="10"/>
        <color theme="1"/>
        <rFont val="Arial"/>
        <family val="2"/>
      </rPr>
      <t>2</t>
    </r>
    <r>
      <rPr>
        <b/>
        <sz val="10"/>
        <color theme="1"/>
        <rFont val="Arial"/>
        <family val="2"/>
      </rPr>
      <t>E)</t>
    </r>
  </si>
  <si>
    <r>
      <rPr>
        <b/>
        <sz val="11"/>
        <color theme="1"/>
        <rFont val="Calibri"/>
        <family val="2"/>
      </rPr>
      <t>Oxidation at Industrial Landfills (MTC</t>
    </r>
    <r>
      <rPr>
        <b/>
        <sz val="10"/>
        <color theme="1"/>
        <rFont val="Arial"/>
        <family val="2"/>
      </rPr>
      <t>E)</t>
    </r>
  </si>
  <si>
    <r>
      <rPr>
        <b/>
        <sz val="11"/>
        <color theme="1"/>
        <rFont val="Calibri"/>
        <family val="2"/>
      </rPr>
      <t>Total CH</t>
    </r>
    <r>
      <rPr>
        <b/>
        <vertAlign val="subscript"/>
        <sz val="10"/>
        <color theme="1"/>
        <rFont val="Arial"/>
        <family val="2"/>
      </rPr>
      <t>4</t>
    </r>
    <r>
      <rPr>
        <b/>
        <sz val="10"/>
        <color theme="1"/>
        <rFont val="Arial"/>
        <family val="2"/>
      </rPr>
      <t xml:space="preserve"> Emissions (MTCO</t>
    </r>
    <r>
      <rPr>
        <b/>
        <vertAlign val="subscript"/>
        <sz val="10"/>
        <color theme="1"/>
        <rFont val="Arial"/>
        <family val="2"/>
      </rPr>
      <t>2</t>
    </r>
    <r>
      <rPr>
        <b/>
        <sz val="10"/>
        <color theme="1"/>
        <rFont val="Arial"/>
        <family val="2"/>
      </rPr>
      <t>E)</t>
    </r>
  </si>
  <si>
    <r>
      <rPr>
        <b/>
        <sz val="11"/>
        <color rgb="FFFF6600"/>
        <rFont val="Calibri"/>
        <family val="2"/>
      </rPr>
      <t xml:space="preserve"> CO</t>
    </r>
    <r>
      <rPr>
        <b/>
        <vertAlign val="subscript"/>
        <sz val="10"/>
        <color rgb="FFFF6600"/>
        <rFont val="Arial"/>
        <family val="2"/>
      </rPr>
      <t>2</t>
    </r>
    <r>
      <rPr>
        <b/>
        <sz val="10"/>
        <color rgb="FFFF6600"/>
        <rFont val="Arial"/>
        <family val="2"/>
      </rPr>
      <t xml:space="preserve"> Emission from (Flaring + LFGTE) (MTCO</t>
    </r>
    <r>
      <rPr>
        <b/>
        <vertAlign val="subscript"/>
        <sz val="10"/>
        <color rgb="FFFF6600"/>
        <rFont val="Arial"/>
        <family val="2"/>
      </rPr>
      <t>2</t>
    </r>
    <r>
      <rPr>
        <b/>
        <sz val="10"/>
        <color rgb="FFFF6600"/>
        <rFont val="Arial"/>
        <family val="2"/>
      </rPr>
      <t>E)</t>
    </r>
  </si>
  <si>
    <r>
      <rPr>
        <b/>
        <sz val="11"/>
        <color theme="1"/>
        <rFont val="Calibri"/>
        <family val="2"/>
      </rPr>
      <t>CO</t>
    </r>
    <r>
      <rPr>
        <b/>
        <vertAlign val="subscript"/>
        <sz val="10"/>
        <color theme="1"/>
        <rFont val="Arial"/>
        <family val="2"/>
      </rPr>
      <t>2</t>
    </r>
    <r>
      <rPr>
        <b/>
        <sz val="10"/>
        <color theme="1"/>
        <rFont val="Arial"/>
        <family val="2"/>
      </rPr>
      <t xml:space="preserve"> Emission from (Flaring + LFGTE) (MMTCO</t>
    </r>
    <r>
      <rPr>
        <b/>
        <vertAlign val="subscript"/>
        <sz val="10"/>
        <color theme="1"/>
        <rFont val="Arial"/>
        <family val="2"/>
      </rPr>
      <t>2</t>
    </r>
    <r>
      <rPr>
        <b/>
        <sz val="10"/>
        <color theme="1"/>
        <rFont val="Arial"/>
        <family val="2"/>
      </rPr>
      <t>E)</t>
    </r>
  </si>
  <si>
    <r>
      <rPr>
        <b/>
        <sz val="11"/>
        <color rgb="FFFF6600"/>
        <rFont val="Calibri"/>
        <family val="2"/>
      </rPr>
      <t xml:space="preserve"> CO</t>
    </r>
    <r>
      <rPr>
        <b/>
        <vertAlign val="subscript"/>
        <sz val="11"/>
        <color rgb="FFFF6600"/>
        <rFont val="Calibri"/>
        <family val="2"/>
      </rPr>
      <t>2</t>
    </r>
    <r>
      <rPr>
        <b/>
        <sz val="11"/>
        <color rgb="FFFF6600"/>
        <rFont val="Calibri"/>
        <family val="2"/>
      </rPr>
      <t xml:space="preserve"> Emission from Landfill (MTCO</t>
    </r>
    <r>
      <rPr>
        <b/>
        <vertAlign val="subscript"/>
        <sz val="11"/>
        <color rgb="FFFF6600"/>
        <rFont val="Calibri"/>
        <family val="2"/>
      </rPr>
      <t>2</t>
    </r>
    <r>
      <rPr>
        <b/>
        <sz val="11"/>
        <color rgb="FFFF6600"/>
        <rFont val="Calibri"/>
        <family val="2"/>
      </rPr>
      <t>E)</t>
    </r>
  </si>
  <si>
    <r>
      <rPr>
        <b/>
        <sz val="11"/>
        <color theme="1"/>
        <rFont val="Calibri"/>
        <family val="2"/>
      </rPr>
      <t xml:space="preserve"> CO</t>
    </r>
    <r>
      <rPr>
        <b/>
        <vertAlign val="subscript"/>
        <sz val="11"/>
        <color theme="1"/>
        <rFont val="Calibri"/>
        <family val="2"/>
      </rPr>
      <t>2</t>
    </r>
    <r>
      <rPr>
        <b/>
        <sz val="11"/>
        <color theme="1"/>
        <rFont val="Calibri"/>
        <family val="2"/>
      </rPr>
      <t xml:space="preserve"> Emission from Landfill (MMTCO</t>
    </r>
    <r>
      <rPr>
        <b/>
        <vertAlign val="subscript"/>
        <sz val="11"/>
        <color theme="1"/>
        <rFont val="Calibri"/>
        <family val="2"/>
      </rPr>
      <t>2</t>
    </r>
    <r>
      <rPr>
        <b/>
        <sz val="11"/>
        <color theme="1"/>
        <rFont val="Calibri"/>
        <family val="2"/>
      </rPr>
      <t>E)</t>
    </r>
  </si>
  <si>
    <r>
      <rPr>
        <b/>
        <sz val="11"/>
        <color theme="1"/>
        <rFont val="Calibri"/>
        <family val="2"/>
      </rPr>
      <t>Total CH</t>
    </r>
    <r>
      <rPr>
        <b/>
        <vertAlign val="subscript"/>
        <sz val="10"/>
        <color theme="1"/>
        <rFont val="Arial"/>
        <family val="2"/>
      </rPr>
      <t>4</t>
    </r>
    <r>
      <rPr>
        <b/>
        <sz val="10"/>
        <color theme="1"/>
        <rFont val="Arial"/>
        <family val="2"/>
      </rPr>
      <t xml:space="preserve"> Emissions (MMTCO</t>
    </r>
    <r>
      <rPr>
        <b/>
        <vertAlign val="subscript"/>
        <sz val="10"/>
        <color theme="1"/>
        <rFont val="Arial"/>
        <family val="2"/>
      </rPr>
      <t>2</t>
    </r>
    <r>
      <rPr>
        <b/>
        <sz val="10"/>
        <color theme="1"/>
        <rFont val="Arial"/>
        <family val="2"/>
      </rPr>
      <t>E)</t>
    </r>
  </si>
  <si>
    <t>Incinerator Emissions</t>
  </si>
  <si>
    <t xml:space="preserve">MD Summary </t>
  </si>
  <si>
    <t>Wheelabrator Baltimore</t>
  </si>
  <si>
    <t>Fort Detrick</t>
  </si>
  <si>
    <t>Incinerator #1</t>
  </si>
  <si>
    <t>Incinerator #4</t>
  </si>
  <si>
    <t>Incinerator #5</t>
  </si>
  <si>
    <t>Incinerator #6</t>
  </si>
  <si>
    <t>MSW Processed (tons)</t>
  </si>
  <si>
    <t>MSW HHV (mmbtu/short tons)</t>
  </si>
  <si>
    <t>EPA factor</t>
  </si>
  <si>
    <t>MSW Heat Input (mmbtu)</t>
  </si>
  <si>
    <r>
      <rPr>
        <sz val="11"/>
        <color theme="1"/>
        <rFont val="Calibri"/>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</si>
  <si>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11"/>
        <color theme="1"/>
        <rFont val="Calibri"/>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</si>
  <si>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11"/>
        <color theme="1"/>
        <rFont val="Calibri"/>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</si>
  <si>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11"/>
        <color theme="1"/>
        <rFont val="Calibri"/>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</si>
  <si>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11"/>
        <color theme="1"/>
        <rFont val="Calibri"/>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</si>
  <si>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11"/>
        <color theme="1"/>
        <rFont val="Calibri"/>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</si>
  <si>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</si>
  <si>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</si>
  <si>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</si>
  <si>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</si>
  <si>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</si>
  <si>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</si>
  <si>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</si>
  <si>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</si>
  <si>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Estimate (short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</si>
  <si>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</si>
  <si>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</si>
  <si>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t>CEM/ECR</t>
  </si>
  <si>
    <r>
      <rPr>
        <sz val="11"/>
        <color theme="1"/>
        <rFont val="Calibri"/>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</si>
  <si>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</si>
  <si>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</si>
  <si>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</si>
  <si>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</si>
  <si>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</si>
  <si>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11"/>
        <color theme="1"/>
        <rFont val="Calibri"/>
        <family val="2"/>
      </rPr>
      <t>CO</t>
    </r>
    <r>
      <rPr>
        <vertAlign val="subscript"/>
        <sz val="8"/>
        <color theme="1"/>
        <rFont val="Arial"/>
        <family val="2"/>
      </rPr>
      <t>2</t>
    </r>
    <r>
      <rPr>
        <sz val="8"/>
        <color theme="1"/>
        <rFont val="Arial"/>
        <family val="2"/>
      </rPr>
      <t xml:space="preserve"> Emission CEM Readings (short tons CO</t>
    </r>
    <r>
      <rPr>
        <vertAlign val="subscript"/>
        <sz val="8"/>
        <color theme="1"/>
        <rFont val="Arial"/>
        <family val="2"/>
      </rPr>
      <t>2</t>
    </r>
    <r>
      <rPr>
        <sz val="8"/>
        <color theme="1"/>
        <rFont val="Arial"/>
        <family val="2"/>
      </rPr>
      <t>)</t>
    </r>
  </si>
  <si>
    <r>
      <rPr>
        <sz val="11"/>
        <color theme="1"/>
        <rFont val="Calibri"/>
        <family val="2"/>
      </rPr>
      <t>CH</t>
    </r>
    <r>
      <rPr>
        <vertAlign val="subscript"/>
        <sz val="8"/>
        <color theme="1"/>
        <rFont val="Arial"/>
        <family val="2"/>
      </rPr>
      <t>4</t>
    </r>
    <r>
      <rPr>
        <sz val="8"/>
        <color theme="1"/>
        <rFont val="Arial"/>
        <family val="2"/>
      </rPr>
      <t xml:space="preserve"> Emission Factor (kg/mmbtu)</t>
    </r>
  </si>
  <si>
    <r>
      <rPr>
        <sz val="11"/>
        <color theme="1"/>
        <rFont val="Calibri"/>
        <family val="2"/>
      </rPr>
      <t>CH</t>
    </r>
    <r>
      <rPr>
        <vertAlign val="subscript"/>
        <sz val="8"/>
        <color theme="1"/>
        <rFont val="Arial"/>
        <family val="2"/>
      </rPr>
      <t>4</t>
    </r>
    <r>
      <rPr>
        <sz val="8"/>
        <color theme="1"/>
        <rFont val="Arial"/>
        <family val="2"/>
      </rPr>
      <t xml:space="preserve"> Emission Factor (kg/mmbtu)</t>
    </r>
  </si>
  <si>
    <r>
      <rPr>
        <sz val="11"/>
        <color theme="1"/>
        <rFont val="Calibri"/>
        <family val="2"/>
      </rPr>
      <t>CH</t>
    </r>
    <r>
      <rPr>
        <vertAlign val="subscript"/>
        <sz val="8"/>
        <color theme="1"/>
        <rFont val="Arial"/>
        <family val="2"/>
      </rPr>
      <t>4</t>
    </r>
    <r>
      <rPr>
        <sz val="8"/>
        <color theme="1"/>
        <rFont val="Arial"/>
        <family val="2"/>
      </rPr>
      <t xml:space="preserve"> Emission Factor (kg/mmbtu)</t>
    </r>
  </si>
  <si>
    <r>
      <rPr>
        <sz val="11"/>
        <color theme="1"/>
        <rFont val="Calibri"/>
        <family val="2"/>
      </rPr>
      <t>CH</t>
    </r>
    <r>
      <rPr>
        <vertAlign val="subscript"/>
        <sz val="8"/>
        <color theme="1"/>
        <rFont val="Arial"/>
        <family val="2"/>
      </rPr>
      <t>4</t>
    </r>
    <r>
      <rPr>
        <sz val="8"/>
        <color theme="1"/>
        <rFont val="Arial"/>
        <family val="2"/>
      </rPr>
      <t xml:space="preserve"> Emission Factor (kg/mmbtu)</t>
    </r>
  </si>
  <si>
    <r>
      <rPr>
        <sz val="11"/>
        <color theme="1"/>
        <rFont val="Calibri"/>
        <family val="2"/>
      </rPr>
      <t>CH</t>
    </r>
    <r>
      <rPr>
        <vertAlign val="subscript"/>
        <sz val="8"/>
        <color theme="1"/>
        <rFont val="Arial"/>
        <family val="2"/>
      </rPr>
      <t>4</t>
    </r>
    <r>
      <rPr>
        <sz val="8"/>
        <color theme="1"/>
        <rFont val="Arial"/>
        <family val="2"/>
      </rPr>
      <t xml:space="preserve"> Emission Factor (kg/mmbtu)</t>
    </r>
  </si>
  <si>
    <r>
      <rPr>
        <sz val="11"/>
        <color theme="1"/>
        <rFont val="Calibri"/>
        <family val="2"/>
      </rPr>
      <t>CH</t>
    </r>
    <r>
      <rPr>
        <vertAlign val="subscript"/>
        <sz val="8"/>
        <color theme="1"/>
        <rFont val="Arial"/>
        <family val="2"/>
      </rPr>
      <t>4</t>
    </r>
    <r>
      <rPr>
        <sz val="8"/>
        <color theme="1"/>
        <rFont val="Arial"/>
        <family val="2"/>
      </rPr>
      <t xml:space="preserve"> Emissions (kg)</t>
    </r>
  </si>
  <si>
    <r>
      <rPr>
        <sz val="11"/>
        <color theme="1"/>
        <rFont val="Calibri"/>
        <family val="2"/>
      </rPr>
      <t>CH</t>
    </r>
    <r>
      <rPr>
        <vertAlign val="subscript"/>
        <sz val="8"/>
        <color theme="1"/>
        <rFont val="Arial"/>
        <family val="2"/>
      </rPr>
      <t>4</t>
    </r>
    <r>
      <rPr>
        <sz val="8"/>
        <color theme="1"/>
        <rFont val="Arial"/>
        <family val="2"/>
      </rPr>
      <t xml:space="preserve"> Emissions (kg)</t>
    </r>
  </si>
  <si>
    <r>
      <rPr>
        <sz val="11"/>
        <color theme="1"/>
        <rFont val="Calibri"/>
        <family val="2"/>
      </rPr>
      <t>CH</t>
    </r>
    <r>
      <rPr>
        <vertAlign val="subscript"/>
        <sz val="8"/>
        <color theme="1"/>
        <rFont val="Arial"/>
        <family val="2"/>
      </rPr>
      <t>4</t>
    </r>
    <r>
      <rPr>
        <sz val="8"/>
        <color theme="1"/>
        <rFont val="Arial"/>
        <family val="2"/>
      </rPr>
      <t xml:space="preserve"> Emissions (kg)</t>
    </r>
  </si>
  <si>
    <r>
      <rPr>
        <sz val="11"/>
        <color theme="1"/>
        <rFont val="Calibri"/>
        <family val="2"/>
      </rPr>
      <t>CH</t>
    </r>
    <r>
      <rPr>
        <vertAlign val="subscript"/>
        <sz val="8"/>
        <color theme="1"/>
        <rFont val="Arial"/>
        <family val="2"/>
      </rPr>
      <t>4</t>
    </r>
    <r>
      <rPr>
        <sz val="8"/>
        <color theme="1"/>
        <rFont val="Arial"/>
        <family val="2"/>
      </rPr>
      <t xml:space="preserve"> Emissions (kg)</t>
    </r>
  </si>
  <si>
    <r>
      <rPr>
        <sz val="11"/>
        <color theme="1"/>
        <rFont val="Calibri"/>
        <family val="2"/>
      </rPr>
      <t>CH</t>
    </r>
    <r>
      <rPr>
        <vertAlign val="subscript"/>
        <sz val="8"/>
        <color theme="1"/>
        <rFont val="Arial"/>
        <family val="2"/>
      </rPr>
      <t>4</t>
    </r>
    <r>
      <rPr>
        <sz val="8"/>
        <color theme="1"/>
        <rFont val="Arial"/>
        <family val="2"/>
      </rPr>
      <t xml:space="preserve"> Emissions (kg)</t>
    </r>
  </si>
  <si>
    <r>
      <rPr>
        <sz val="11"/>
        <color theme="1"/>
        <rFont val="Calibri"/>
        <family val="2"/>
      </rPr>
      <t>CH</t>
    </r>
    <r>
      <rPr>
        <vertAlign val="subscript"/>
        <sz val="8"/>
        <color theme="1"/>
        <rFont val="Arial"/>
        <family val="2"/>
      </rPr>
      <t>4</t>
    </r>
    <r>
      <rPr>
        <sz val="8"/>
        <color theme="1"/>
        <rFont val="Arial"/>
        <family val="2"/>
      </rPr>
      <t xml:space="preserve"> Emissions (short tons)</t>
    </r>
  </si>
  <si>
    <r>
      <rPr>
        <sz val="11"/>
        <color theme="1"/>
        <rFont val="Calibri"/>
        <family val="2"/>
      </rPr>
      <t>CH</t>
    </r>
    <r>
      <rPr>
        <vertAlign val="subscript"/>
        <sz val="8"/>
        <color theme="1"/>
        <rFont val="Arial"/>
        <family val="2"/>
      </rPr>
      <t>4</t>
    </r>
    <r>
      <rPr>
        <sz val="8"/>
        <color theme="1"/>
        <rFont val="Arial"/>
        <family val="2"/>
      </rPr>
      <t xml:space="preserve"> Emissions (short tons)</t>
    </r>
  </si>
  <si>
    <r>
      <rPr>
        <sz val="11"/>
        <color theme="1"/>
        <rFont val="Calibri"/>
        <family val="2"/>
      </rPr>
      <t>CH</t>
    </r>
    <r>
      <rPr>
        <vertAlign val="subscript"/>
        <sz val="8"/>
        <color theme="1"/>
        <rFont val="Arial"/>
        <family val="2"/>
      </rPr>
      <t>4</t>
    </r>
    <r>
      <rPr>
        <sz val="8"/>
        <color theme="1"/>
        <rFont val="Arial"/>
        <family val="2"/>
      </rPr>
      <t xml:space="preserve"> Emissions (short tons)</t>
    </r>
  </si>
  <si>
    <r>
      <rPr>
        <sz val="11"/>
        <color theme="1"/>
        <rFont val="Calibri"/>
        <family val="2"/>
      </rPr>
      <t>CH</t>
    </r>
    <r>
      <rPr>
        <vertAlign val="subscript"/>
        <sz val="8"/>
        <color theme="1"/>
        <rFont val="Arial"/>
        <family val="2"/>
      </rPr>
      <t>4</t>
    </r>
    <r>
      <rPr>
        <sz val="8"/>
        <color theme="1"/>
        <rFont val="Arial"/>
        <family val="2"/>
      </rPr>
      <t xml:space="preserve"> Emissions (short tons)</t>
    </r>
  </si>
  <si>
    <r>
      <rPr>
        <sz val="11"/>
        <color theme="1"/>
        <rFont val="Calibri"/>
        <family val="2"/>
      </rPr>
      <t>CH</t>
    </r>
    <r>
      <rPr>
        <vertAlign val="subscript"/>
        <sz val="8"/>
        <color theme="1"/>
        <rFont val="Arial"/>
        <family val="2"/>
      </rPr>
      <t>4</t>
    </r>
    <r>
      <rPr>
        <sz val="8"/>
        <color theme="1"/>
        <rFont val="Arial"/>
        <family val="2"/>
      </rPr>
      <t xml:space="preserve"> Emissions (short tons)</t>
    </r>
  </si>
  <si>
    <r>
      <rPr>
        <sz val="11"/>
        <color theme="1"/>
        <rFont val="Calibri"/>
        <family val="2"/>
      </rPr>
      <t>CH</t>
    </r>
    <r>
      <rPr>
        <vertAlign val="subscript"/>
        <sz val="8"/>
        <color theme="1"/>
        <rFont val="Arial"/>
        <family val="2"/>
      </rPr>
      <t>4</t>
    </r>
    <r>
      <rPr>
        <sz val="8"/>
        <color theme="1"/>
        <rFont val="Arial"/>
        <family val="2"/>
      </rPr>
      <t xml:space="preserve"> Emissions (short tons)</t>
    </r>
  </si>
  <si>
    <r>
      <rPr>
        <sz val="11"/>
        <color theme="1"/>
        <rFont val="Calibri"/>
        <family val="2"/>
      </rPr>
      <t>CH</t>
    </r>
    <r>
      <rPr>
        <vertAlign val="subscript"/>
        <sz val="8"/>
        <color theme="1"/>
        <rFont val="Arial"/>
        <family val="2"/>
      </rPr>
      <t>4</t>
    </r>
    <r>
      <rPr>
        <sz val="8"/>
        <color theme="1"/>
        <rFont val="Arial"/>
        <family val="2"/>
      </rPr>
      <t xml:space="preserve"> Emissions (short tons)</t>
    </r>
  </si>
  <si>
    <r>
      <rPr>
        <sz val="11"/>
        <color theme="1"/>
        <rFont val="Calibri"/>
        <family val="2"/>
      </rPr>
      <t>CH</t>
    </r>
    <r>
      <rPr>
        <vertAlign val="subscript"/>
        <sz val="8"/>
        <color theme="1"/>
        <rFont val="Arial"/>
        <family val="2"/>
      </rPr>
      <t>4</t>
    </r>
    <r>
      <rPr>
        <sz val="8"/>
        <color theme="1"/>
        <rFont val="Arial"/>
        <family val="2"/>
      </rPr>
      <t xml:space="preserve"> Emissions (short tons)</t>
    </r>
  </si>
  <si>
    <r>
      <rPr>
        <sz val="11"/>
        <color theme="1"/>
        <rFont val="Calibri"/>
        <family val="2"/>
      </rPr>
      <t>CH</t>
    </r>
    <r>
      <rPr>
        <vertAlign val="subscript"/>
        <sz val="8"/>
        <color theme="1"/>
        <rFont val="Arial"/>
        <family val="2"/>
      </rPr>
      <t>4</t>
    </r>
    <r>
      <rPr>
        <sz val="8"/>
        <color theme="1"/>
        <rFont val="Arial"/>
        <family val="2"/>
      </rPr>
      <t xml:space="preserve"> Emissions (short tons)</t>
    </r>
  </si>
  <si>
    <r>
      <rPr>
        <sz val="11"/>
        <color theme="1"/>
        <rFont val="Calibri"/>
        <family val="2"/>
      </rPr>
      <t>CH</t>
    </r>
    <r>
      <rPr>
        <sz val="8"/>
        <color theme="1"/>
        <rFont val="Arial"/>
        <family val="2"/>
      </rPr>
      <t>4 Emissions (short tons CO2e)</t>
    </r>
  </si>
  <si>
    <r>
      <rPr>
        <sz val="11"/>
        <color theme="1"/>
        <rFont val="Calibri"/>
        <family val="2"/>
      </rPr>
      <t>N</t>
    </r>
    <r>
      <rPr>
        <vertAlign val="subscript"/>
        <sz val="8"/>
        <color theme="1"/>
        <rFont val="Arial"/>
        <family val="2"/>
      </rPr>
      <t>2</t>
    </r>
    <r>
      <rPr>
        <sz val="8"/>
        <color theme="1"/>
        <rFont val="Arial"/>
        <family val="2"/>
      </rPr>
      <t>O Emission Factor (kg/mmbtu)</t>
    </r>
  </si>
  <si>
    <r>
      <rPr>
        <sz val="11"/>
        <color theme="1"/>
        <rFont val="Calibri"/>
        <family val="2"/>
      </rPr>
      <t>N</t>
    </r>
    <r>
      <rPr>
        <vertAlign val="subscript"/>
        <sz val="8"/>
        <color theme="1"/>
        <rFont val="Arial"/>
        <family val="2"/>
      </rPr>
      <t>2</t>
    </r>
    <r>
      <rPr>
        <sz val="8"/>
        <color theme="1"/>
        <rFont val="Arial"/>
        <family val="2"/>
      </rPr>
      <t>O Emission Factor (kg/mmbtu)</t>
    </r>
  </si>
  <si>
    <r>
      <rPr>
        <sz val="11"/>
        <color theme="1"/>
        <rFont val="Calibri"/>
        <family val="2"/>
      </rPr>
      <t>N</t>
    </r>
    <r>
      <rPr>
        <vertAlign val="subscript"/>
        <sz val="8"/>
        <color theme="1"/>
        <rFont val="Arial"/>
        <family val="2"/>
      </rPr>
      <t>2</t>
    </r>
    <r>
      <rPr>
        <sz val="8"/>
        <color theme="1"/>
        <rFont val="Arial"/>
        <family val="2"/>
      </rPr>
      <t>O Emission Factor (kg/mmbtu)</t>
    </r>
  </si>
  <si>
    <r>
      <rPr>
        <sz val="11"/>
        <color theme="1"/>
        <rFont val="Calibri"/>
        <family val="2"/>
      </rPr>
      <t>N</t>
    </r>
    <r>
      <rPr>
        <vertAlign val="subscript"/>
        <sz val="8"/>
        <color theme="1"/>
        <rFont val="Arial"/>
        <family val="2"/>
      </rPr>
      <t>2</t>
    </r>
    <r>
      <rPr>
        <sz val="8"/>
        <color theme="1"/>
        <rFont val="Arial"/>
        <family val="2"/>
      </rPr>
      <t>O Emission Factor (kg/mmbtu)</t>
    </r>
  </si>
  <si>
    <r>
      <rPr>
        <sz val="11"/>
        <color theme="1"/>
        <rFont val="Calibri"/>
        <family val="2"/>
      </rPr>
      <t>N</t>
    </r>
    <r>
      <rPr>
        <vertAlign val="subscript"/>
        <sz val="8"/>
        <color theme="1"/>
        <rFont val="Arial"/>
        <family val="2"/>
      </rPr>
      <t>2</t>
    </r>
    <r>
      <rPr>
        <sz val="8"/>
        <color theme="1"/>
        <rFont val="Arial"/>
        <family val="2"/>
      </rPr>
      <t>O Emission Factor (kg/mmbtu)</t>
    </r>
  </si>
  <si>
    <r>
      <rPr>
        <sz val="11"/>
        <color theme="1"/>
        <rFont val="Calibri"/>
        <family val="2"/>
      </rPr>
      <t>N</t>
    </r>
    <r>
      <rPr>
        <vertAlign val="subscript"/>
        <sz val="8"/>
        <color theme="1"/>
        <rFont val="Arial"/>
        <family val="2"/>
      </rPr>
      <t>2</t>
    </r>
    <r>
      <rPr>
        <sz val="8"/>
        <color theme="1"/>
        <rFont val="Arial"/>
        <family val="2"/>
      </rPr>
      <t>O Emissions (kg)</t>
    </r>
  </si>
  <si>
    <r>
      <rPr>
        <sz val="11"/>
        <color theme="1"/>
        <rFont val="Calibri"/>
        <family val="2"/>
      </rPr>
      <t>N</t>
    </r>
    <r>
      <rPr>
        <vertAlign val="subscript"/>
        <sz val="8"/>
        <color theme="1"/>
        <rFont val="Arial"/>
        <family val="2"/>
      </rPr>
      <t>2</t>
    </r>
    <r>
      <rPr>
        <sz val="8"/>
        <color theme="1"/>
        <rFont val="Arial"/>
        <family val="2"/>
      </rPr>
      <t>O Emissions (kg)</t>
    </r>
  </si>
  <si>
    <r>
      <rPr>
        <sz val="11"/>
        <color theme="1"/>
        <rFont val="Calibri"/>
        <family val="2"/>
      </rPr>
      <t>N</t>
    </r>
    <r>
      <rPr>
        <vertAlign val="subscript"/>
        <sz val="8"/>
        <color theme="1"/>
        <rFont val="Arial"/>
        <family val="2"/>
      </rPr>
      <t>2</t>
    </r>
    <r>
      <rPr>
        <sz val="8"/>
        <color theme="1"/>
        <rFont val="Arial"/>
        <family val="2"/>
      </rPr>
      <t>O Emissions (kg)</t>
    </r>
  </si>
  <si>
    <r>
      <rPr>
        <sz val="11"/>
        <color theme="1"/>
        <rFont val="Calibri"/>
        <family val="2"/>
      </rPr>
      <t>N</t>
    </r>
    <r>
      <rPr>
        <vertAlign val="subscript"/>
        <sz val="8"/>
        <color theme="1"/>
        <rFont val="Arial"/>
        <family val="2"/>
      </rPr>
      <t>2</t>
    </r>
    <r>
      <rPr>
        <sz val="8"/>
        <color theme="1"/>
        <rFont val="Arial"/>
        <family val="2"/>
      </rPr>
      <t>O Emissions (kg)</t>
    </r>
  </si>
  <si>
    <r>
      <rPr>
        <sz val="11"/>
        <color theme="1"/>
        <rFont val="Calibri"/>
        <family val="2"/>
      </rPr>
      <t>N</t>
    </r>
    <r>
      <rPr>
        <vertAlign val="subscript"/>
        <sz val="8"/>
        <color theme="1"/>
        <rFont val="Arial"/>
        <family val="2"/>
      </rPr>
      <t>2</t>
    </r>
    <r>
      <rPr>
        <sz val="8"/>
        <color theme="1"/>
        <rFont val="Arial"/>
        <family val="2"/>
      </rPr>
      <t>O Emissions (kg)</t>
    </r>
  </si>
  <si>
    <r>
      <rPr>
        <sz val="11"/>
        <color theme="1"/>
        <rFont val="Calibri"/>
        <family val="2"/>
      </rPr>
      <t>N</t>
    </r>
    <r>
      <rPr>
        <vertAlign val="subscript"/>
        <sz val="8"/>
        <color theme="1"/>
        <rFont val="Arial"/>
        <family val="2"/>
      </rPr>
      <t>2</t>
    </r>
    <r>
      <rPr>
        <sz val="8"/>
        <color theme="1"/>
        <rFont val="Arial"/>
        <family val="2"/>
      </rPr>
      <t>O Emissions (short tons)</t>
    </r>
  </si>
  <si>
    <r>
      <rPr>
        <sz val="11"/>
        <color theme="1"/>
        <rFont val="Calibri"/>
        <family val="2"/>
      </rPr>
      <t>N</t>
    </r>
    <r>
      <rPr>
        <vertAlign val="subscript"/>
        <sz val="8"/>
        <color theme="1"/>
        <rFont val="Arial"/>
        <family val="2"/>
      </rPr>
      <t>2</t>
    </r>
    <r>
      <rPr>
        <sz val="8"/>
        <color theme="1"/>
        <rFont val="Arial"/>
        <family val="2"/>
      </rPr>
      <t>O Emissions (short tons)</t>
    </r>
  </si>
  <si>
    <r>
      <rPr>
        <sz val="11"/>
        <color theme="1"/>
        <rFont val="Calibri"/>
        <family val="2"/>
      </rPr>
      <t>N</t>
    </r>
    <r>
      <rPr>
        <vertAlign val="subscript"/>
        <sz val="8"/>
        <color theme="1"/>
        <rFont val="Arial"/>
        <family val="2"/>
      </rPr>
      <t>2</t>
    </r>
    <r>
      <rPr>
        <sz val="8"/>
        <color theme="1"/>
        <rFont val="Arial"/>
        <family val="2"/>
      </rPr>
      <t>O Emissions (short tons)</t>
    </r>
  </si>
  <si>
    <r>
      <rPr>
        <sz val="11"/>
        <color theme="1"/>
        <rFont val="Calibri"/>
        <family val="2"/>
      </rPr>
      <t>N</t>
    </r>
    <r>
      <rPr>
        <vertAlign val="subscript"/>
        <sz val="8"/>
        <color theme="1"/>
        <rFont val="Arial"/>
        <family val="2"/>
      </rPr>
      <t>2</t>
    </r>
    <r>
      <rPr>
        <sz val="8"/>
        <color theme="1"/>
        <rFont val="Arial"/>
        <family val="2"/>
      </rPr>
      <t>O Emissions (short tons)</t>
    </r>
  </si>
  <si>
    <r>
      <rPr>
        <sz val="11"/>
        <color theme="1"/>
        <rFont val="Calibri"/>
        <family val="2"/>
      </rPr>
      <t>N</t>
    </r>
    <r>
      <rPr>
        <vertAlign val="subscript"/>
        <sz val="8"/>
        <color theme="1"/>
        <rFont val="Arial"/>
        <family val="2"/>
      </rPr>
      <t>2</t>
    </r>
    <r>
      <rPr>
        <sz val="8"/>
        <color theme="1"/>
        <rFont val="Arial"/>
        <family val="2"/>
      </rPr>
      <t>O Emissions (short tons)</t>
    </r>
  </si>
  <si>
    <r>
      <rPr>
        <sz val="11"/>
        <color theme="1"/>
        <rFont val="Calibri"/>
        <family val="2"/>
      </rPr>
      <t>N</t>
    </r>
    <r>
      <rPr>
        <vertAlign val="subscript"/>
        <sz val="8"/>
        <color theme="1"/>
        <rFont val="Arial"/>
        <family val="2"/>
      </rPr>
      <t>2</t>
    </r>
    <r>
      <rPr>
        <sz val="8"/>
        <color theme="1"/>
        <rFont val="Arial"/>
        <family val="2"/>
      </rPr>
      <t>O Emissions (short tons)</t>
    </r>
  </si>
  <si>
    <r>
      <rPr>
        <sz val="11"/>
        <color theme="1"/>
        <rFont val="Calibri"/>
        <family val="2"/>
      </rPr>
      <t>N</t>
    </r>
    <r>
      <rPr>
        <vertAlign val="subscript"/>
        <sz val="8"/>
        <color theme="1"/>
        <rFont val="Arial"/>
        <family val="2"/>
      </rPr>
      <t>2</t>
    </r>
    <r>
      <rPr>
        <sz val="8"/>
        <color theme="1"/>
        <rFont val="Arial"/>
        <family val="2"/>
      </rPr>
      <t>O Emissions (short tons)</t>
    </r>
  </si>
  <si>
    <r>
      <rPr>
        <sz val="11"/>
        <color theme="1"/>
        <rFont val="Calibri"/>
        <family val="2"/>
      </rPr>
      <t>N</t>
    </r>
    <r>
      <rPr>
        <vertAlign val="subscript"/>
        <sz val="8"/>
        <color theme="1"/>
        <rFont val="Arial"/>
        <family val="2"/>
      </rPr>
      <t>2</t>
    </r>
    <r>
      <rPr>
        <sz val="8"/>
        <color theme="1"/>
        <rFont val="Arial"/>
        <family val="2"/>
      </rPr>
      <t>O Emissions (short tons)</t>
    </r>
  </si>
  <si>
    <r>
      <rPr>
        <sz val="11"/>
        <color theme="1"/>
        <rFont val="Calibri"/>
        <family val="2"/>
      </rPr>
      <t>N</t>
    </r>
    <r>
      <rPr>
        <vertAlign val="subscript"/>
        <sz val="8"/>
        <color theme="1"/>
        <rFont val="Arial"/>
        <family val="2"/>
      </rPr>
      <t>2</t>
    </r>
    <r>
      <rPr>
        <sz val="8"/>
        <color theme="1"/>
        <rFont val="Arial"/>
        <family val="2"/>
      </rPr>
      <t>O Emissions (short tons)</t>
    </r>
  </si>
  <si>
    <r>
      <rPr>
        <sz val="11"/>
        <color theme="1"/>
        <rFont val="Calibri"/>
        <family val="2"/>
      </rPr>
      <t>N</t>
    </r>
    <r>
      <rPr>
        <sz val="8"/>
        <color theme="1"/>
        <rFont val="Arial"/>
        <family val="2"/>
      </rPr>
      <t>2O Emissions (short tons CO2e)</t>
    </r>
  </si>
  <si>
    <t>Residential Open Burning - Leaves, Brush, MSW</t>
  </si>
  <si>
    <r>
      <rPr>
        <b/>
        <sz val="11"/>
        <color theme="1"/>
        <rFont val="Calibri"/>
        <family val="2"/>
      </rPr>
      <t>(MMTCO</t>
    </r>
    <r>
      <rPr>
        <b/>
        <vertAlign val="subscript"/>
        <sz val="11"/>
        <color theme="1"/>
        <rFont val="Calibri"/>
        <family val="2"/>
      </rPr>
      <t>2</t>
    </r>
    <r>
      <rPr>
        <b/>
        <sz val="11"/>
        <color theme="1"/>
        <rFont val="Calibri"/>
        <family val="2"/>
      </rPr>
      <t>E)</t>
    </r>
  </si>
  <si>
    <t>Open Burning</t>
  </si>
  <si>
    <t>Emissions from Natural Gas Activities in MD</t>
  </si>
  <si>
    <t>Natural Gas - Production</t>
  </si>
  <si>
    <t>Activity Data</t>
  </si>
  <si>
    <r>
      <rPr>
        <b/>
        <sz val="11"/>
        <color theme="1"/>
        <rFont val="Calibri"/>
        <family val="2"/>
      </rPr>
      <t>Metric Tons CH</t>
    </r>
    <r>
      <rPr>
        <b/>
        <vertAlign val="subscript"/>
        <sz val="8"/>
        <color theme="1"/>
        <rFont val="Comic Sans MS"/>
        <family val="4"/>
      </rPr>
      <t>4</t>
    </r>
  </si>
  <si>
    <r>
      <rPr>
        <b/>
        <sz val="11"/>
        <color theme="1"/>
        <rFont val="Calibri"/>
        <family val="2"/>
      </rPr>
      <t>MMTCO</t>
    </r>
    <r>
      <rPr>
        <b/>
        <vertAlign val="subscript"/>
        <sz val="8"/>
        <color theme="1"/>
        <rFont val="Comic Sans MS"/>
        <family val="4"/>
      </rPr>
      <t>2</t>
    </r>
    <r>
      <rPr>
        <b/>
        <sz val="8"/>
        <color theme="1"/>
        <rFont val="Comic Sans MS"/>
        <family val="4"/>
      </rPr>
      <t>E</t>
    </r>
  </si>
  <si>
    <r>
      <rPr>
        <sz val="11"/>
        <color theme="1"/>
        <rFont val="Calibri"/>
        <family val="2"/>
      </rPr>
      <t>metric tons CH</t>
    </r>
    <r>
      <rPr>
        <vertAlign val="subscript"/>
        <sz val="8"/>
        <color theme="1"/>
        <rFont val="Comic Sans MS"/>
        <family val="4"/>
      </rPr>
      <t>4</t>
    </r>
    <r>
      <rPr>
        <sz val="8"/>
        <color theme="1"/>
        <rFont val="Comic Sans MS"/>
        <family val="4"/>
      </rPr>
      <t xml:space="preserve"> per year per activity unit</t>
    </r>
  </si>
  <si>
    <t>Total number of wells</t>
  </si>
  <si>
    <t>Number of off-shore platforms not in the Gulf of Mexico</t>
  </si>
  <si>
    <t xml:space="preserve">Total  </t>
  </si>
  <si>
    <t>Number of Wells from EIA, " Natural Gas Navigator- Maryland Natural Gas Number of Gas and Gas Condensate Wells" acccessed from: http://tonto.eia.doe.gov/dnav/ng/hist/na1170_smd_8a.htm</t>
  </si>
  <si>
    <t>http://www.eia.gov/naturalgas/annual/pdf/table_005.pdf</t>
  </si>
  <si>
    <r>
      <rPr>
        <sz val="11"/>
        <color theme="1"/>
        <rFont val="Calibri"/>
        <family val="2"/>
      </rPr>
      <t>Emission factor from US EP</t>
    </r>
    <r>
      <rPr>
        <sz val="10"/>
        <color theme="1"/>
        <rFont val="Arial"/>
        <family val="2"/>
      </rPr>
      <t>A, Emissions Inventory Improvements Program,</t>
    </r>
    <r>
      <rPr>
        <i/>
        <sz val="10"/>
        <color theme="1"/>
        <rFont val="Arial"/>
        <family val="2"/>
      </rPr>
      <t xml:space="preserve"> Volume VII: Chpater 5. Methods for Estimating Methane Emissions from Natural Gas and Oil Systems. </t>
    </r>
    <r>
      <rPr>
        <sz val="10"/>
        <color theme="1"/>
        <rFont val="Arial"/>
        <family val="2"/>
      </rPr>
      <t>This factor represents emissions not just from wells but also from pneumatic devices, dehydrator vents, Kimray pumps, gas engines, and well clean-ups</t>
    </r>
  </si>
  <si>
    <t>Natural Gas - Distribution</t>
  </si>
  <si>
    <r>
      <rPr>
        <b/>
        <sz val="11"/>
        <color theme="1"/>
        <rFont val="Calibri"/>
        <family val="2"/>
      </rPr>
      <t>Metric Tons CH</t>
    </r>
    <r>
      <rPr>
        <b/>
        <vertAlign val="subscript"/>
        <sz val="7"/>
        <color theme="1"/>
        <rFont val="Comic Sans MS"/>
        <family val="4"/>
      </rPr>
      <t>4</t>
    </r>
  </si>
  <si>
    <r>
      <rPr>
        <b/>
        <sz val="11"/>
        <color theme="1"/>
        <rFont val="Calibri"/>
        <family val="2"/>
      </rPr>
      <t>MMTCO</t>
    </r>
    <r>
      <rPr>
        <b/>
        <vertAlign val="subscript"/>
        <sz val="7"/>
        <color theme="1"/>
        <rFont val="Comic Sans MS"/>
        <family val="4"/>
      </rPr>
      <t>2</t>
    </r>
    <r>
      <rPr>
        <b/>
        <sz val="7"/>
        <color theme="1"/>
        <rFont val="Comic Sans MS"/>
        <family val="4"/>
      </rPr>
      <t>E</t>
    </r>
  </si>
  <si>
    <t>Distribution pipeline</t>
  </si>
  <si>
    <r>
      <rPr>
        <sz val="11"/>
        <color theme="1"/>
        <rFont val="Calibri"/>
        <family val="2"/>
      </rPr>
      <t>(metric tons CH</t>
    </r>
    <r>
      <rPr>
        <vertAlign val="subscript"/>
        <sz val="7"/>
        <color theme="1"/>
        <rFont val="Comic Sans MS"/>
        <family val="4"/>
      </rPr>
      <t>4</t>
    </r>
    <r>
      <rPr>
        <sz val="7"/>
        <color theme="1"/>
        <rFont val="Comic Sans MS"/>
        <family val="4"/>
      </rPr>
      <t xml:space="preserve"> per year per activity unit)</t>
    </r>
  </si>
  <si>
    <t>Miles of cast iron distribution pipeline</t>
  </si>
  <si>
    <t>Miles of unprotected steel distribution pipeline</t>
  </si>
  <si>
    <t>Miles of protected steel distribution pipeline</t>
  </si>
  <si>
    <t>Miles of plastic distribution pipeline</t>
  </si>
  <si>
    <t>Services</t>
  </si>
  <si>
    <t>Total number of services</t>
  </si>
  <si>
    <t>Number of unprotected steel services</t>
  </si>
  <si>
    <t>Number of protected steel services</t>
  </si>
  <si>
    <t>Miles of Distribution pipeline from US Department of Transport, Office of Pipeline Safety, "  Distribution and Transmission Annuals data:1990 -2005" . Acess from http://www.phmsa.dot.gov/portal/</t>
  </si>
  <si>
    <r>
      <rPr>
        <sz val="11"/>
        <color theme="1"/>
        <rFont val="Calibri"/>
        <family val="2"/>
      </rPr>
      <t>All emission factors from US EP</t>
    </r>
    <r>
      <rPr>
        <sz val="10"/>
        <color theme="1"/>
        <rFont val="Arial"/>
        <family val="2"/>
      </rPr>
      <t>A, Emissions Inventory Improvements Program,</t>
    </r>
    <r>
      <rPr>
        <i/>
        <sz val="10"/>
        <color theme="1"/>
        <rFont val="Arial"/>
        <family val="2"/>
      </rPr>
      <t xml:space="preserve"> Volume VII: Chapter 5. Methods for Estimating Methane Emissions from Natural Gas and Oil Systems. </t>
    </r>
  </si>
  <si>
    <t>Natural Gas - Transmission</t>
  </si>
  <si>
    <r>
      <rPr>
        <b/>
        <sz val="11"/>
        <color theme="1"/>
        <rFont val="Calibri"/>
        <family val="2"/>
      </rPr>
      <t>Metric Tons CH</t>
    </r>
    <r>
      <rPr>
        <b/>
        <vertAlign val="subscript"/>
        <sz val="8"/>
        <color theme="1"/>
        <rFont val="Comic Sans MS"/>
        <family val="4"/>
      </rPr>
      <t>4</t>
    </r>
  </si>
  <si>
    <r>
      <rPr>
        <b/>
        <sz val="11"/>
        <color theme="1"/>
        <rFont val="Calibri"/>
        <family val="2"/>
      </rPr>
      <t>MMTCO</t>
    </r>
    <r>
      <rPr>
        <b/>
        <vertAlign val="subscript"/>
        <sz val="8"/>
        <color theme="1"/>
        <rFont val="Comic Sans MS"/>
        <family val="4"/>
      </rPr>
      <t>2</t>
    </r>
    <r>
      <rPr>
        <b/>
        <sz val="8"/>
        <color theme="1"/>
        <rFont val="Comic Sans MS"/>
        <family val="4"/>
      </rPr>
      <t>E</t>
    </r>
  </si>
  <si>
    <r>
      <rPr>
        <sz val="11"/>
        <color theme="1"/>
        <rFont val="Calibri"/>
        <family val="2"/>
      </rPr>
      <t>metric tons CH</t>
    </r>
    <r>
      <rPr>
        <vertAlign val="subscript"/>
        <sz val="8"/>
        <color theme="1"/>
        <rFont val="Comic Sans MS"/>
        <family val="4"/>
      </rPr>
      <t>4</t>
    </r>
    <r>
      <rPr>
        <sz val="8"/>
        <color theme="1"/>
        <rFont val="Comic Sans MS"/>
        <family val="4"/>
      </rPr>
      <t xml:space="preserve"> per year per activity unit</t>
    </r>
  </si>
  <si>
    <t>Miles of transmission pipeline</t>
  </si>
  <si>
    <t>Number of gas transmission compressor stations</t>
  </si>
  <si>
    <t>Number of gas storage compressor stations</t>
  </si>
  <si>
    <t xml:space="preserve">Number of LNG storage compressor stations from EIA, US LNG Markets and Uses, http://www.eia.doe.gov/pub/oil_gas/natural_gas/feature_articles/2003/lng/lng2003.pdf </t>
  </si>
  <si>
    <t>Miles of transmission pipeline from US Department of Transport, Office of Pipeline Safety, "  Distribution and Transmission Annuals data:1990 -2005" . Acess from http://www.phmsa.dot.gov/portal/</t>
  </si>
  <si>
    <t>Number of gas transmission compressor stations = miles of transmission pipeline x 0.006 -EIIP, Volume VII: Chapter 5,March 2005</t>
  </si>
  <si>
    <t>Number of gas storage compressor station  = miles of transmission pipeline x 0.0015 -EIIP, Volume VII: Chapter 5,March 2005</t>
  </si>
  <si>
    <r>
      <rPr>
        <sz val="11"/>
        <color theme="1"/>
        <rFont val="Calibri"/>
        <family val="2"/>
      </rPr>
      <t>All emission factors from US EP</t>
    </r>
    <r>
      <rPr>
        <sz val="10"/>
        <color theme="1"/>
        <rFont val="Arial"/>
        <family val="2"/>
      </rPr>
      <t>A, Emissions Inventory Improvements Program,</t>
    </r>
    <r>
      <rPr>
        <i/>
        <sz val="10"/>
        <color theme="1"/>
        <rFont val="Arial"/>
        <family val="2"/>
      </rPr>
      <t xml:space="preserve"> Volume VII: Chapter 5. Methods for Estimating Methane Emissions from Natural Gas and Oil Systems. </t>
    </r>
  </si>
  <si>
    <t>Natural Gas - Consumption as Pipeline Fuel</t>
  </si>
  <si>
    <t xml:space="preserve">                         Emission Factors:</t>
  </si>
  <si>
    <t xml:space="preserve"> Combustion</t>
  </si>
  <si>
    <r>
      <rPr>
        <b/>
        <sz val="11"/>
        <color theme="1"/>
        <rFont val="Calibri"/>
        <family val="2"/>
      </rPr>
      <t>CO</t>
    </r>
    <r>
      <rPr>
        <b/>
        <vertAlign val="subscript"/>
        <sz val="10"/>
        <color theme="1"/>
        <rFont val="Arial"/>
        <family val="2"/>
      </rPr>
      <t>2</t>
    </r>
    <r>
      <rPr>
        <b/>
        <sz val="10"/>
        <color theme="1"/>
        <rFont val="Arial"/>
        <family val="2"/>
      </rPr>
      <t xml:space="preserve"> Emissions</t>
    </r>
  </si>
  <si>
    <r>
      <rPr>
        <b/>
        <sz val="11"/>
        <color theme="1"/>
        <rFont val="Calibri"/>
        <family val="2"/>
      </rPr>
      <t>N</t>
    </r>
    <r>
      <rPr>
        <b/>
        <vertAlign val="subscript"/>
        <sz val="10"/>
        <color theme="1"/>
        <rFont val="Arial"/>
        <family val="2"/>
      </rPr>
      <t>2</t>
    </r>
    <r>
      <rPr>
        <b/>
        <sz val="10"/>
        <color theme="1"/>
        <rFont val="Arial"/>
        <family val="2"/>
      </rPr>
      <t>O Emissions</t>
    </r>
  </si>
  <si>
    <r>
      <rPr>
        <b/>
        <sz val="11"/>
        <color theme="1"/>
        <rFont val="Calibri"/>
        <family val="2"/>
      </rPr>
      <t>CH</t>
    </r>
    <r>
      <rPr>
        <b/>
        <vertAlign val="subscript"/>
        <sz val="10"/>
        <color theme="1"/>
        <rFont val="Arial"/>
        <family val="2"/>
      </rPr>
      <t>4</t>
    </r>
    <r>
      <rPr>
        <b/>
        <sz val="10"/>
        <color theme="1"/>
        <rFont val="Arial"/>
        <family val="2"/>
      </rPr>
      <t xml:space="preserve"> Emissions</t>
    </r>
  </si>
  <si>
    <t>GHG Emissions</t>
  </si>
  <si>
    <t>NG Consumption</t>
  </si>
  <si>
    <t>(Billion Btus)</t>
  </si>
  <si>
    <t>Carbon</t>
  </si>
  <si>
    <r>
      <rPr>
        <b/>
        <sz val="11"/>
        <color theme="1"/>
        <rFont val="Calibri"/>
        <family val="2"/>
      </rPr>
      <t>N</t>
    </r>
    <r>
      <rPr>
        <b/>
        <vertAlign val="subscript"/>
        <sz val="10"/>
        <color theme="1"/>
        <rFont val="Arial"/>
        <family val="2"/>
      </rPr>
      <t>2</t>
    </r>
    <r>
      <rPr>
        <b/>
        <sz val="10"/>
        <color theme="1"/>
        <rFont val="Arial"/>
        <family val="2"/>
      </rPr>
      <t>O</t>
    </r>
  </si>
  <si>
    <r>
      <rPr>
        <b/>
        <sz val="11"/>
        <color theme="1"/>
        <rFont val="Calibri"/>
        <family val="2"/>
      </rPr>
      <t>CH</t>
    </r>
    <r>
      <rPr>
        <b/>
        <vertAlign val="subscript"/>
        <sz val="10"/>
        <color theme="1"/>
        <rFont val="Arial"/>
        <family val="2"/>
      </rPr>
      <t>4</t>
    </r>
  </si>
  <si>
    <r>
      <rPr>
        <b/>
        <sz val="11"/>
        <color theme="1"/>
        <rFont val="Calibri"/>
        <family val="2"/>
      </rPr>
      <t>(MMTCO</t>
    </r>
    <r>
      <rPr>
        <b/>
        <vertAlign val="subscript"/>
        <sz val="10"/>
        <color theme="1"/>
        <rFont val="Arial"/>
        <family val="2"/>
      </rPr>
      <t>2</t>
    </r>
    <r>
      <rPr>
        <b/>
        <sz val="10"/>
        <color theme="1"/>
        <rFont val="Arial"/>
        <family val="2"/>
      </rPr>
      <t>E)</t>
    </r>
  </si>
  <si>
    <r>
      <rPr>
        <b/>
        <sz val="11"/>
        <color theme="1"/>
        <rFont val="Calibri"/>
        <family val="2"/>
      </rPr>
      <t>(MMTCO</t>
    </r>
    <r>
      <rPr>
        <b/>
        <vertAlign val="subscript"/>
        <sz val="10"/>
        <color theme="1"/>
        <rFont val="Arial"/>
        <family val="2"/>
      </rPr>
      <t>2</t>
    </r>
    <r>
      <rPr>
        <b/>
        <sz val="10"/>
        <color theme="1"/>
        <rFont val="Arial"/>
        <family val="2"/>
      </rPr>
      <t>E)</t>
    </r>
  </si>
  <si>
    <r>
      <rPr>
        <b/>
        <sz val="11"/>
        <color theme="1"/>
        <rFont val="Calibri"/>
        <family val="2"/>
      </rPr>
      <t>(MMTCO</t>
    </r>
    <r>
      <rPr>
        <b/>
        <vertAlign val="subscript"/>
        <sz val="10"/>
        <color theme="1"/>
        <rFont val="Arial"/>
        <family val="2"/>
      </rPr>
      <t>2</t>
    </r>
    <r>
      <rPr>
        <b/>
        <sz val="10"/>
        <color theme="1"/>
        <rFont val="Arial"/>
        <family val="2"/>
      </rPr>
      <t>E)</t>
    </r>
  </si>
  <si>
    <t>(lbs/MMBtu)</t>
  </si>
  <si>
    <t>(Mt/BBtu)</t>
  </si>
  <si>
    <t>NGPZB (Billion Btus)</t>
  </si>
  <si>
    <t>NGPZB (Million Btus)</t>
  </si>
  <si>
    <t xml:space="preserve">Natural Gas as Pipeline Fuel Activity Data (Billion Btu)  was obtained from: http://www.eia.doe.gov/states/sep_fuel/html/csv/fuel_adjust_consum.csv </t>
  </si>
  <si>
    <t>Number of Gas Producing Wells : http://www.eia.gov/dnav/ng/hist/na1170_smd_8a.htm.</t>
  </si>
  <si>
    <r>
      <rPr>
        <b/>
        <sz val="11"/>
        <color theme="1"/>
        <rFont val="Calibri"/>
        <family val="2"/>
      </rPr>
      <t>Emissions by Gas (MMTCO</t>
    </r>
    <r>
      <rPr>
        <b/>
        <vertAlign val="subscript"/>
        <sz val="8"/>
        <color theme="1"/>
        <rFont val="Comic Sans MS"/>
        <family val="4"/>
      </rPr>
      <t>2</t>
    </r>
    <r>
      <rPr>
        <b/>
        <sz val="8"/>
        <color theme="1"/>
        <rFont val="Comic Sans MS"/>
        <family val="4"/>
      </rPr>
      <t>e)</t>
    </r>
  </si>
  <si>
    <t>Production</t>
  </si>
  <si>
    <t>Transmission</t>
  </si>
  <si>
    <t>Distribution</t>
  </si>
  <si>
    <t>Pipeline Fuel</t>
  </si>
  <si>
    <t>Emissions from Mining in MD</t>
  </si>
  <si>
    <r>
      <rPr>
        <sz val="11"/>
        <color theme="1"/>
        <rFont val="Calibri"/>
        <family val="2"/>
      </rPr>
      <t>CH</t>
    </r>
    <r>
      <rPr>
        <vertAlign val="subscript"/>
        <sz val="14"/>
        <color theme="1"/>
        <rFont val="Calibri"/>
        <family val="2"/>
      </rPr>
      <t>4</t>
    </r>
    <r>
      <rPr>
        <sz val="14"/>
        <color theme="1"/>
        <rFont val="Calibri"/>
        <family val="2"/>
      </rPr>
      <t xml:space="preserve"> from Coal Mining in MD</t>
    </r>
  </si>
  <si>
    <t>Emissions from:</t>
  </si>
  <si>
    <t>Coal Basin(s)                            (if applicable)</t>
  </si>
  <si>
    <t>Measured Ventilation Emissions
(mcf)</t>
  </si>
  <si>
    <t>Degasification System Emissions
(mcf)</t>
  </si>
  <si>
    <t>Methane Recovered from Degasification Systems and Usef for Energy
(mcf)</t>
  </si>
  <si>
    <r>
      <rPr>
        <b/>
        <sz val="11"/>
        <color theme="1"/>
        <rFont val="Calibri"/>
        <family val="2"/>
      </rPr>
      <t>Emissions
(mcf CH</t>
    </r>
    <r>
      <rPr>
        <b/>
        <vertAlign val="subscript"/>
        <sz val="7"/>
        <color theme="1"/>
        <rFont val="Calibri"/>
        <family val="2"/>
      </rPr>
      <t>4</t>
    </r>
    <r>
      <rPr>
        <b/>
        <sz val="7"/>
        <color theme="1"/>
        <rFont val="Calibri"/>
        <family val="2"/>
      </rPr>
      <t>)</t>
    </r>
  </si>
  <si>
    <r>
      <rPr>
        <b/>
        <sz val="11"/>
        <color theme="1"/>
        <rFont val="Calibri"/>
        <family val="2"/>
      </rPr>
      <t>Emissions
(MTCH</t>
    </r>
    <r>
      <rPr>
        <b/>
        <vertAlign val="subscript"/>
        <sz val="7"/>
        <color theme="1"/>
        <rFont val="Calibri"/>
        <family val="2"/>
      </rPr>
      <t>4</t>
    </r>
    <r>
      <rPr>
        <b/>
        <sz val="7"/>
        <color theme="1"/>
        <rFont val="Calibri"/>
        <family val="2"/>
      </rPr>
      <t>)</t>
    </r>
  </si>
  <si>
    <r>
      <rPr>
        <b/>
        <sz val="11"/>
        <color theme="1"/>
        <rFont val="Calibri"/>
        <family val="2"/>
      </rPr>
      <t>Emissions
(MTCO</t>
    </r>
    <r>
      <rPr>
        <b/>
        <vertAlign val="subscript"/>
        <sz val="7"/>
        <color theme="1"/>
        <rFont val="Calibri"/>
        <family val="2"/>
      </rPr>
      <t>2</t>
    </r>
    <r>
      <rPr>
        <b/>
        <sz val="7"/>
        <color theme="1"/>
        <rFont val="Calibri"/>
        <family val="2"/>
      </rPr>
      <t>E)</t>
    </r>
  </si>
  <si>
    <t>Constants</t>
  </si>
  <si>
    <t>Mines</t>
  </si>
  <si>
    <r>
      <rPr>
        <sz val="11"/>
        <color rgb="FFFF0000"/>
        <rFont val="Calibri"/>
        <family val="2"/>
      </rPr>
      <t>grams/ft</t>
    </r>
    <r>
      <rPr>
        <vertAlign val="superscript"/>
        <sz val="11"/>
        <color rgb="FFFF0000"/>
        <rFont val="Calibri"/>
        <family val="2"/>
      </rPr>
      <t>3</t>
    </r>
    <r>
      <rPr>
        <sz val="11"/>
        <color rgb="FFFF0000"/>
        <rFont val="Calibri"/>
        <family val="2"/>
      </rPr>
      <t xml:space="preserve"> CH</t>
    </r>
    <r>
      <rPr>
        <vertAlign val="subscript"/>
        <sz val="11"/>
        <color rgb="FFFF0000"/>
        <rFont val="Calibri"/>
        <family val="2"/>
      </rPr>
      <t>4</t>
    </r>
  </si>
  <si>
    <t>Underground Mines</t>
  </si>
  <si>
    <t>+</t>
  </si>
  <si>
    <t>-</t>
  </si>
  <si>
    <t>metric tons/gram</t>
  </si>
  <si>
    <t>Surface Coal Production
('000 short tons)</t>
  </si>
  <si>
    <r>
      <rPr>
        <b/>
        <sz val="11"/>
        <color theme="1"/>
        <rFont val="Calibri"/>
        <family val="2"/>
      </rPr>
      <t>Basin-specific EF
(ft</t>
    </r>
    <r>
      <rPr>
        <b/>
        <vertAlign val="superscript"/>
        <sz val="7"/>
        <color theme="1"/>
        <rFont val="Calibri"/>
        <family val="2"/>
      </rPr>
      <t>3</t>
    </r>
    <r>
      <rPr>
        <b/>
        <sz val="7"/>
        <color theme="1"/>
        <rFont val="Calibri"/>
        <family val="2"/>
      </rPr>
      <t>/short ton)</t>
    </r>
  </si>
  <si>
    <r>
      <rPr>
        <b/>
        <sz val="11"/>
        <color theme="1"/>
        <rFont val="Calibri"/>
        <family val="2"/>
      </rPr>
      <t>Emissions
('000 ft</t>
    </r>
    <r>
      <rPr>
        <b/>
        <vertAlign val="superscript"/>
        <sz val="7"/>
        <color theme="1"/>
        <rFont val="Calibri"/>
        <family val="2"/>
      </rPr>
      <t>3</t>
    </r>
    <r>
      <rPr>
        <b/>
        <sz val="7"/>
        <color theme="1"/>
        <rFont val="Calibri"/>
        <family val="2"/>
      </rPr>
      <t xml:space="preserve"> CH</t>
    </r>
    <r>
      <rPr>
        <b/>
        <vertAlign val="subscript"/>
        <sz val="7"/>
        <color theme="1"/>
        <rFont val="Calibri"/>
        <family val="2"/>
      </rPr>
      <t>4</t>
    </r>
    <r>
      <rPr>
        <b/>
        <sz val="7"/>
        <color theme="1"/>
        <rFont val="Calibri"/>
        <family val="2"/>
      </rPr>
      <t>)</t>
    </r>
  </si>
  <si>
    <r>
      <rPr>
        <b/>
        <sz val="11"/>
        <color theme="1"/>
        <rFont val="Calibri"/>
        <family val="2"/>
      </rPr>
      <t>Emissions
(MTCH</t>
    </r>
    <r>
      <rPr>
        <b/>
        <vertAlign val="subscript"/>
        <sz val="7"/>
        <color theme="1"/>
        <rFont val="Calibri"/>
        <family val="2"/>
      </rPr>
      <t>4</t>
    </r>
    <r>
      <rPr>
        <b/>
        <sz val="7"/>
        <color theme="1"/>
        <rFont val="Calibri"/>
        <family val="2"/>
      </rPr>
      <t>)</t>
    </r>
  </si>
  <si>
    <r>
      <rPr>
        <b/>
        <sz val="11"/>
        <color theme="1"/>
        <rFont val="Calibri"/>
        <family val="2"/>
      </rPr>
      <t>Emissions
(MTCO</t>
    </r>
    <r>
      <rPr>
        <b/>
        <vertAlign val="subscript"/>
        <sz val="7"/>
        <color theme="1"/>
        <rFont val="Calibri"/>
        <family val="2"/>
      </rPr>
      <t>2</t>
    </r>
    <r>
      <rPr>
        <b/>
        <sz val="7"/>
        <color theme="1"/>
        <rFont val="Calibri"/>
        <family val="2"/>
      </rPr>
      <t>E)</t>
    </r>
  </si>
  <si>
    <t>Surface Mines</t>
  </si>
  <si>
    <t>Northern Appalachian Basin</t>
  </si>
  <si>
    <t>---</t>
  </si>
  <si>
    <t>Post-Mining Activity</t>
  </si>
  <si>
    <t>Coal Production
('000 short tons)</t>
  </si>
  <si>
    <r>
      <rPr>
        <b/>
        <sz val="11"/>
        <color theme="1"/>
        <rFont val="Calibri"/>
        <family val="2"/>
      </rPr>
      <t>Basin- &amp; Mine-specific EF
(ft</t>
    </r>
    <r>
      <rPr>
        <b/>
        <vertAlign val="superscript"/>
        <sz val="7"/>
        <color theme="1"/>
        <rFont val="Calibri"/>
        <family val="2"/>
      </rPr>
      <t>3</t>
    </r>
    <r>
      <rPr>
        <b/>
        <sz val="7"/>
        <color theme="1"/>
        <rFont val="Calibri"/>
        <family val="2"/>
      </rPr>
      <t>/short ton)</t>
    </r>
  </si>
  <si>
    <r>
      <rPr>
        <b/>
        <sz val="11"/>
        <color theme="1"/>
        <rFont val="Calibri"/>
        <family val="2"/>
      </rPr>
      <t>Emissions
('000 ft</t>
    </r>
    <r>
      <rPr>
        <b/>
        <vertAlign val="superscript"/>
        <sz val="7"/>
        <color theme="1"/>
        <rFont val="Calibri"/>
        <family val="2"/>
      </rPr>
      <t>3</t>
    </r>
    <r>
      <rPr>
        <b/>
        <sz val="7"/>
        <color theme="1"/>
        <rFont val="Calibri"/>
        <family val="2"/>
      </rPr>
      <t xml:space="preserve"> CH</t>
    </r>
    <r>
      <rPr>
        <b/>
        <vertAlign val="subscript"/>
        <sz val="7"/>
        <color theme="1"/>
        <rFont val="Calibri"/>
        <family val="2"/>
      </rPr>
      <t>4</t>
    </r>
    <r>
      <rPr>
        <b/>
        <sz val="7"/>
        <color theme="1"/>
        <rFont val="Calibri"/>
        <family val="2"/>
      </rPr>
      <t>)</t>
    </r>
  </si>
  <si>
    <r>
      <rPr>
        <b/>
        <sz val="11"/>
        <color theme="1"/>
        <rFont val="Calibri"/>
        <family val="2"/>
      </rPr>
      <t>Emissions
(MTCH</t>
    </r>
    <r>
      <rPr>
        <b/>
        <vertAlign val="subscript"/>
        <sz val="7"/>
        <color theme="1"/>
        <rFont val="Calibri"/>
        <family val="2"/>
      </rPr>
      <t>4</t>
    </r>
    <r>
      <rPr>
        <b/>
        <sz val="7"/>
        <color theme="1"/>
        <rFont val="Calibri"/>
        <family val="2"/>
      </rPr>
      <t>)</t>
    </r>
  </si>
  <si>
    <r>
      <rPr>
        <b/>
        <sz val="11"/>
        <color theme="1"/>
        <rFont val="Calibri"/>
        <family val="2"/>
      </rPr>
      <t>Emissions
(MTCO</t>
    </r>
    <r>
      <rPr>
        <b/>
        <vertAlign val="subscript"/>
        <sz val="7"/>
        <color theme="1"/>
        <rFont val="Calibri"/>
        <family val="2"/>
      </rPr>
      <t>2</t>
    </r>
    <r>
      <rPr>
        <b/>
        <sz val="7"/>
        <color theme="1"/>
        <rFont val="Calibri"/>
        <family val="2"/>
      </rPr>
      <t>E)</t>
    </r>
  </si>
  <si>
    <t>Post-Mining Total</t>
  </si>
  <si>
    <t>Total Coal Mining</t>
  </si>
  <si>
    <r>
      <rPr>
        <b/>
        <sz val="11"/>
        <color theme="1"/>
        <rFont val="Calibri"/>
        <family val="2"/>
      </rPr>
      <t>(MTCO</t>
    </r>
    <r>
      <rPr>
        <b/>
        <vertAlign val="subscript"/>
        <sz val="7"/>
        <color theme="1"/>
        <rFont val="Calibri"/>
        <family val="2"/>
      </rPr>
      <t>2</t>
    </r>
    <r>
      <rPr>
        <b/>
        <sz val="7"/>
        <color theme="1"/>
        <rFont val="Calibri"/>
        <family val="2"/>
      </rPr>
      <t>E)</t>
    </r>
  </si>
  <si>
    <t>Maryland Abandoned Coal Mines Emissions Summary</t>
  </si>
  <si>
    <t>Default MD Abandoned Mine Emissions
Gg/Year</t>
  </si>
  <si>
    <t xml:space="preserve">Mine Status
Percent </t>
  </si>
  <si>
    <r>
      <rPr>
        <b/>
        <sz val="11"/>
        <color theme="1"/>
        <rFont val="Calibri"/>
        <family val="2"/>
      </rPr>
      <t>Emissions
(MTCH</t>
    </r>
    <r>
      <rPr>
        <b/>
        <vertAlign val="subscript"/>
        <sz val="7"/>
        <color theme="1"/>
        <rFont val="Calibri"/>
        <family val="2"/>
      </rPr>
      <t>4</t>
    </r>
    <r>
      <rPr>
        <b/>
        <sz val="7"/>
        <color theme="1"/>
        <rFont val="Calibri"/>
        <family val="2"/>
      </rPr>
      <t>)</t>
    </r>
  </si>
  <si>
    <r>
      <rPr>
        <b/>
        <sz val="11"/>
        <color theme="1"/>
        <rFont val="Calibri"/>
        <family val="2"/>
      </rPr>
      <t>Emissions
(MTCO</t>
    </r>
    <r>
      <rPr>
        <b/>
        <vertAlign val="subscript"/>
        <sz val="7"/>
        <color theme="1"/>
        <rFont val="Calibri"/>
        <family val="2"/>
      </rPr>
      <t>2</t>
    </r>
    <r>
      <rPr>
        <b/>
        <sz val="7"/>
        <color theme="1"/>
        <rFont val="Calibri"/>
        <family val="2"/>
      </rPr>
      <t>E)</t>
    </r>
  </si>
  <si>
    <t>Vented</t>
  </si>
  <si>
    <t>Sealed</t>
  </si>
  <si>
    <t>Flooded</t>
  </si>
  <si>
    <t>Maryland Coal Mines Emissions Summary</t>
  </si>
  <si>
    <r>
      <rPr>
        <b/>
        <sz val="11"/>
        <color theme="1"/>
        <rFont val="Calibri"/>
        <family val="2"/>
      </rPr>
      <t>Emissions (MMTCO</t>
    </r>
    <r>
      <rPr>
        <b/>
        <vertAlign val="subscript"/>
        <sz val="8"/>
        <color theme="1"/>
        <rFont val="Calibri"/>
        <family val="2"/>
      </rPr>
      <t>2</t>
    </r>
    <r>
      <rPr>
        <b/>
        <sz val="8"/>
        <color theme="1"/>
        <rFont val="Calibri"/>
        <family val="2"/>
      </rPr>
      <t>E)</t>
    </r>
  </si>
  <si>
    <t>Coal Mining</t>
  </si>
  <si>
    <t>Abandoned Coal Mines</t>
  </si>
  <si>
    <r>
      <rPr>
        <b/>
        <sz val="11"/>
        <color theme="1"/>
        <rFont val="Calibri"/>
        <family val="2"/>
      </rPr>
      <t>Emissions (MTCO</t>
    </r>
    <r>
      <rPr>
        <b/>
        <vertAlign val="subscript"/>
        <sz val="8"/>
        <color theme="1"/>
        <rFont val="Calibri"/>
        <family val="2"/>
      </rPr>
      <t>2</t>
    </r>
    <r>
      <rPr>
        <b/>
        <sz val="8"/>
        <color theme="1"/>
        <rFont val="Calibri"/>
        <family val="2"/>
      </rPr>
      <t>E)</t>
    </r>
  </si>
  <si>
    <t>Emissions (MTCE)</t>
  </si>
  <si>
    <r>
      <rPr>
        <b/>
        <sz val="11"/>
        <color theme="1"/>
        <rFont val="Calibri"/>
        <family val="2"/>
      </rPr>
      <t>Emissions by Gas (MTCH</t>
    </r>
    <r>
      <rPr>
        <b/>
        <vertAlign val="subscript"/>
        <sz val="8"/>
        <color theme="1"/>
        <rFont val="Calibri"/>
        <family val="2"/>
      </rPr>
      <t>4</t>
    </r>
    <r>
      <rPr>
        <b/>
        <sz val="8"/>
        <color theme="1"/>
        <rFont val="Calibri"/>
        <family val="2"/>
      </rPr>
      <t>)</t>
    </r>
  </si>
  <si>
    <t>Energy Information Administration, U.S. Department of Energy, Annual Coal Report, Table 1.</t>
  </si>
  <si>
    <t>Table 1: Coal Production and Number of Mines by State and Mine Type, 2010</t>
  </si>
  <si>
    <t>http://www.eia.gov/coal/annual/pdf/table1.pdf</t>
  </si>
  <si>
    <t>Office of Surface Mining Reclamation and Enforcement - Annual Evaluation Report.</t>
  </si>
  <si>
    <t>Table 1: Coal Produced for sale, Transfer, Or Use</t>
  </si>
  <si>
    <t>http://odocs.osmre.gov/qdocs.aspx</t>
  </si>
  <si>
    <t>Maryland Wastewater Emissions Summary</t>
  </si>
  <si>
    <t>Maryland Municipal Wastewater Methane Emissions</t>
  </si>
  <si>
    <r>
      <rPr>
        <b/>
        <sz val="11"/>
        <color theme="1"/>
        <rFont val="Calibri"/>
        <family val="2"/>
      </rPr>
      <t>Per Capita BOD</t>
    </r>
    <r>
      <rPr>
        <b/>
        <vertAlign val="subscript"/>
        <sz val="7"/>
        <color theme="1"/>
        <rFont val="Calibri"/>
        <family val="2"/>
      </rPr>
      <t xml:space="preserve">5
</t>
    </r>
    <r>
      <rPr>
        <b/>
        <sz val="7"/>
        <color theme="1"/>
        <rFont val="Calibri"/>
        <family val="2"/>
      </rPr>
      <t>(kg/day)</t>
    </r>
  </si>
  <si>
    <t>Days per Year
(days)</t>
  </si>
  <si>
    <t>Unit Conversion
(metric tons/kg)</t>
  </si>
  <si>
    <r>
      <rPr>
        <b/>
        <sz val="11"/>
        <color theme="1"/>
        <rFont val="Calibri"/>
        <family val="2"/>
      </rPr>
      <t>Emission Factor
(Gg CH</t>
    </r>
    <r>
      <rPr>
        <b/>
        <vertAlign val="subscript"/>
        <sz val="7"/>
        <color theme="1"/>
        <rFont val="Calibri"/>
        <family val="2"/>
      </rPr>
      <t>4</t>
    </r>
    <r>
      <rPr>
        <b/>
        <sz val="7"/>
        <color theme="1"/>
        <rFont val="Calibri"/>
        <family val="2"/>
      </rPr>
      <t>/Gg BOD</t>
    </r>
    <r>
      <rPr>
        <b/>
        <vertAlign val="subscript"/>
        <sz val="7"/>
        <color theme="1"/>
        <rFont val="Calibri"/>
        <family val="2"/>
      </rPr>
      <t>5</t>
    </r>
    <r>
      <rPr>
        <b/>
        <sz val="7"/>
        <color theme="1"/>
        <rFont val="Calibri"/>
        <family val="2"/>
      </rPr>
      <t>)</t>
    </r>
  </si>
  <si>
    <r>
      <rPr>
        <b/>
        <sz val="11"/>
        <color theme="1"/>
        <rFont val="Calibri"/>
        <family val="2"/>
      </rPr>
      <t>WW BOD</t>
    </r>
    <r>
      <rPr>
        <b/>
        <vertAlign val="subscript"/>
        <sz val="7"/>
        <color theme="1"/>
        <rFont val="Calibri"/>
        <family val="2"/>
      </rPr>
      <t>5</t>
    </r>
    <r>
      <rPr>
        <b/>
        <sz val="7"/>
        <color theme="1"/>
        <rFont val="Calibri"/>
        <family val="2"/>
      </rPr>
      <t xml:space="preserve"> anaerobically digested
(percent)</t>
    </r>
  </si>
  <si>
    <r>
      <rPr>
        <b/>
        <sz val="11"/>
        <color theme="1"/>
        <rFont val="Calibri"/>
        <family val="2"/>
      </rPr>
      <t>Emissions
(metric tons CH</t>
    </r>
    <r>
      <rPr>
        <b/>
        <vertAlign val="subscript"/>
        <sz val="7"/>
        <color theme="1"/>
        <rFont val="Calibri"/>
        <family val="2"/>
      </rPr>
      <t>4</t>
    </r>
    <r>
      <rPr>
        <b/>
        <sz val="7"/>
        <color theme="1"/>
        <rFont val="Calibri"/>
        <family val="2"/>
      </rPr>
      <t>)</t>
    </r>
  </si>
  <si>
    <r>
      <rPr>
        <b/>
        <sz val="11"/>
        <color theme="1"/>
        <rFont val="Calibri"/>
        <family val="2"/>
      </rPr>
      <t>CH</t>
    </r>
    <r>
      <rPr>
        <b/>
        <vertAlign val="subscript"/>
        <sz val="7"/>
        <color theme="1"/>
        <rFont val="Calibri"/>
        <family val="2"/>
      </rPr>
      <t xml:space="preserve">4 </t>
    </r>
    <r>
      <rPr>
        <b/>
        <sz val="7"/>
        <color theme="1"/>
        <rFont val="Calibri"/>
        <family val="2"/>
      </rPr>
      <t>GWP
(CO</t>
    </r>
    <r>
      <rPr>
        <b/>
        <vertAlign val="subscript"/>
        <sz val="7"/>
        <color theme="1"/>
        <rFont val="Calibri"/>
        <family val="2"/>
      </rPr>
      <t>2</t>
    </r>
    <r>
      <rPr>
        <b/>
        <sz val="7"/>
        <color theme="1"/>
        <rFont val="Calibri"/>
        <family val="2"/>
      </rPr>
      <t xml:space="preserve"> Eq.)</t>
    </r>
  </si>
  <si>
    <t>Unit Conversion
(MMT/MT)</t>
  </si>
  <si>
    <r>
      <rPr>
        <b/>
        <sz val="11"/>
        <color theme="1"/>
        <rFont val="Calibri"/>
        <family val="2"/>
      </rPr>
      <t>C/CO</t>
    </r>
    <r>
      <rPr>
        <b/>
        <vertAlign val="subscript"/>
        <sz val="7"/>
        <color theme="1"/>
        <rFont val="Calibri"/>
        <family val="2"/>
      </rPr>
      <t>2</t>
    </r>
  </si>
  <si>
    <t>Emissions
(MMTCE)</t>
  </si>
  <si>
    <r>
      <rPr>
        <b/>
        <sz val="11"/>
        <color theme="1"/>
        <rFont val="Calibri"/>
        <family val="2"/>
      </rPr>
      <t>Emissions
(MMTCO</t>
    </r>
    <r>
      <rPr>
        <b/>
        <vertAlign val="subscript"/>
        <sz val="7"/>
        <color theme="1"/>
        <rFont val="Calibri"/>
        <family val="2"/>
      </rPr>
      <t>2</t>
    </r>
    <r>
      <rPr>
        <b/>
        <sz val="7"/>
        <color theme="1"/>
        <rFont val="Calibri"/>
        <family val="2"/>
      </rPr>
      <t>E)</t>
    </r>
  </si>
  <si>
    <t>Maryland Direct Nitrous Oxide Emissions from Municipal Wastewater Treatment</t>
  </si>
  <si>
    <t>Fraction of Population not on Septic</t>
  </si>
  <si>
    <r>
      <rPr>
        <b/>
        <sz val="11"/>
        <color theme="1"/>
        <rFont val="Calibri"/>
        <family val="2"/>
      </rPr>
      <t>Direct N</t>
    </r>
    <r>
      <rPr>
        <b/>
        <vertAlign val="subscript"/>
        <sz val="7"/>
        <color theme="1"/>
        <rFont val="Calibri"/>
        <family val="2"/>
      </rPr>
      <t>2</t>
    </r>
    <r>
      <rPr>
        <b/>
        <sz val="7"/>
        <color theme="1"/>
        <rFont val="Calibri"/>
        <family val="2"/>
      </rPr>
      <t>O Emissions from Wastewater Treatment
 (g N</t>
    </r>
    <r>
      <rPr>
        <b/>
        <vertAlign val="subscript"/>
        <sz val="7"/>
        <color theme="1"/>
        <rFont val="Calibri"/>
        <family val="2"/>
      </rPr>
      <t>2</t>
    </r>
    <r>
      <rPr>
        <b/>
        <sz val="7"/>
        <color theme="1"/>
        <rFont val="Calibri"/>
        <family val="2"/>
      </rPr>
      <t>O/person/year)</t>
    </r>
  </si>
  <si>
    <t>Unit Conversion
(g/metric ton)</t>
  </si>
  <si>
    <r>
      <rPr>
        <b/>
        <sz val="11"/>
        <color theme="1"/>
        <rFont val="Calibri"/>
        <family val="2"/>
      </rPr>
      <t>Emissions
(Metric Tons N</t>
    </r>
    <r>
      <rPr>
        <b/>
        <vertAlign val="subscript"/>
        <sz val="7"/>
        <color theme="1"/>
        <rFont val="Calibri"/>
        <family val="2"/>
      </rPr>
      <t>2</t>
    </r>
    <r>
      <rPr>
        <b/>
        <sz val="7"/>
        <color theme="1"/>
        <rFont val="Calibri"/>
        <family val="2"/>
      </rPr>
      <t>O)</t>
    </r>
  </si>
  <si>
    <r>
      <rPr>
        <b/>
        <sz val="11"/>
        <color theme="1"/>
        <rFont val="Calibri"/>
        <family val="2"/>
      </rPr>
      <t>N</t>
    </r>
    <r>
      <rPr>
        <b/>
        <vertAlign val="subscript"/>
        <sz val="7"/>
        <color theme="1"/>
        <rFont val="Calibri"/>
        <family val="2"/>
      </rPr>
      <t>2</t>
    </r>
    <r>
      <rPr>
        <b/>
        <sz val="7"/>
        <color theme="1"/>
        <rFont val="Calibri"/>
        <family val="2"/>
      </rPr>
      <t>O GWP
(CO</t>
    </r>
    <r>
      <rPr>
        <b/>
        <vertAlign val="subscript"/>
        <sz val="7"/>
        <color theme="1"/>
        <rFont val="Calibri"/>
        <family val="2"/>
      </rPr>
      <t>2</t>
    </r>
    <r>
      <rPr>
        <b/>
        <sz val="7"/>
        <color theme="1"/>
        <rFont val="Calibri"/>
        <family val="2"/>
      </rPr>
      <t xml:space="preserve"> Eq.)</t>
    </r>
  </si>
  <si>
    <t xml:space="preserve">Unit Conversion
(MMT/MT)
</t>
  </si>
  <si>
    <r>
      <rPr>
        <b/>
        <sz val="11"/>
        <color theme="1"/>
        <rFont val="Calibri"/>
        <family val="2"/>
      </rPr>
      <t>C/CO</t>
    </r>
    <r>
      <rPr>
        <b/>
        <vertAlign val="subscript"/>
        <sz val="7"/>
        <color theme="1"/>
        <rFont val="Calibri"/>
        <family val="2"/>
      </rPr>
      <t>2</t>
    </r>
  </si>
  <si>
    <r>
      <rPr>
        <b/>
        <sz val="11"/>
        <color theme="1"/>
        <rFont val="Calibri"/>
        <family val="2"/>
      </rPr>
      <t>Emissions
(MMTCO</t>
    </r>
    <r>
      <rPr>
        <b/>
        <vertAlign val="subscript"/>
        <sz val="7"/>
        <color theme="1"/>
        <rFont val="Calibri"/>
        <family val="2"/>
      </rPr>
      <t>2</t>
    </r>
    <r>
      <rPr>
        <b/>
        <sz val="7"/>
        <color theme="1"/>
        <rFont val="Calibri"/>
        <family val="2"/>
      </rPr>
      <t>E)</t>
    </r>
  </si>
  <si>
    <t>Maryland Effulent Nitrous Oxide Emissions from Municipal Wastewater Treatment</t>
  </si>
  <si>
    <t>Protein
(kg/ person/ year)</t>
  </si>
  <si>
    <r>
      <rPr>
        <b/>
        <sz val="11"/>
        <color theme="1"/>
        <rFont val="Calibri"/>
        <family val="2"/>
      </rPr>
      <t>Frac</t>
    </r>
    <r>
      <rPr>
        <b/>
        <vertAlign val="subscript"/>
        <sz val="7"/>
        <color theme="1"/>
        <rFont val="Comic Sans MS"/>
        <family val="4"/>
      </rPr>
      <t xml:space="preserve">NPR 
</t>
    </r>
    <r>
      <rPr>
        <b/>
        <sz val="7"/>
        <color theme="1"/>
        <rFont val="Comic Sans MS"/>
        <family val="4"/>
      </rPr>
      <t xml:space="preserve">(kg N/kg protein) </t>
    </r>
  </si>
  <si>
    <t>Fraction Non-Consumption N</t>
  </si>
  <si>
    <t>N in Domestic Wastewater
(metric tons)</t>
  </si>
  <si>
    <t>Direct N Emissions from Domestic Wastewater
(metric tons)</t>
  </si>
  <si>
    <t>Biosolids Available N
(metric tons)</t>
  </si>
  <si>
    <t>Percentage of Biosolids Used as Fertilizer</t>
  </si>
  <si>
    <r>
      <rPr>
        <b/>
        <sz val="11"/>
        <color theme="1"/>
        <rFont val="Calibri"/>
        <family val="2"/>
      </rPr>
      <t>Emission Factor
(kg N</t>
    </r>
    <r>
      <rPr>
        <b/>
        <vertAlign val="subscript"/>
        <sz val="7"/>
        <color theme="1"/>
        <rFont val="Comic Sans MS"/>
        <family val="4"/>
      </rPr>
      <t>2</t>
    </r>
    <r>
      <rPr>
        <b/>
        <sz val="7"/>
        <color theme="1"/>
        <rFont val="Comic Sans MS"/>
        <family val="4"/>
      </rPr>
      <t xml:space="preserve">O-N/ kg sewage N-produced) </t>
    </r>
  </si>
  <si>
    <r>
      <rPr>
        <b/>
        <sz val="11"/>
        <color theme="1"/>
        <rFont val="Calibri"/>
        <family val="2"/>
      </rPr>
      <t>N</t>
    </r>
    <r>
      <rPr>
        <b/>
        <vertAlign val="subscript"/>
        <sz val="7"/>
        <color theme="1"/>
        <rFont val="Comic Sans MS"/>
        <family val="4"/>
      </rPr>
      <t>2</t>
    </r>
    <r>
      <rPr>
        <b/>
        <sz val="7"/>
        <color theme="1"/>
        <rFont val="Comic Sans MS"/>
        <family val="4"/>
      </rPr>
      <t>O/N</t>
    </r>
    <r>
      <rPr>
        <b/>
        <vertAlign val="subscript"/>
        <sz val="7"/>
        <color theme="1"/>
        <rFont val="Comic Sans MS"/>
        <family val="4"/>
      </rPr>
      <t>2</t>
    </r>
  </si>
  <si>
    <r>
      <rPr>
        <b/>
        <sz val="11"/>
        <color theme="1"/>
        <rFont val="Calibri"/>
        <family val="2"/>
      </rPr>
      <t>Emissions 
(metric tons N</t>
    </r>
    <r>
      <rPr>
        <b/>
        <vertAlign val="subscript"/>
        <sz val="7"/>
        <color theme="1"/>
        <rFont val="Comic Sans MS"/>
        <family val="4"/>
      </rPr>
      <t>2</t>
    </r>
    <r>
      <rPr>
        <b/>
        <sz val="7"/>
        <color theme="1"/>
        <rFont val="Comic Sans MS"/>
        <family val="4"/>
      </rPr>
      <t>O)</t>
    </r>
  </si>
  <si>
    <r>
      <rPr>
        <b/>
        <sz val="11"/>
        <color theme="1"/>
        <rFont val="Calibri"/>
        <family val="2"/>
      </rPr>
      <t>N</t>
    </r>
    <r>
      <rPr>
        <b/>
        <vertAlign val="subscript"/>
        <sz val="7"/>
        <color theme="1"/>
        <rFont val="Comic Sans MS"/>
        <family val="4"/>
      </rPr>
      <t>2</t>
    </r>
    <r>
      <rPr>
        <b/>
        <sz val="7"/>
        <color theme="1"/>
        <rFont val="Comic Sans MS"/>
        <family val="4"/>
      </rPr>
      <t>O GWP
(CO2 Eq.)</t>
    </r>
  </si>
  <si>
    <r>
      <rPr>
        <b/>
        <sz val="11"/>
        <color theme="1"/>
        <rFont val="Calibri"/>
        <family val="2"/>
      </rPr>
      <t>C/CO</t>
    </r>
    <r>
      <rPr>
        <b/>
        <vertAlign val="subscript"/>
        <sz val="7"/>
        <color theme="1"/>
        <rFont val="Comic Sans MS"/>
        <family val="4"/>
      </rPr>
      <t>2</t>
    </r>
  </si>
  <si>
    <t>Emissions from Biosolids
(MMTCE)</t>
  </si>
  <si>
    <t>Direct Emissions
(MMTCE)</t>
  </si>
  <si>
    <t>Total Emissions
(MMTCE)</t>
  </si>
  <si>
    <t>Emission
(MMTCO2E)</t>
  </si>
  <si>
    <t>(MMT/MT)</t>
  </si>
  <si>
    <r>
      <rPr>
        <b/>
        <sz val="11"/>
        <color rgb="FF000000"/>
        <rFont val="Calibri"/>
        <family val="2"/>
      </rPr>
      <t>Maryland Industrial Wastewater Methane Emissions - CH</t>
    </r>
    <r>
      <rPr>
        <b/>
        <vertAlign val="subscript"/>
        <sz val="12"/>
        <color rgb="FF000000"/>
        <rFont val="Comic Sans MS"/>
        <family val="4"/>
      </rPr>
      <t>4</t>
    </r>
  </si>
  <si>
    <t>Production Processed</t>
  </si>
  <si>
    <t xml:space="preserve">WW Outflow </t>
  </si>
  <si>
    <t>Unit Conversion</t>
  </si>
  <si>
    <t xml:space="preserve">COD </t>
  </si>
  <si>
    <t>COD Degraded</t>
  </si>
  <si>
    <r>
      <rPr>
        <b/>
        <sz val="11"/>
        <color theme="1"/>
        <rFont val="Calibri"/>
        <family val="2"/>
      </rPr>
      <t>CH</t>
    </r>
    <r>
      <rPr>
        <b/>
        <vertAlign val="subscript"/>
        <sz val="7"/>
        <color theme="1"/>
        <rFont val="Comic Sans MS"/>
        <family val="4"/>
      </rPr>
      <t>4</t>
    </r>
    <r>
      <rPr>
        <b/>
        <sz val="7"/>
        <color theme="1"/>
        <rFont val="Comic Sans MS"/>
        <family val="4"/>
      </rPr>
      <t xml:space="preserve"> GWP</t>
    </r>
  </si>
  <si>
    <r>
      <rPr>
        <b/>
        <sz val="11"/>
        <color theme="1"/>
        <rFont val="Calibri"/>
        <family val="2"/>
      </rPr>
      <t>C/CO</t>
    </r>
    <r>
      <rPr>
        <b/>
        <vertAlign val="subscript"/>
        <sz val="7"/>
        <color theme="1"/>
        <rFont val="Comic Sans MS"/>
        <family val="4"/>
      </rPr>
      <t>2</t>
    </r>
  </si>
  <si>
    <r>
      <rPr>
        <sz val="11"/>
        <color theme="1"/>
        <rFont val="Calibri"/>
        <family val="2"/>
      </rPr>
      <t>(m</t>
    </r>
    <r>
      <rPr>
        <vertAlign val="superscript"/>
        <sz val="7"/>
        <color theme="1"/>
        <rFont val="Comic Sans MS"/>
        <family val="4"/>
      </rPr>
      <t>3</t>
    </r>
    <r>
      <rPr>
        <sz val="7"/>
        <color theme="1"/>
        <rFont val="Comic Sans MS"/>
        <family val="4"/>
      </rPr>
      <t>/metric ton)</t>
    </r>
  </si>
  <si>
    <r>
      <rPr>
        <sz val="11"/>
        <color theme="1"/>
        <rFont val="Calibri"/>
        <family val="2"/>
      </rPr>
      <t>(l/m</t>
    </r>
    <r>
      <rPr>
        <vertAlign val="superscript"/>
        <sz val="7"/>
        <color theme="1"/>
        <rFont val="Comic Sans MS"/>
        <family val="4"/>
      </rPr>
      <t>3</t>
    </r>
    <r>
      <rPr>
        <sz val="7"/>
        <color theme="1"/>
        <rFont val="Comic Sans MS"/>
        <family val="4"/>
      </rPr>
      <t>)</t>
    </r>
  </si>
  <si>
    <t>(g COD/l)</t>
  </si>
  <si>
    <r>
      <rPr>
        <sz val="11"/>
        <color theme="1"/>
        <rFont val="Calibri"/>
        <family val="2"/>
      </rPr>
      <t>(g CH</t>
    </r>
    <r>
      <rPr>
        <vertAlign val="subscript"/>
        <sz val="7"/>
        <color theme="1"/>
        <rFont val="Comic Sans MS"/>
        <family val="4"/>
      </rPr>
      <t>4</t>
    </r>
    <r>
      <rPr>
        <sz val="7"/>
        <color theme="1"/>
        <rFont val="Comic Sans MS"/>
        <family val="4"/>
      </rPr>
      <t>/g COD)</t>
    </r>
  </si>
  <si>
    <t>(percent)</t>
  </si>
  <si>
    <r>
      <rPr>
        <sz val="11"/>
        <color theme="1"/>
        <rFont val="Calibri"/>
        <family val="2"/>
      </rPr>
      <t>(g CH</t>
    </r>
    <r>
      <rPr>
        <vertAlign val="subscript"/>
        <sz val="7"/>
        <color theme="1"/>
        <rFont val="Comic Sans MS"/>
        <family val="4"/>
      </rPr>
      <t>4</t>
    </r>
    <r>
      <rPr>
        <sz val="7"/>
        <color theme="1"/>
        <rFont val="Comic Sans MS"/>
        <family val="4"/>
      </rPr>
      <t>)</t>
    </r>
  </si>
  <si>
    <t>(g/Tg)</t>
  </si>
  <si>
    <r>
      <rPr>
        <sz val="11"/>
        <color theme="1"/>
        <rFont val="Calibri"/>
        <family val="2"/>
      </rPr>
      <t>(Tg or MMT CH</t>
    </r>
    <r>
      <rPr>
        <vertAlign val="subscript"/>
        <sz val="7"/>
        <color theme="1"/>
        <rFont val="Comic Sans MS"/>
        <family val="4"/>
      </rPr>
      <t>4</t>
    </r>
    <r>
      <rPr>
        <sz val="7"/>
        <color theme="1"/>
        <rFont val="Comic Sans MS"/>
        <family val="4"/>
      </rPr>
      <t>)</t>
    </r>
  </si>
  <si>
    <r>
      <rPr>
        <sz val="11"/>
        <color theme="1"/>
        <rFont val="Calibri"/>
        <family val="2"/>
      </rPr>
      <t>(CO</t>
    </r>
    <r>
      <rPr>
        <vertAlign val="subscript"/>
        <sz val="7"/>
        <color theme="1"/>
        <rFont val="Comic Sans MS"/>
        <family val="4"/>
      </rPr>
      <t>2</t>
    </r>
    <r>
      <rPr>
        <sz val="7"/>
        <color theme="1"/>
        <rFont val="Comic Sans MS"/>
        <family val="4"/>
      </rPr>
      <t xml:space="preserve"> Eq.)</t>
    </r>
  </si>
  <si>
    <r>
      <rPr>
        <sz val="11"/>
        <color theme="1"/>
        <rFont val="Calibri"/>
        <family val="2"/>
      </rPr>
      <t>(MMTCO</t>
    </r>
    <r>
      <rPr>
        <vertAlign val="subscript"/>
        <sz val="7"/>
        <color theme="1"/>
        <rFont val="Comic Sans MS"/>
        <family val="4"/>
      </rPr>
      <t>2</t>
    </r>
    <r>
      <rPr>
        <sz val="7"/>
        <color theme="1"/>
        <rFont val="Comic Sans MS"/>
        <family val="4"/>
      </rPr>
      <t>E)</t>
    </r>
  </si>
  <si>
    <t>Emissions were not calculated for the following sources: Industrial fruits &amp; vegetables, Industrial poultry, and Industrial pulp &amp; paper.</t>
  </si>
  <si>
    <r>
      <rPr>
        <b/>
        <sz val="11"/>
        <color theme="1"/>
        <rFont val="Calibri"/>
        <family val="2"/>
      </rPr>
      <t>Emissions (MMTCO</t>
    </r>
    <r>
      <rPr>
        <b/>
        <vertAlign val="subscript"/>
        <sz val="8"/>
        <color theme="1"/>
        <rFont val="Comic Sans MS"/>
        <family val="4"/>
      </rPr>
      <t>2</t>
    </r>
    <r>
      <rPr>
        <b/>
        <sz val="8"/>
        <color theme="1"/>
        <rFont val="Comic Sans MS"/>
        <family val="4"/>
      </rPr>
      <t>E)</t>
    </r>
  </si>
  <si>
    <r>
      <rPr>
        <sz val="11"/>
        <color theme="1"/>
        <rFont val="Calibri"/>
        <family val="2"/>
      </rPr>
      <t>Municipal CH</t>
    </r>
    <r>
      <rPr>
        <vertAlign val="subscript"/>
        <sz val="11"/>
        <color theme="1"/>
        <rFont val="Calibri"/>
        <family val="2"/>
      </rPr>
      <t>4</t>
    </r>
  </si>
  <si>
    <r>
      <rPr>
        <sz val="11"/>
        <color theme="1"/>
        <rFont val="Calibri"/>
        <family val="2"/>
      </rPr>
      <t>Municipal N</t>
    </r>
    <r>
      <rPr>
        <vertAlign val="subscript"/>
        <sz val="11"/>
        <color theme="1"/>
        <rFont val="Calibri"/>
        <family val="2"/>
      </rPr>
      <t>2</t>
    </r>
    <r>
      <rPr>
        <sz val="11"/>
        <color theme="1"/>
        <rFont val="Calibri"/>
        <family val="2"/>
      </rPr>
      <t>O</t>
    </r>
  </si>
  <si>
    <r>
      <rPr>
        <sz val="11"/>
        <color theme="1"/>
        <rFont val="Calibri"/>
        <family val="2"/>
      </rPr>
      <t>Industrial CH</t>
    </r>
    <r>
      <rPr>
        <vertAlign val="subscript"/>
        <sz val="11"/>
        <color theme="1"/>
        <rFont val="Calibri"/>
        <family val="2"/>
      </rPr>
      <t>4</t>
    </r>
  </si>
  <si>
    <t>Fruits &amp; Vegetables</t>
  </si>
  <si>
    <t>Red Meat</t>
  </si>
  <si>
    <t>Poultry</t>
  </si>
  <si>
    <t>Pulp &amp; Paper</t>
  </si>
  <si>
    <t>Agricultural Emissions in Maryland</t>
  </si>
  <si>
    <t>Enteric Fermentation Emissions</t>
  </si>
  <si>
    <t>Number of Animals
('000 head)</t>
  </si>
  <si>
    <r>
      <rPr>
        <b/>
        <sz val="11"/>
        <color theme="1"/>
        <rFont val="Calibri"/>
        <family val="2"/>
      </rPr>
      <t>Emission Factor
(kg CH</t>
    </r>
    <r>
      <rPr>
        <b/>
        <vertAlign val="subscript"/>
        <sz val="7"/>
        <color theme="1"/>
        <rFont val="Arial"/>
        <family val="2"/>
      </rPr>
      <t>4</t>
    </r>
    <r>
      <rPr>
        <b/>
        <sz val="7"/>
        <color theme="1"/>
        <rFont val="Arial"/>
        <family val="2"/>
      </rPr>
      <t>/head)</t>
    </r>
  </si>
  <si>
    <r>
      <rPr>
        <b/>
        <sz val="11"/>
        <color theme="1"/>
        <rFont val="Calibri"/>
        <family val="2"/>
      </rPr>
      <t>Emissions
(kg CH</t>
    </r>
    <r>
      <rPr>
        <b/>
        <vertAlign val="subscript"/>
        <sz val="7"/>
        <color theme="1"/>
        <rFont val="Arial"/>
        <family val="2"/>
      </rPr>
      <t>4</t>
    </r>
    <r>
      <rPr>
        <b/>
        <sz val="7"/>
        <color theme="1"/>
        <rFont val="Arial"/>
        <family val="2"/>
      </rPr>
      <t>)</t>
    </r>
  </si>
  <si>
    <r>
      <rPr>
        <b/>
        <sz val="11"/>
        <color theme="1"/>
        <rFont val="Calibri"/>
        <family val="2"/>
      </rPr>
      <t>Emissions
(MMTCH</t>
    </r>
    <r>
      <rPr>
        <b/>
        <vertAlign val="subscript"/>
        <sz val="7"/>
        <color theme="1"/>
        <rFont val="Arial"/>
        <family val="2"/>
      </rPr>
      <t>4</t>
    </r>
    <r>
      <rPr>
        <b/>
        <sz val="7"/>
        <color theme="1"/>
        <rFont val="Arial"/>
        <family val="2"/>
      </rPr>
      <t>)</t>
    </r>
  </si>
  <si>
    <r>
      <rPr>
        <b/>
        <sz val="11"/>
        <color theme="1"/>
        <rFont val="Calibri"/>
        <family val="2"/>
      </rPr>
      <t>Emissions
(MMTCO</t>
    </r>
    <r>
      <rPr>
        <b/>
        <vertAlign val="subscript"/>
        <sz val="7"/>
        <color theme="1"/>
        <rFont val="Arial"/>
        <family val="2"/>
      </rPr>
      <t>2</t>
    </r>
    <r>
      <rPr>
        <b/>
        <sz val="7"/>
        <color theme="1"/>
        <rFont val="Arial"/>
        <family val="2"/>
      </rPr>
      <t>E)</t>
    </r>
  </si>
  <si>
    <t>Dairy Cattle</t>
  </si>
  <si>
    <t>Dairy Cows</t>
  </si>
  <si>
    <t>Dairy Replacement Heifers</t>
  </si>
  <si>
    <t xml:space="preserve">   Replacements 0-12 mos.</t>
  </si>
  <si>
    <t xml:space="preserve">   Replacements 12-24 mos.</t>
  </si>
  <si>
    <t>Beef Cattle</t>
  </si>
  <si>
    <t>Beef Cows</t>
  </si>
  <si>
    <t>Beef Replacement Heifers</t>
  </si>
  <si>
    <t>Heifer Stockers</t>
  </si>
  <si>
    <t>Steer Stockers</t>
  </si>
  <si>
    <t>Feedlot Heifers</t>
  </si>
  <si>
    <t>Feedlot Steer</t>
  </si>
  <si>
    <t>Bulls</t>
  </si>
  <si>
    <t>Sheep</t>
  </si>
  <si>
    <t>Goats</t>
  </si>
  <si>
    <t>Swine</t>
  </si>
  <si>
    <t>Horses</t>
  </si>
  <si>
    <t>TOTAL</t>
  </si>
  <si>
    <t>Manure Management Methane Emissions</t>
  </si>
  <si>
    <t>Number of Animals ('000 head)</t>
  </si>
  <si>
    <t>Typical Animal Mass (TAM) (kg)</t>
  </si>
  <si>
    <t>Volatile Solids (VS)  [kg VS/1000 kg animal mass/day]</t>
  </si>
  <si>
    <t>Total VS (kg/yr)</t>
  </si>
  <si>
    <r>
      <rPr>
        <b/>
        <sz val="11"/>
        <color theme="1"/>
        <rFont val="Calibri"/>
        <family val="2"/>
      </rPr>
      <t>Max Pot. Emissions (m</t>
    </r>
    <r>
      <rPr>
        <b/>
        <vertAlign val="superscript"/>
        <sz val="7"/>
        <color theme="1"/>
        <rFont val="Comic Sans MS"/>
        <family val="4"/>
      </rPr>
      <t>3</t>
    </r>
    <r>
      <rPr>
        <b/>
        <sz val="7"/>
        <color theme="1"/>
        <rFont val="Comic Sans MS"/>
        <family val="4"/>
      </rPr>
      <t xml:space="preserve"> CH</t>
    </r>
    <r>
      <rPr>
        <b/>
        <vertAlign val="subscript"/>
        <sz val="7"/>
        <color theme="1"/>
        <rFont val="Comic Sans MS"/>
        <family val="4"/>
      </rPr>
      <t>4</t>
    </r>
    <r>
      <rPr>
        <b/>
        <sz val="7"/>
        <color theme="1"/>
        <rFont val="Comic Sans MS"/>
        <family val="4"/>
      </rPr>
      <t>/ kg VS)</t>
    </r>
  </si>
  <si>
    <t>Weighted MCF</t>
  </si>
  <si>
    <r>
      <rPr>
        <b/>
        <sz val="11"/>
        <color theme="1"/>
        <rFont val="Calibri"/>
        <family val="2"/>
      </rPr>
      <t>Emissions      (m</t>
    </r>
    <r>
      <rPr>
        <b/>
        <vertAlign val="superscript"/>
        <sz val="7"/>
        <color theme="1"/>
        <rFont val="Comic Sans MS"/>
        <family val="4"/>
      </rPr>
      <t>3</t>
    </r>
    <r>
      <rPr>
        <b/>
        <sz val="7"/>
        <color theme="1"/>
        <rFont val="Comic Sans MS"/>
        <family val="4"/>
      </rPr>
      <t xml:space="preserve"> CH</t>
    </r>
    <r>
      <rPr>
        <b/>
        <vertAlign val="subscript"/>
        <sz val="7"/>
        <color theme="1"/>
        <rFont val="Comic Sans MS"/>
        <family val="4"/>
      </rPr>
      <t>4</t>
    </r>
    <r>
      <rPr>
        <b/>
        <sz val="7"/>
        <color theme="1"/>
        <rFont val="Comic Sans MS"/>
        <family val="4"/>
      </rPr>
      <t>)</t>
    </r>
  </si>
  <si>
    <r>
      <rPr>
        <b/>
        <sz val="11"/>
        <color theme="1"/>
        <rFont val="Calibri"/>
        <family val="2"/>
      </rPr>
      <t>Emissions (Metric Tons CH</t>
    </r>
    <r>
      <rPr>
        <b/>
        <vertAlign val="subscript"/>
        <sz val="7"/>
        <color theme="1"/>
        <rFont val="Comic Sans MS"/>
        <family val="4"/>
      </rPr>
      <t>4</t>
    </r>
    <r>
      <rPr>
        <b/>
        <sz val="7"/>
        <color theme="1"/>
        <rFont val="Comic Sans MS"/>
        <family val="4"/>
      </rPr>
      <t>)</t>
    </r>
  </si>
  <si>
    <r>
      <rPr>
        <b/>
        <sz val="11"/>
        <color theme="1"/>
        <rFont val="Calibri"/>
        <family val="2"/>
      </rPr>
      <t>Emissions (MMTCH</t>
    </r>
    <r>
      <rPr>
        <b/>
        <vertAlign val="subscript"/>
        <sz val="7"/>
        <color theme="1"/>
        <rFont val="Comic Sans MS"/>
        <family val="4"/>
      </rPr>
      <t>4</t>
    </r>
    <r>
      <rPr>
        <b/>
        <sz val="7"/>
        <color theme="1"/>
        <rFont val="Comic Sans MS"/>
        <family val="4"/>
      </rPr>
      <t>)</t>
    </r>
  </si>
  <si>
    <t>Emissions (MMTCE)</t>
  </si>
  <si>
    <r>
      <rPr>
        <b/>
        <sz val="11"/>
        <color theme="1"/>
        <rFont val="Calibri"/>
        <family val="2"/>
      </rPr>
      <t>Emissions  (MMTCO</t>
    </r>
    <r>
      <rPr>
        <b/>
        <vertAlign val="subscript"/>
        <sz val="7"/>
        <color theme="1"/>
        <rFont val="Arial"/>
        <family val="2"/>
      </rPr>
      <t>2</t>
    </r>
    <r>
      <rPr>
        <b/>
        <sz val="7"/>
        <color theme="1"/>
        <rFont val="Arial"/>
        <family val="2"/>
      </rPr>
      <t>E)</t>
    </r>
  </si>
  <si>
    <t>Calves</t>
  </si>
  <si>
    <t>Breeding Swine</t>
  </si>
  <si>
    <t>Market Under 60 lbs</t>
  </si>
  <si>
    <t>Market 60-119 lbs</t>
  </si>
  <si>
    <t>Market 120-179 lbs</t>
  </si>
  <si>
    <t>Market over 180 lbs</t>
  </si>
  <si>
    <t>Layers</t>
  </si>
  <si>
    <t>Hens &gt; 1 yr</t>
  </si>
  <si>
    <t>Pullets</t>
  </si>
  <si>
    <t>Chickens</t>
  </si>
  <si>
    <t>Broilers</t>
  </si>
  <si>
    <t>Turkeys</t>
  </si>
  <si>
    <t>Sheep on Feed</t>
  </si>
  <si>
    <t>Sheep Not on Feed</t>
  </si>
  <si>
    <r>
      <rPr>
        <sz val="11"/>
        <color theme="1"/>
        <rFont val="Calibri"/>
        <family val="2"/>
      </rPr>
      <t>Manure Management N</t>
    </r>
    <r>
      <rPr>
        <vertAlign val="subscript"/>
        <sz val="12"/>
        <color theme="1"/>
        <rFont val="Comic Sans MS"/>
        <family val="4"/>
      </rPr>
      <t>2</t>
    </r>
    <r>
      <rPr>
        <sz val="12"/>
        <color theme="1"/>
        <rFont val="Comic Sans MS"/>
        <family val="4"/>
      </rPr>
      <t>0 Emissions</t>
    </r>
  </si>
  <si>
    <t>Total K-Nitrogen Excreted
(kg)</t>
  </si>
  <si>
    <t>Unvolatilized N from Manure in Anaerobic Lagoons and Liquid Systems
(kg)</t>
  </si>
  <si>
    <t>Unvolatilized N from Manure in Solid Storage, Drylot &amp; Other Systems
(kg)</t>
  </si>
  <si>
    <r>
      <rPr>
        <b/>
        <sz val="11"/>
        <color theme="1"/>
        <rFont val="Calibri"/>
        <family val="2"/>
      </rPr>
      <t>Emissions from Anaerobic Lagoons and Liquid Systems
(kg N</t>
    </r>
    <r>
      <rPr>
        <b/>
        <vertAlign val="subscript"/>
        <sz val="11"/>
        <color theme="1"/>
        <rFont val="Calibri"/>
        <family val="2"/>
      </rPr>
      <t>2</t>
    </r>
    <r>
      <rPr>
        <b/>
        <sz val="11"/>
        <color theme="1"/>
        <rFont val="Calibri"/>
        <family val="2"/>
      </rPr>
      <t>O-N)</t>
    </r>
  </si>
  <si>
    <r>
      <rPr>
        <b/>
        <sz val="11"/>
        <color theme="1"/>
        <rFont val="Calibri"/>
        <family val="2"/>
      </rPr>
      <t>Emissions from Solid Storage, Drylot, &amp; Other Systems
(kg N</t>
    </r>
    <r>
      <rPr>
        <b/>
        <vertAlign val="subscript"/>
        <sz val="11"/>
        <color theme="1"/>
        <rFont val="Calibri"/>
        <family val="2"/>
      </rPr>
      <t>2</t>
    </r>
    <r>
      <rPr>
        <b/>
        <sz val="11"/>
        <color theme="1"/>
        <rFont val="Calibri"/>
        <family val="2"/>
      </rPr>
      <t>O-N)</t>
    </r>
  </si>
  <si>
    <r>
      <rPr>
        <b/>
        <sz val="11"/>
        <color theme="1"/>
        <rFont val="Calibri"/>
        <family val="2"/>
      </rPr>
      <t>Total N</t>
    </r>
    <r>
      <rPr>
        <b/>
        <vertAlign val="subscript"/>
        <sz val="7"/>
        <color theme="1"/>
        <rFont val="Arial"/>
        <family val="2"/>
      </rPr>
      <t>2</t>
    </r>
    <r>
      <rPr>
        <b/>
        <sz val="7"/>
        <color theme="1"/>
        <rFont val="Arial"/>
        <family val="2"/>
      </rPr>
      <t>O Emissions
(kg N</t>
    </r>
    <r>
      <rPr>
        <b/>
        <vertAlign val="subscript"/>
        <sz val="7"/>
        <color theme="1"/>
        <rFont val="Arial"/>
        <family val="2"/>
      </rPr>
      <t>2</t>
    </r>
    <r>
      <rPr>
        <b/>
        <sz val="7"/>
        <color theme="1"/>
        <rFont val="Arial"/>
        <family val="2"/>
      </rPr>
      <t>O)</t>
    </r>
  </si>
  <si>
    <r>
      <rPr>
        <b/>
        <sz val="11"/>
        <color theme="1"/>
        <rFont val="Calibri"/>
        <family val="2"/>
      </rPr>
      <t>Emissions
(MMTCO</t>
    </r>
    <r>
      <rPr>
        <b/>
        <vertAlign val="subscript"/>
        <sz val="7"/>
        <color theme="1"/>
        <rFont val="Arial"/>
        <family val="2"/>
      </rPr>
      <t>2</t>
    </r>
    <r>
      <rPr>
        <b/>
        <sz val="7"/>
        <color theme="1"/>
        <rFont val="Arial"/>
        <family val="2"/>
      </rPr>
      <t>E)</t>
    </r>
  </si>
  <si>
    <t>Dairy</t>
  </si>
  <si>
    <t xml:space="preserve"> </t>
  </si>
  <si>
    <t>Agriculture  Soils- Plant Residues &amp; Legumes in Maryland</t>
  </si>
  <si>
    <t>Legumes and Crop Residue Calculations</t>
  </si>
  <si>
    <t xml:space="preserve">Crop Production </t>
  </si>
  <si>
    <t>metric tons/bushel:</t>
  </si>
  <si>
    <t>Residue: Crop Mass Ratio</t>
  </si>
  <si>
    <t>Crop Production (metric tons)</t>
  </si>
  <si>
    <t>Residue Dry Matter Fraction</t>
  </si>
  <si>
    <t xml:space="preserve">Fraction Residue Applied </t>
  </si>
  <si>
    <t>Nitrogen Content of Residue</t>
  </si>
  <si>
    <t>Nitrogen Returned to Soil</t>
  </si>
  <si>
    <t>N content of Aboveground Biomass for N fixing</t>
  </si>
  <si>
    <t>N-Fixed by Crops (kg)</t>
  </si>
  <si>
    <t>EF Direct</t>
  </si>
  <si>
    <r>
      <rPr>
        <b/>
        <sz val="11"/>
        <color theme="1"/>
        <rFont val="Calibri"/>
        <family val="2"/>
      </rPr>
      <t>Direct N</t>
    </r>
    <r>
      <rPr>
        <b/>
        <vertAlign val="subscript"/>
        <sz val="8"/>
        <color theme="1"/>
        <rFont val="Calibri"/>
        <family val="2"/>
      </rPr>
      <t>2</t>
    </r>
    <r>
      <rPr>
        <b/>
        <sz val="8"/>
        <color theme="1"/>
        <rFont val="Calibri"/>
        <family val="2"/>
      </rPr>
      <t>O Emissions (metric tons N</t>
    </r>
    <r>
      <rPr>
        <b/>
        <vertAlign val="subscript"/>
        <sz val="8"/>
        <color theme="1"/>
        <rFont val="Calibri"/>
        <family val="2"/>
      </rPr>
      <t>2</t>
    </r>
    <r>
      <rPr>
        <b/>
        <sz val="8"/>
        <color theme="1"/>
        <rFont val="Calibri"/>
        <family val="2"/>
      </rPr>
      <t>O)</t>
    </r>
  </si>
  <si>
    <r>
      <rPr>
        <b/>
        <sz val="11"/>
        <color theme="1"/>
        <rFont val="Calibri"/>
        <family val="2"/>
      </rPr>
      <t>Direct Emissions</t>
    </r>
    <r>
      <rPr>
        <sz val="8"/>
        <color theme="1"/>
        <rFont val="Calibri"/>
        <family val="2"/>
      </rPr>
      <t xml:space="preserve"> (MMTCE)</t>
    </r>
  </si>
  <si>
    <r>
      <rPr>
        <b/>
        <sz val="11"/>
        <color theme="1"/>
        <rFont val="Calibri"/>
        <family val="2"/>
      </rPr>
      <t>Direct Emissions  (MMTCO</t>
    </r>
    <r>
      <rPr>
        <b/>
        <vertAlign val="subscript"/>
        <sz val="8"/>
        <color theme="1"/>
        <rFont val="Calibri"/>
        <family val="2"/>
      </rPr>
      <t>2</t>
    </r>
    <r>
      <rPr>
        <b/>
        <sz val="8"/>
        <color theme="1"/>
        <rFont val="Calibri"/>
        <family val="2"/>
      </rPr>
      <t>E)</t>
    </r>
  </si>
  <si>
    <t xml:space="preserve">Alfalfa  </t>
  </si>
  <si>
    <t>'000 tons</t>
  </si>
  <si>
    <t>Residues</t>
  </si>
  <si>
    <t xml:space="preserve">Corn for Grain </t>
  </si>
  <si>
    <t>'000 bushels</t>
  </si>
  <si>
    <t>Legumes</t>
  </si>
  <si>
    <t xml:space="preserve">All Wheat </t>
  </si>
  <si>
    <t xml:space="preserve">Barley </t>
  </si>
  <si>
    <t>Sorghum for Grain</t>
  </si>
  <si>
    <t>Oats</t>
  </si>
  <si>
    <t>Rye</t>
  </si>
  <si>
    <t>Millet</t>
  </si>
  <si>
    <t>Rice</t>
  </si>
  <si>
    <t>'000 hundred weight</t>
  </si>
  <si>
    <t xml:space="preserve">Soybeans </t>
  </si>
  <si>
    <t>Peanuts</t>
  </si>
  <si>
    <t>'000 lbs</t>
  </si>
  <si>
    <t>Dry Edible Beans</t>
  </si>
  <si>
    <t>Dry Edible Peas</t>
  </si>
  <si>
    <t>Austrian Winter Peas</t>
  </si>
  <si>
    <t>Lentils</t>
  </si>
  <si>
    <t>Wrinkled Seed Peas</t>
  </si>
  <si>
    <t>Red Clover</t>
  </si>
  <si>
    <t>White Clover</t>
  </si>
  <si>
    <t>Birdsfoot Trefoil</t>
  </si>
  <si>
    <t>Arrowleaf Clover</t>
  </si>
  <si>
    <t>Crimson Clover</t>
  </si>
  <si>
    <t>Agriculture Soils -  Plant Fertilizer Emissions in Maryland</t>
  </si>
  <si>
    <t>Fertilizer Calculations</t>
  </si>
  <si>
    <t>Growing Year Entry</t>
  </si>
  <si>
    <r>
      <rPr>
        <b/>
        <sz val="11"/>
        <color theme="1"/>
        <rFont val="Calibri"/>
        <family val="2"/>
      </rPr>
      <t>Total Fertilizer Use</t>
    </r>
    <r>
      <rPr>
        <sz val="8"/>
        <color theme="1"/>
        <rFont val="Calibri"/>
        <family val="2"/>
      </rPr>
      <t xml:space="preserve"> (kg N)</t>
    </r>
  </si>
  <si>
    <r>
      <rPr>
        <b/>
        <sz val="11"/>
        <color theme="1"/>
        <rFont val="Calibri"/>
        <family val="2"/>
      </rPr>
      <t xml:space="preserve">Total N in Fertilizers </t>
    </r>
    <r>
      <rPr>
        <sz val="8"/>
        <color theme="1"/>
        <rFont val="Calibri"/>
        <family val="2"/>
      </rPr>
      <t>(Calendar Year)</t>
    </r>
  </si>
  <si>
    <t>Volatilzation
(Percent)</t>
  </si>
  <si>
    <t>N Content of Non-Manure Organics</t>
  </si>
  <si>
    <r>
      <rPr>
        <b/>
        <sz val="11"/>
        <color theme="1"/>
        <rFont val="Calibri"/>
        <family val="2"/>
      </rPr>
      <t xml:space="preserve">Unvolatized N
</t>
    </r>
    <r>
      <rPr>
        <sz val="8"/>
        <color theme="1"/>
        <rFont val="Calibri"/>
        <family val="2"/>
      </rPr>
      <t>(kg)</t>
    </r>
  </si>
  <si>
    <r>
      <rPr>
        <b/>
        <sz val="11"/>
        <color theme="1"/>
        <rFont val="Calibri"/>
        <family val="2"/>
      </rPr>
      <t xml:space="preserve">Volatized N
</t>
    </r>
    <r>
      <rPr>
        <sz val="8"/>
        <color theme="1"/>
        <rFont val="Calibri"/>
        <family val="2"/>
      </rPr>
      <t>(kg)</t>
    </r>
  </si>
  <si>
    <r>
      <rPr>
        <b/>
        <sz val="11"/>
        <color theme="1"/>
        <rFont val="Calibri"/>
        <family val="2"/>
      </rPr>
      <t>Direct N</t>
    </r>
    <r>
      <rPr>
        <b/>
        <vertAlign val="subscript"/>
        <sz val="8"/>
        <color theme="1"/>
        <rFont val="Calibri"/>
        <family val="2"/>
      </rPr>
      <t>2</t>
    </r>
    <r>
      <rPr>
        <b/>
        <sz val="8"/>
        <color theme="1"/>
        <rFont val="Calibri"/>
        <family val="2"/>
      </rPr>
      <t>O Emissions
(metric tons)</t>
    </r>
  </si>
  <si>
    <r>
      <rPr>
        <b/>
        <sz val="11"/>
        <color theme="1"/>
        <rFont val="Calibri"/>
        <family val="2"/>
      </rPr>
      <t>Indirect N</t>
    </r>
    <r>
      <rPr>
        <b/>
        <vertAlign val="subscript"/>
        <sz val="8"/>
        <color theme="1"/>
        <rFont val="Calibri"/>
        <family val="2"/>
      </rPr>
      <t>2</t>
    </r>
    <r>
      <rPr>
        <b/>
        <sz val="8"/>
        <color theme="1"/>
        <rFont val="Calibri"/>
        <family val="2"/>
      </rPr>
      <t>O Emissions
(metric tons)</t>
    </r>
  </si>
  <si>
    <r>
      <rPr>
        <b/>
        <sz val="11"/>
        <color theme="1"/>
        <rFont val="Calibri"/>
        <family val="2"/>
      </rPr>
      <t xml:space="preserve">Direct Emissions
</t>
    </r>
    <r>
      <rPr>
        <sz val="8"/>
        <color theme="1"/>
        <rFont val="Calibri"/>
        <family val="2"/>
      </rPr>
      <t>(MMTCE)</t>
    </r>
  </si>
  <si>
    <r>
      <rPr>
        <b/>
        <sz val="11"/>
        <color theme="1"/>
        <rFont val="Calibri"/>
        <family val="2"/>
      </rPr>
      <t xml:space="preserve">Indirect Emissions
</t>
    </r>
    <r>
      <rPr>
        <sz val="8"/>
        <color theme="1"/>
        <rFont val="Calibri"/>
        <family val="2"/>
      </rPr>
      <t>(MMTCE)</t>
    </r>
  </si>
  <si>
    <r>
      <rPr>
        <b/>
        <sz val="11"/>
        <color theme="1"/>
        <rFont val="Calibri"/>
        <family val="2"/>
      </rPr>
      <t>Direct Emissions
(MMTCO</t>
    </r>
    <r>
      <rPr>
        <b/>
        <vertAlign val="subscript"/>
        <sz val="8"/>
        <color theme="1"/>
        <rFont val="Calibri"/>
        <family val="2"/>
      </rPr>
      <t>2</t>
    </r>
    <r>
      <rPr>
        <b/>
        <sz val="8"/>
        <color theme="1"/>
        <rFont val="Calibri"/>
        <family val="2"/>
      </rPr>
      <t>E)</t>
    </r>
  </si>
  <si>
    <r>
      <rPr>
        <b/>
        <sz val="11"/>
        <color theme="1"/>
        <rFont val="Calibri"/>
        <family val="2"/>
      </rPr>
      <t>Indirect Emissions
(MMTCO</t>
    </r>
    <r>
      <rPr>
        <b/>
        <vertAlign val="subscript"/>
        <sz val="8"/>
        <color theme="1"/>
        <rFont val="Calibri"/>
        <family val="2"/>
      </rPr>
      <t>2</t>
    </r>
    <r>
      <rPr>
        <b/>
        <sz val="8"/>
        <color theme="1"/>
        <rFont val="Calibri"/>
        <family val="2"/>
      </rPr>
      <t>E)</t>
    </r>
  </si>
  <si>
    <t xml:space="preserve">Synthetic </t>
  </si>
  <si>
    <t xml:space="preserve">Organic  </t>
  </si>
  <si>
    <t>Dried Blood</t>
  </si>
  <si>
    <t>Compost</t>
  </si>
  <si>
    <t>Dried Manure</t>
  </si>
  <si>
    <t>Activated Sewage Sludge</t>
  </si>
  <si>
    <t>Other Sewage Sludge</t>
  </si>
  <si>
    <t>Tankage</t>
  </si>
  <si>
    <t xml:space="preserve">Other </t>
  </si>
  <si>
    <t>Dried Manure %</t>
  </si>
  <si>
    <t>Non-Manure Organics</t>
  </si>
  <si>
    <t>Manure Organics</t>
  </si>
  <si>
    <r>
      <rPr>
        <b/>
        <sz val="11"/>
        <color theme="1"/>
        <rFont val="Calibri"/>
        <family val="2"/>
      </rPr>
      <t>Total Fertilizer Use</t>
    </r>
    <r>
      <rPr>
        <sz val="8"/>
        <color theme="1"/>
        <rFont val="Calibri"/>
        <family val="2"/>
      </rPr>
      <t xml:space="preserve"> (kg N)</t>
    </r>
  </si>
  <si>
    <t>Agriculture Soils - Emissions from Animals &amp; Runoff</t>
  </si>
  <si>
    <t xml:space="preserve">Percentage Breakdown of Manure Management Systems </t>
  </si>
  <si>
    <t>K-NITROGEN EXCRETED BY MANAGEMENT SYSTEM (kg):</t>
  </si>
  <si>
    <t>DIRECT EMISSIONS (MT N)</t>
  </si>
  <si>
    <t>Source: US Inventory spreadsheets. See Manure-N2O.xls, WMS sheets.</t>
  </si>
  <si>
    <r>
      <rPr>
        <b/>
        <sz val="11"/>
        <color theme="1"/>
        <rFont val="Calibri"/>
        <family val="2"/>
      </rPr>
      <t xml:space="preserve">Number of Animals
</t>
    </r>
    <r>
      <rPr>
        <sz val="8"/>
        <color theme="1"/>
        <rFont val="Calibri"/>
        <family val="2"/>
      </rPr>
      <t>('000 head)</t>
    </r>
  </si>
  <si>
    <t>TAM
(kg)</t>
  </si>
  <si>
    <t>K-Nitrogen
(kg/day/1000kg)</t>
  </si>
  <si>
    <r>
      <rPr>
        <b/>
        <sz val="11"/>
        <color theme="1"/>
        <rFont val="Calibri"/>
        <family val="2"/>
      </rPr>
      <t xml:space="preserve">Total K-Nitrogen Excreted
</t>
    </r>
    <r>
      <rPr>
        <sz val="8"/>
        <color theme="1"/>
        <rFont val="Calibri"/>
        <family val="2"/>
      </rPr>
      <t>(kg)</t>
    </r>
  </si>
  <si>
    <r>
      <rPr>
        <b/>
        <sz val="11"/>
        <color theme="1"/>
        <rFont val="Calibri"/>
        <family val="2"/>
      </rPr>
      <t>Indirect Animal N</t>
    </r>
    <r>
      <rPr>
        <b/>
        <vertAlign val="subscript"/>
        <sz val="8"/>
        <color theme="1"/>
        <rFont val="Calibri"/>
        <family val="2"/>
      </rPr>
      <t>2</t>
    </r>
    <r>
      <rPr>
        <b/>
        <sz val="8"/>
        <color theme="1"/>
        <rFont val="Calibri"/>
        <family val="2"/>
      </rPr>
      <t xml:space="preserve">O Emissions
</t>
    </r>
    <r>
      <rPr>
        <sz val="8"/>
        <color theme="1"/>
        <rFont val="Calibri"/>
        <family val="2"/>
      </rPr>
      <t>(metric tons N)</t>
    </r>
  </si>
  <si>
    <t>Managed Systems</t>
  </si>
  <si>
    <t>Unmanaged Systems - Pasture, Range, and Paddock</t>
  </si>
  <si>
    <t>Unmanaged Systems - Daily Spread</t>
  </si>
  <si>
    <t>Manure Applied to Soils</t>
  </si>
  <si>
    <t>Pasture, Range and Paddock</t>
  </si>
  <si>
    <t>Leaching and Runoff</t>
  </si>
  <si>
    <t xml:space="preserve">Dairy Cows </t>
  </si>
  <si>
    <t>Dairy Heifers</t>
  </si>
  <si>
    <t>Feedlot Beef</t>
  </si>
  <si>
    <t>NOF Beef</t>
  </si>
  <si>
    <t>Year &amp; State</t>
  </si>
  <si>
    <t>Anaerobic Lagoon</t>
  </si>
  <si>
    <t>Liquid/ Slurry</t>
  </si>
  <si>
    <t>Daily Spread</t>
  </si>
  <si>
    <t>Solid Storage</t>
  </si>
  <si>
    <t>Pasture</t>
  </si>
  <si>
    <t>Deep Pit</t>
  </si>
  <si>
    <t>Managed</t>
  </si>
  <si>
    <t>PRP</t>
  </si>
  <si>
    <t>STATE</t>
  </si>
  <si>
    <t>Dry Lot</t>
  </si>
  <si>
    <t>Poultry without bedding</t>
  </si>
  <si>
    <t>State</t>
  </si>
  <si>
    <t>Litter</t>
  </si>
  <si>
    <t>Range</t>
  </si>
  <si>
    <t>On Feed (PRP)</t>
  </si>
  <si>
    <t>Not on Feed (PRP)</t>
  </si>
  <si>
    <t>Pasture, Range &amp; Paddock</t>
  </si>
  <si>
    <t>Unvolatilized N from Organic Fertilizers (kg)</t>
  </si>
  <si>
    <t>2011MD</t>
  </si>
  <si>
    <t>MD</t>
  </si>
  <si>
    <t>Unvolatilized N from Synthetic Fertilizers (kg)</t>
  </si>
  <si>
    <r>
      <rPr>
        <b/>
        <sz val="11"/>
        <color theme="1"/>
        <rFont val="Calibri"/>
        <family val="2"/>
      </rPr>
      <t>Fertilizer Runoff/Leached</t>
    </r>
    <r>
      <rPr>
        <sz val="8"/>
        <color theme="1"/>
        <rFont val="Calibri"/>
        <family val="2"/>
      </rPr>
      <t xml:space="preserve"> (metric tons N)</t>
    </r>
  </si>
  <si>
    <t>Total N excreted by Livestock (kg)</t>
  </si>
  <si>
    <r>
      <rPr>
        <b/>
        <sz val="11"/>
        <color theme="1"/>
        <rFont val="Calibri"/>
        <family val="2"/>
      </rPr>
      <t xml:space="preserve">Manure Runoff/Leached </t>
    </r>
    <r>
      <rPr>
        <sz val="8"/>
        <color theme="1"/>
        <rFont val="Calibri"/>
        <family val="2"/>
      </rPr>
      <t>(metric tons N)</t>
    </r>
  </si>
  <si>
    <r>
      <rPr>
        <b/>
        <sz val="11"/>
        <color theme="1"/>
        <rFont val="Calibri"/>
        <family val="2"/>
      </rPr>
      <t xml:space="preserve">TOTAL Runoff/Leached </t>
    </r>
    <r>
      <rPr>
        <sz val="8"/>
        <color theme="1"/>
        <rFont val="Calibri"/>
        <family val="2"/>
      </rPr>
      <t>(metric tons N</t>
    </r>
    <r>
      <rPr>
        <vertAlign val="subscript"/>
        <sz val="8"/>
        <color theme="1"/>
        <rFont val="Calibri"/>
        <family val="2"/>
      </rPr>
      <t>2</t>
    </r>
    <r>
      <rPr>
        <sz val="8"/>
        <color theme="1"/>
        <rFont val="Calibri"/>
        <family val="2"/>
      </rPr>
      <t>O-N)</t>
    </r>
  </si>
  <si>
    <t>Total Beef Heifers</t>
  </si>
  <si>
    <t>EMISSIONS SUMMARY  2011</t>
  </si>
  <si>
    <r>
      <rPr>
        <b/>
        <sz val="11"/>
        <color theme="1"/>
        <rFont val="Calibri"/>
        <family val="2"/>
      </rPr>
      <t>Livestock
(Metric Tons N</t>
    </r>
    <r>
      <rPr>
        <b/>
        <vertAlign val="subscript"/>
        <sz val="8"/>
        <color theme="1"/>
        <rFont val="Calibri"/>
        <family val="2"/>
      </rPr>
      <t>2</t>
    </r>
    <r>
      <rPr>
        <b/>
        <sz val="8"/>
        <color theme="1"/>
        <rFont val="Calibri"/>
        <family val="2"/>
      </rPr>
      <t>O)</t>
    </r>
  </si>
  <si>
    <t>Livestock
(MMTCE)</t>
  </si>
  <si>
    <r>
      <rPr>
        <b/>
        <sz val="11"/>
        <color theme="1"/>
        <rFont val="Calibri"/>
        <family val="2"/>
      </rPr>
      <t>Livestock
(MMTCO</t>
    </r>
    <r>
      <rPr>
        <b/>
        <vertAlign val="subscript"/>
        <sz val="8"/>
        <color theme="1"/>
        <rFont val="Calibri"/>
        <family val="2"/>
      </rPr>
      <t>2</t>
    </r>
    <r>
      <rPr>
        <b/>
        <sz val="8"/>
        <color theme="1"/>
        <rFont val="Calibri"/>
        <family val="2"/>
      </rPr>
      <t>E)</t>
    </r>
  </si>
  <si>
    <r>
      <rPr>
        <b/>
        <sz val="11"/>
        <color theme="1"/>
        <rFont val="Calibri"/>
        <family val="2"/>
      </rPr>
      <t>Leaching and Runoff
(Metric Tons N</t>
    </r>
    <r>
      <rPr>
        <b/>
        <vertAlign val="subscript"/>
        <sz val="8"/>
        <color theme="1"/>
        <rFont val="Calibri"/>
        <family val="2"/>
      </rPr>
      <t>2</t>
    </r>
    <r>
      <rPr>
        <b/>
        <sz val="8"/>
        <color theme="1"/>
        <rFont val="Calibri"/>
        <family val="2"/>
      </rPr>
      <t>O)</t>
    </r>
  </si>
  <si>
    <t>Leaching and Runoff
(MMTCE)</t>
  </si>
  <si>
    <r>
      <rPr>
        <b/>
        <sz val="11"/>
        <color theme="1"/>
        <rFont val="Calibri"/>
        <family val="2"/>
      </rPr>
      <t>Leaching and Runoff
(MMTCO</t>
    </r>
    <r>
      <rPr>
        <b/>
        <vertAlign val="subscript"/>
        <sz val="8"/>
        <color theme="1"/>
        <rFont val="Calibri"/>
        <family val="2"/>
      </rPr>
      <t>2</t>
    </r>
    <r>
      <rPr>
        <b/>
        <sz val="8"/>
        <color theme="1"/>
        <rFont val="Calibri"/>
        <family val="2"/>
      </rPr>
      <t>E)</t>
    </r>
  </si>
  <si>
    <r>
      <rPr>
        <b/>
        <sz val="11"/>
        <color rgb="FFFF0000"/>
        <rFont val="Calibri"/>
        <family val="2"/>
      </rPr>
      <t>Indirect N</t>
    </r>
    <r>
      <rPr>
        <b/>
        <vertAlign val="subscript"/>
        <sz val="8"/>
        <color rgb="FFFF0000"/>
        <rFont val="Calibri"/>
        <family val="2"/>
      </rPr>
      <t>2</t>
    </r>
    <r>
      <rPr>
        <b/>
        <sz val="8"/>
        <color rgb="FFFF0000"/>
        <rFont val="Calibri"/>
        <family val="2"/>
      </rPr>
      <t>O Emissions</t>
    </r>
  </si>
  <si>
    <t>TOTAL Runoff/Leached</t>
  </si>
  <si>
    <r>
      <rPr>
        <b/>
        <sz val="11"/>
        <color theme="1"/>
        <rFont val="Calibri"/>
        <family val="2"/>
      </rPr>
      <t>Direct N</t>
    </r>
    <r>
      <rPr>
        <b/>
        <vertAlign val="subscript"/>
        <sz val="8"/>
        <color theme="1"/>
        <rFont val="Calibri"/>
        <family val="2"/>
      </rPr>
      <t>2</t>
    </r>
    <r>
      <rPr>
        <b/>
        <sz val="8"/>
        <color theme="1"/>
        <rFont val="Calibri"/>
        <family val="2"/>
      </rPr>
      <t>O Emissions - Manure Applied to Soils (including Daily Spread)</t>
    </r>
  </si>
  <si>
    <t>Fertilizer Runoff/Leached</t>
  </si>
  <si>
    <r>
      <rPr>
        <b/>
        <sz val="11"/>
        <color theme="1"/>
        <rFont val="Calibri"/>
        <family val="2"/>
      </rPr>
      <t>Direct N</t>
    </r>
    <r>
      <rPr>
        <b/>
        <vertAlign val="subscript"/>
        <sz val="8"/>
        <color theme="1"/>
        <rFont val="Calibri"/>
        <family val="2"/>
      </rPr>
      <t>2</t>
    </r>
    <r>
      <rPr>
        <b/>
        <sz val="8"/>
        <color theme="1"/>
        <rFont val="Calibri"/>
        <family val="2"/>
      </rPr>
      <t>O Emissions - Pasture, Range, and Paddock</t>
    </r>
  </si>
  <si>
    <t xml:space="preserve">Manure Runoff/Leached </t>
  </si>
  <si>
    <r>
      <rPr>
        <b/>
        <sz val="11"/>
        <color rgb="FFFF0000"/>
        <rFont val="Calibri"/>
        <family val="2"/>
      </rPr>
      <t>Direct N</t>
    </r>
    <r>
      <rPr>
        <b/>
        <vertAlign val="subscript"/>
        <sz val="8"/>
        <color rgb="FFFF0000"/>
        <rFont val="Calibri"/>
        <family val="2"/>
      </rPr>
      <t>2</t>
    </r>
    <r>
      <rPr>
        <b/>
        <sz val="8"/>
        <color rgb="FFFF0000"/>
        <rFont val="Calibri"/>
        <family val="2"/>
      </rPr>
      <t>O Emissions</t>
    </r>
  </si>
  <si>
    <r>
      <rPr>
        <sz val="11"/>
        <color theme="1"/>
        <rFont val="Calibri"/>
        <family val="2"/>
      </rPr>
      <t>Agricultural Residue Burning -  CH</t>
    </r>
    <r>
      <rPr>
        <vertAlign val="subscript"/>
        <sz val="14"/>
        <color theme="1"/>
        <rFont val="Comic Sans MS"/>
        <family val="4"/>
      </rPr>
      <t>4</t>
    </r>
    <r>
      <rPr>
        <sz val="14"/>
        <color theme="1"/>
        <rFont val="Comic Sans MS"/>
        <family val="4"/>
      </rPr>
      <t xml:space="preserve"> Emissions</t>
    </r>
  </si>
  <si>
    <t>Crop</t>
  </si>
  <si>
    <t xml:space="preserve">Crop Production        </t>
  </si>
  <si>
    <t>metric tons/bushel</t>
  </si>
  <si>
    <t>Crop Production     (metric tons)</t>
  </si>
  <si>
    <t>Residue/Crop Ratio</t>
  </si>
  <si>
    <t>Fraction   Residue Burned</t>
  </si>
  <si>
    <t>Dry Matter Fraction</t>
  </si>
  <si>
    <t>Burning Efficiency</t>
  </si>
  <si>
    <t>Combustion Efficiency</t>
  </si>
  <si>
    <t>Carbon Content</t>
  </si>
  <si>
    <t>Total C Released  (metric tons C)</t>
  </si>
  <si>
    <r>
      <rPr>
        <b/>
        <sz val="11"/>
        <color theme="1"/>
        <rFont val="Calibri"/>
        <family val="2"/>
      </rPr>
      <t>CH</t>
    </r>
    <r>
      <rPr>
        <b/>
        <vertAlign val="subscript"/>
        <sz val="8"/>
        <color theme="1"/>
        <rFont val="Calibri"/>
        <family val="2"/>
      </rPr>
      <t>4</t>
    </r>
    <r>
      <rPr>
        <b/>
        <sz val="8"/>
        <color theme="1"/>
        <rFont val="Calibri"/>
        <family val="2"/>
      </rPr>
      <t xml:space="preserve"> Emissions  (metric tons CH</t>
    </r>
    <r>
      <rPr>
        <b/>
        <vertAlign val="subscript"/>
        <sz val="8"/>
        <color theme="1"/>
        <rFont val="Calibri"/>
        <family val="2"/>
      </rPr>
      <t>4</t>
    </r>
    <r>
      <rPr>
        <b/>
        <sz val="8"/>
        <color theme="1"/>
        <rFont val="Calibri"/>
        <family val="2"/>
      </rPr>
      <t>)</t>
    </r>
  </si>
  <si>
    <r>
      <rPr>
        <b/>
        <sz val="11"/>
        <color theme="1"/>
        <rFont val="Calibri"/>
        <family val="2"/>
      </rPr>
      <t>CH</t>
    </r>
    <r>
      <rPr>
        <b/>
        <vertAlign val="subscript"/>
        <sz val="8"/>
        <color theme="1"/>
        <rFont val="Calibri"/>
        <family val="2"/>
      </rPr>
      <t>4</t>
    </r>
    <r>
      <rPr>
        <b/>
        <sz val="8"/>
        <color theme="1"/>
        <rFont val="Calibri"/>
        <family val="2"/>
      </rPr>
      <t xml:space="preserve"> Emissions  (MMTCE)</t>
    </r>
  </si>
  <si>
    <r>
      <rPr>
        <b/>
        <sz val="11"/>
        <color theme="1"/>
        <rFont val="Calibri"/>
        <family val="2"/>
      </rPr>
      <t>CH</t>
    </r>
    <r>
      <rPr>
        <b/>
        <vertAlign val="subscript"/>
        <sz val="8"/>
        <color theme="1"/>
        <rFont val="Calibri"/>
        <family val="2"/>
      </rPr>
      <t>4</t>
    </r>
    <r>
      <rPr>
        <b/>
        <sz val="8"/>
        <color theme="1"/>
        <rFont val="Calibri"/>
        <family val="2"/>
      </rPr>
      <t xml:space="preserve"> Emissions  (MMTCO</t>
    </r>
    <r>
      <rPr>
        <b/>
        <vertAlign val="subscript"/>
        <sz val="8"/>
        <color theme="1"/>
        <rFont val="Calibri"/>
        <family val="2"/>
      </rPr>
      <t>2</t>
    </r>
    <r>
      <rPr>
        <b/>
        <sz val="8"/>
        <color theme="1"/>
        <rFont val="Calibri"/>
        <family val="2"/>
      </rPr>
      <t>E)</t>
    </r>
  </si>
  <si>
    <t>Barley</t>
  </si>
  <si>
    <t>Corn</t>
  </si>
  <si>
    <t>'000 pounds</t>
  </si>
  <si>
    <t>'000 cwt</t>
  </si>
  <si>
    <t>Soybeans</t>
  </si>
  <si>
    <t>Sugarcane</t>
  </si>
  <si>
    <t>Wheat</t>
  </si>
  <si>
    <r>
      <rPr>
        <sz val="11"/>
        <color theme="1"/>
        <rFont val="Calibri"/>
        <family val="2"/>
      </rPr>
      <t>Agricultural Residue Burning -  N</t>
    </r>
    <r>
      <rPr>
        <vertAlign val="subscript"/>
        <sz val="11"/>
        <color theme="1"/>
        <rFont val="Comic Sans MS"/>
        <family val="4"/>
      </rPr>
      <t>2</t>
    </r>
    <r>
      <rPr>
        <sz val="11"/>
        <color theme="1"/>
        <rFont val="Comic Sans MS"/>
        <family val="4"/>
      </rPr>
      <t>O</t>
    </r>
    <r>
      <rPr>
        <sz val="14"/>
        <color theme="1"/>
        <rFont val="Comic Sans MS"/>
        <family val="4"/>
      </rPr>
      <t xml:space="preserve"> Emissions</t>
    </r>
  </si>
  <si>
    <t>Fraction Residue Burned</t>
  </si>
  <si>
    <t>Nitrogen Content</t>
  </si>
  <si>
    <t>Total N Released  (metric tons)</t>
  </si>
  <si>
    <r>
      <rPr>
        <b/>
        <sz val="11"/>
        <color theme="1"/>
        <rFont val="Calibri"/>
        <family val="2"/>
      </rPr>
      <t>N</t>
    </r>
    <r>
      <rPr>
        <b/>
        <vertAlign val="subscript"/>
        <sz val="8"/>
        <color theme="1"/>
        <rFont val="Calibri"/>
        <family val="2"/>
      </rPr>
      <t>2</t>
    </r>
    <r>
      <rPr>
        <b/>
        <sz val="8"/>
        <color theme="1"/>
        <rFont val="Calibri"/>
        <family val="2"/>
      </rPr>
      <t>O Emissions  (metric tons)</t>
    </r>
  </si>
  <si>
    <r>
      <rPr>
        <b/>
        <sz val="11"/>
        <color theme="1"/>
        <rFont val="Calibri"/>
        <family val="2"/>
      </rPr>
      <t>N</t>
    </r>
    <r>
      <rPr>
        <b/>
        <vertAlign val="subscript"/>
        <sz val="8"/>
        <color theme="1"/>
        <rFont val="Calibri"/>
        <family val="2"/>
      </rPr>
      <t>2</t>
    </r>
    <r>
      <rPr>
        <b/>
        <sz val="8"/>
        <color theme="1"/>
        <rFont val="Calibri"/>
        <family val="2"/>
      </rPr>
      <t>O Emissions  (MMTCE)</t>
    </r>
  </si>
  <si>
    <r>
      <rPr>
        <b/>
        <sz val="11"/>
        <color theme="1"/>
        <rFont val="Calibri"/>
        <family val="2"/>
      </rPr>
      <t>N</t>
    </r>
    <r>
      <rPr>
        <b/>
        <vertAlign val="subscript"/>
        <sz val="8"/>
        <color theme="1"/>
        <rFont val="Calibri"/>
        <family val="2"/>
      </rPr>
      <t>2</t>
    </r>
    <r>
      <rPr>
        <b/>
        <sz val="8"/>
        <color theme="1"/>
        <rFont val="Calibri"/>
        <family val="2"/>
      </rPr>
      <t>O Emissions  (MMTCO</t>
    </r>
    <r>
      <rPr>
        <b/>
        <vertAlign val="subscript"/>
        <sz val="8"/>
        <color theme="1"/>
        <rFont val="Calibri"/>
        <family val="2"/>
      </rPr>
      <t>2</t>
    </r>
    <r>
      <rPr>
        <b/>
        <sz val="8"/>
        <color theme="1"/>
        <rFont val="Calibri"/>
        <family val="2"/>
      </rPr>
      <t>E)</t>
    </r>
  </si>
  <si>
    <t>TOTAL AGRICULTURE</t>
  </si>
  <si>
    <r>
      <rPr>
        <b/>
        <sz val="11"/>
        <color theme="1"/>
        <rFont val="Calibri"/>
        <family val="2"/>
      </rPr>
      <t>Emissions (MMTCO</t>
    </r>
    <r>
      <rPr>
        <b/>
        <vertAlign val="subscript"/>
        <sz val="9"/>
        <color theme="1"/>
        <rFont val="Calibri"/>
        <family val="2"/>
      </rPr>
      <t xml:space="preserve">2 </t>
    </r>
    <r>
      <rPr>
        <b/>
        <sz val="9"/>
        <color theme="1"/>
        <rFont val="Calibri"/>
        <family val="2"/>
      </rPr>
      <t>Eq.)</t>
    </r>
  </si>
  <si>
    <r>
      <rPr>
        <b/>
        <sz val="11"/>
        <color theme="1"/>
        <rFont val="Calibri"/>
        <family val="2"/>
      </rPr>
      <t>2011
MMTCO</t>
    </r>
    <r>
      <rPr>
        <b/>
        <vertAlign val="subscript"/>
        <sz val="9"/>
        <color theme="1"/>
        <rFont val="Calibri"/>
        <family val="2"/>
      </rPr>
      <t>2</t>
    </r>
    <r>
      <rPr>
        <b/>
        <sz val="9"/>
        <color theme="1"/>
        <rFont val="Calibri"/>
        <family val="2"/>
      </rPr>
      <t>E</t>
    </r>
  </si>
  <si>
    <t>Ag Soils</t>
  </si>
  <si>
    <t>Rice Cultivation</t>
  </si>
  <si>
    <t>Agricultural Residue Burning</t>
  </si>
  <si>
    <r>
      <rPr>
        <b/>
        <sz val="11"/>
        <color theme="1"/>
        <rFont val="Calibri"/>
        <family val="2"/>
      </rPr>
      <t>Emissions by Gas 
(MMTCH</t>
    </r>
    <r>
      <rPr>
        <b/>
        <vertAlign val="subscript"/>
        <sz val="9"/>
        <color theme="1"/>
        <rFont val="Calibri"/>
        <family val="2"/>
      </rPr>
      <t>4</t>
    </r>
    <r>
      <rPr>
        <b/>
        <sz val="9"/>
        <color theme="1"/>
        <rFont val="Calibri"/>
        <family val="2"/>
      </rPr>
      <t xml:space="preserve"> or MMTN</t>
    </r>
    <r>
      <rPr>
        <b/>
        <vertAlign val="subscript"/>
        <sz val="9"/>
        <color theme="1"/>
        <rFont val="Calibri"/>
        <family val="2"/>
      </rPr>
      <t>2</t>
    </r>
    <r>
      <rPr>
        <b/>
        <sz val="9"/>
        <color theme="1"/>
        <rFont val="Calibri"/>
        <family val="2"/>
      </rPr>
      <t>O)</t>
    </r>
  </si>
  <si>
    <r>
      <rPr>
        <b/>
        <sz val="11"/>
        <color theme="1"/>
        <rFont val="Calibri"/>
        <family val="2"/>
      </rPr>
      <t>2011
MMTCO</t>
    </r>
    <r>
      <rPr>
        <b/>
        <vertAlign val="subscript"/>
        <sz val="9"/>
        <color theme="1"/>
        <rFont val="Calibri"/>
        <family val="2"/>
      </rPr>
      <t>2</t>
    </r>
    <r>
      <rPr>
        <b/>
        <sz val="9"/>
        <color theme="1"/>
        <rFont val="Calibri"/>
        <family val="2"/>
      </rPr>
      <t>E</t>
    </r>
  </si>
  <si>
    <t>Methane</t>
  </si>
  <si>
    <t>Nitrous Oxide</t>
  </si>
  <si>
    <r>
      <rPr>
        <b/>
        <sz val="11"/>
        <color theme="1"/>
        <rFont val="Calibri"/>
        <family val="2"/>
      </rPr>
      <t>Nitrous Oxide Emissions from Ag Soils (metric tons N</t>
    </r>
    <r>
      <rPr>
        <b/>
        <vertAlign val="subscript"/>
        <sz val="9"/>
        <color theme="1"/>
        <rFont val="Calibri"/>
        <family val="2"/>
      </rPr>
      <t>2</t>
    </r>
    <r>
      <rPr>
        <b/>
        <sz val="9"/>
        <color theme="1"/>
        <rFont val="Calibri"/>
        <family val="2"/>
      </rPr>
      <t>O)</t>
    </r>
  </si>
  <si>
    <t>Direct</t>
  </si>
  <si>
    <t>Fertilizers</t>
  </si>
  <si>
    <t>Crop Residues</t>
  </si>
  <si>
    <t>N-Fixing Crops</t>
  </si>
  <si>
    <t>Histosols</t>
  </si>
  <si>
    <t>Livestock</t>
  </si>
  <si>
    <t>Indirect</t>
  </si>
  <si>
    <t>Leaching/Runoff</t>
  </si>
  <si>
    <t>Land Use, Land-Use Change, and Forestry Emissions and Sequestration</t>
  </si>
  <si>
    <r>
      <rPr>
        <b/>
        <sz val="11"/>
        <color theme="1"/>
        <rFont val="Calibri"/>
        <family val="2"/>
      </rPr>
      <t>Emissions* (MMTCO</t>
    </r>
    <r>
      <rPr>
        <b/>
        <vertAlign val="subscript"/>
        <sz val="10"/>
        <color theme="1"/>
        <rFont val="Calibri"/>
        <family val="2"/>
      </rPr>
      <t>2</t>
    </r>
    <r>
      <rPr>
        <b/>
        <sz val="10"/>
        <color theme="1"/>
        <rFont val="Calibri"/>
        <family val="2"/>
      </rPr>
      <t>E)</t>
    </r>
  </si>
  <si>
    <r>
      <rPr>
        <b/>
        <sz val="11"/>
        <color theme="1"/>
        <rFont val="Calibri"/>
        <family val="2"/>
      </rPr>
      <t>Forest Carbon Flux</t>
    </r>
    <r>
      <rPr>
        <b/>
        <sz val="11"/>
        <color rgb="FFFF0000"/>
        <rFont val="Calibri"/>
        <family val="2"/>
      </rPr>
      <t>*****</t>
    </r>
  </si>
  <si>
    <t>Aboveground Biomass</t>
  </si>
  <si>
    <t>Belowground Biomass</t>
  </si>
  <si>
    <t>Dead Wood</t>
  </si>
  <si>
    <t>Soil Organic Carbon</t>
  </si>
  <si>
    <t>Total wood products and landfills</t>
  </si>
  <si>
    <t>Liming of Agricultural Soils</t>
  </si>
  <si>
    <t>Urea Fertilization</t>
  </si>
  <si>
    <t>Urban Trees</t>
  </si>
  <si>
    <t>Landfilled Yard Trimmings and Food Scraps</t>
  </si>
  <si>
    <t>Grass</t>
  </si>
  <si>
    <t>Leaves</t>
  </si>
  <si>
    <t>Branches</t>
  </si>
  <si>
    <t>Landfilled Food Scraps</t>
  </si>
  <si>
    <r>
      <rPr>
        <i/>
        <sz val="11"/>
        <color theme="1"/>
        <rFont val="Calibri"/>
        <family val="2"/>
      </rPr>
      <t>CH</t>
    </r>
    <r>
      <rPr>
        <i/>
        <vertAlign val="subscript"/>
        <sz val="10"/>
        <color theme="1"/>
        <rFont val="Calibri"/>
        <family val="2"/>
      </rPr>
      <t>4</t>
    </r>
  </si>
  <si>
    <r>
      <rPr>
        <i/>
        <sz val="11"/>
        <color theme="1"/>
        <rFont val="Calibri"/>
        <family val="2"/>
      </rPr>
      <t>N</t>
    </r>
    <r>
      <rPr>
        <i/>
        <vertAlign val="subscript"/>
        <sz val="10"/>
        <color theme="1"/>
        <rFont val="Calibri"/>
        <family val="2"/>
      </rPr>
      <t>2</t>
    </r>
    <r>
      <rPr>
        <i/>
        <sz val="10"/>
        <color theme="1"/>
        <rFont val="Calibri"/>
        <family val="2"/>
      </rPr>
      <t>O</t>
    </r>
  </si>
  <si>
    <r>
      <rPr>
        <b/>
        <sz val="11"/>
        <color theme="1"/>
        <rFont val="Calibri"/>
        <family val="2"/>
      </rPr>
      <t>N</t>
    </r>
    <r>
      <rPr>
        <b/>
        <vertAlign val="subscript"/>
        <sz val="10"/>
        <color theme="1"/>
        <rFont val="Calibri"/>
        <family val="2"/>
      </rPr>
      <t>2</t>
    </r>
    <r>
      <rPr>
        <b/>
        <sz val="10"/>
        <color theme="1"/>
        <rFont val="Calibri"/>
        <family val="2"/>
      </rPr>
      <t>O from Settlement Soils</t>
    </r>
  </si>
  <si>
    <t>* Note that parentheses indicate net sequestration.</t>
  </si>
  <si>
    <t>Emissions (MMTCE)*</t>
  </si>
  <si>
    <t>Forest Carbon Flux</t>
  </si>
  <si>
    <t>Total Wood products and landfills</t>
  </si>
  <si>
    <r>
      <rPr>
        <i/>
        <sz val="11"/>
        <color theme="1"/>
        <rFont val="Calibri"/>
        <family val="2"/>
      </rPr>
      <t>CH</t>
    </r>
    <r>
      <rPr>
        <i/>
        <vertAlign val="subscript"/>
        <sz val="10"/>
        <color theme="1"/>
        <rFont val="Calibri"/>
        <family val="2"/>
      </rPr>
      <t>4</t>
    </r>
  </si>
  <si>
    <r>
      <rPr>
        <i/>
        <sz val="11"/>
        <color theme="1"/>
        <rFont val="Calibri"/>
        <family val="2"/>
      </rPr>
      <t>N</t>
    </r>
    <r>
      <rPr>
        <i/>
        <vertAlign val="subscript"/>
        <sz val="10"/>
        <color theme="1"/>
        <rFont val="Calibri"/>
        <family val="2"/>
      </rPr>
      <t>2</t>
    </r>
    <r>
      <rPr>
        <i/>
        <sz val="10"/>
        <color theme="1"/>
        <rFont val="Calibri"/>
        <family val="2"/>
      </rPr>
      <t>O</t>
    </r>
  </si>
  <si>
    <r>
      <rPr>
        <sz val="11"/>
        <color theme="1"/>
        <rFont val="Calibri"/>
        <family val="2"/>
      </rPr>
      <t>N</t>
    </r>
    <r>
      <rPr>
        <vertAlign val="subscript"/>
        <sz val="10"/>
        <color theme="1"/>
        <rFont val="Calibri"/>
        <family val="2"/>
      </rPr>
      <t>2</t>
    </r>
    <r>
      <rPr>
        <sz val="10"/>
        <color theme="1"/>
        <rFont val="Calibri"/>
        <family val="2"/>
      </rPr>
      <t>O from Settlement Soils</t>
    </r>
  </si>
  <si>
    <t xml:space="preserve">*** Data Kept Constant at 2006 </t>
  </si>
  <si>
    <r>
      <rPr>
        <i/>
        <sz val="11"/>
        <color theme="1"/>
        <rFont val="Calibri"/>
        <family val="2"/>
      </rPr>
      <t>CH</t>
    </r>
    <r>
      <rPr>
        <i/>
        <vertAlign val="subscript"/>
        <sz val="10"/>
        <color theme="1"/>
        <rFont val="Calibri"/>
        <family val="2"/>
      </rPr>
      <t>4</t>
    </r>
  </si>
  <si>
    <r>
      <rPr>
        <i/>
        <sz val="11"/>
        <color theme="1"/>
        <rFont val="Calibri"/>
        <family val="2"/>
      </rPr>
      <t>N</t>
    </r>
    <r>
      <rPr>
        <i/>
        <vertAlign val="subscript"/>
        <sz val="10"/>
        <color theme="1"/>
        <rFont val="Calibri"/>
        <family val="2"/>
      </rPr>
      <t>2</t>
    </r>
    <r>
      <rPr>
        <i/>
        <sz val="10"/>
        <color theme="1"/>
        <rFont val="Calibri"/>
        <family val="2"/>
      </rPr>
      <t>O</t>
    </r>
  </si>
  <si>
    <r>
      <rPr>
        <b/>
        <sz val="11"/>
        <color theme="1"/>
        <rFont val="Calibri"/>
        <family val="2"/>
      </rPr>
      <t>N</t>
    </r>
    <r>
      <rPr>
        <b/>
        <vertAlign val="subscript"/>
        <sz val="10"/>
        <color theme="1"/>
        <rFont val="Calibri"/>
        <family val="2"/>
      </rPr>
      <t>2</t>
    </r>
    <r>
      <rPr>
        <b/>
        <sz val="10"/>
        <color theme="1"/>
        <rFont val="Calibri"/>
        <family val="2"/>
      </rPr>
      <t>O from Settlement Soils</t>
    </r>
  </si>
  <si>
    <t>Figure ES-1: Gross GHG Emissions by Sector, 2011, Maryland</t>
  </si>
  <si>
    <r>
      <rPr>
        <b/>
        <sz val="11"/>
        <color rgb="FFFFFFFF"/>
        <rFont val="Calibri"/>
        <family val="2"/>
      </rPr>
      <t>MMtCO</t>
    </r>
    <r>
      <rPr>
        <b/>
        <vertAlign val="subscript"/>
        <sz val="11"/>
        <color rgb="FFFFFFFF"/>
        <rFont val="Calibri"/>
        <family val="2"/>
      </rPr>
      <t>2</t>
    </r>
    <r>
      <rPr>
        <b/>
        <sz val="11"/>
        <color rgb="FFFFFFFF"/>
        <rFont val="Calibri"/>
        <family val="2"/>
      </rPr>
      <t>e</t>
    </r>
  </si>
  <si>
    <r>
      <rPr>
        <b/>
        <sz val="11"/>
        <color theme="1"/>
        <rFont val="Calibri"/>
        <family val="2"/>
      </rPr>
      <t>Energy Use (CO</t>
    </r>
    <r>
      <rPr>
        <b/>
        <vertAlign val="subscript"/>
        <sz val="11"/>
        <color theme="1"/>
        <rFont val="Calibri"/>
        <family val="2"/>
      </rPr>
      <t>2</t>
    </r>
    <r>
      <rPr>
        <b/>
        <sz val="11"/>
        <color theme="1"/>
        <rFont val="Calibri"/>
        <family val="2"/>
      </rPr>
      <t>, CH</t>
    </r>
    <r>
      <rPr>
        <b/>
        <vertAlign val="subscript"/>
        <sz val="11"/>
        <color theme="1"/>
        <rFont val="Calibri"/>
        <family val="2"/>
      </rPr>
      <t>4</t>
    </r>
    <r>
      <rPr>
        <b/>
        <sz val="11"/>
        <color theme="1"/>
        <rFont val="Calibri"/>
        <family val="2"/>
      </rPr>
      <t>, N</t>
    </r>
    <r>
      <rPr>
        <b/>
        <vertAlign val="subscript"/>
        <sz val="11"/>
        <color theme="1"/>
        <rFont val="Calibri"/>
        <family val="2"/>
      </rPr>
      <t>2</t>
    </r>
    <r>
      <rPr>
        <b/>
        <sz val="11"/>
        <color theme="1"/>
        <rFont val="Calibri"/>
        <family val="2"/>
      </rPr>
      <t>O)</t>
    </r>
  </si>
  <si>
    <r>
      <rPr>
        <b/>
        <sz val="11"/>
        <color theme="1"/>
        <rFont val="Calibri"/>
        <family val="2"/>
      </rPr>
      <t>Electricity Use (Consumption)</t>
    </r>
    <r>
      <rPr>
        <b/>
        <vertAlign val="superscript"/>
        <sz val="11"/>
        <color theme="1"/>
        <rFont val="Calibri"/>
        <family val="2"/>
      </rPr>
      <t>b</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</si>
  <si>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</si>
  <si>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</si>
  <si>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</si>
  <si>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</si>
  <si>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</si>
  <si>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</si>
  <si>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</si>
  <si>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</si>
  <si>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</si>
  <si>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</si>
  <si>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</si>
  <si>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</si>
  <si>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Figure ES-2: Gross GHG Emissions Comparison by Sector, 2006, 2011 &amp; 2020</t>
  </si>
  <si>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</si>
  <si>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</si>
  <si>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</si>
  <si>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</si>
  <si>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</si>
  <si>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</si>
  <si>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</si>
  <si>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</si>
  <si>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</si>
  <si>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</si>
  <si>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</si>
  <si>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</si>
  <si>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</si>
  <si>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</si>
  <si>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t>Figure ES-3:  Maryland Gross GHG Emissions by Sector, 2006-2020:  Base Year and Projected</t>
  </si>
  <si>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</si>
  <si>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</si>
  <si>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</si>
  <si>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</si>
  <si>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</si>
  <si>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</si>
  <si>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</si>
  <si>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</si>
  <si>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</si>
  <si>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</si>
  <si>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</si>
  <si>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</si>
  <si>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</si>
  <si>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</si>
  <si>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</si>
  <si>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</si>
  <si>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</si>
  <si>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</si>
  <si>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</si>
  <si>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</si>
  <si>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</si>
  <si>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</si>
  <si>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</si>
  <si>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</si>
  <si>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</si>
  <si>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</si>
  <si>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</si>
  <si>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</si>
  <si>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</si>
  <si>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</si>
  <si>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</si>
  <si>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</si>
  <si>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</si>
  <si>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</si>
  <si>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</si>
  <si>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</si>
  <si>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</si>
  <si>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</si>
  <si>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</si>
  <si>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</si>
  <si>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</si>
  <si>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</si>
  <si>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</si>
  <si>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</si>
  <si>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</si>
  <si>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HFC, PFC, SF</t>
    </r>
    <r>
      <rPr>
        <vertAlign val="subscript"/>
        <sz val="11"/>
        <color theme="1"/>
        <rFont val="Calibri"/>
        <family val="2"/>
      </rPr>
      <t>6</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</si>
  <si>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</si>
  <si>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</si>
  <si>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HFC, PFC, SF</t>
    </r>
    <r>
      <rPr>
        <vertAlign val="subscript"/>
        <sz val="11"/>
        <color theme="1"/>
        <rFont val="Calibri"/>
        <family val="2"/>
      </rPr>
      <t>6</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</si>
  <si>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</si>
  <si>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</si>
  <si>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HFC, PFC, SF</t>
    </r>
    <r>
      <rPr>
        <vertAlign val="subscript"/>
        <sz val="11"/>
        <color theme="1"/>
        <rFont val="Calibri"/>
        <family val="2"/>
      </rPr>
      <t>6</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</si>
  <si>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</si>
  <si>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</si>
  <si>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HFC, PFC, SF</t>
    </r>
    <r>
      <rPr>
        <vertAlign val="subscript"/>
        <sz val="11"/>
        <color theme="1"/>
        <rFont val="Calibri"/>
        <family val="2"/>
      </rPr>
      <t>6</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</si>
  <si>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</si>
  <si>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</si>
  <si>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HFC, PFC, SF</t>
    </r>
    <r>
      <rPr>
        <vertAlign val="subscript"/>
        <sz val="11"/>
        <color theme="1"/>
        <rFont val="Calibri"/>
        <family val="2"/>
      </rPr>
      <t>6</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</si>
  <si>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</si>
  <si>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</si>
  <si>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</si>
  <si>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</si>
  <si>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</si>
  <si>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</si>
  <si>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</si>
  <si>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</si>
  <si>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</si>
  <si>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</si>
  <si>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</si>
  <si>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</si>
  <si>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</si>
  <si>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</si>
  <si>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</si>
  <si>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</si>
  <si>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</si>
  <si>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</si>
  <si>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</si>
  <si>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</si>
  <si>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</si>
  <si>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</si>
  <si>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</si>
  <si>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</si>
  <si>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CO</t>
    </r>
    <r>
      <rPr>
        <vertAlign val="subscript"/>
        <sz val="11"/>
        <color theme="1"/>
        <rFont val="Calibri"/>
        <family val="2"/>
      </rPr>
      <t>2</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</si>
  <si>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</si>
  <si>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</si>
  <si>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r>
      <rPr>
        <sz val="11"/>
        <color theme="1"/>
        <rFont val="Calibri"/>
        <family val="2"/>
      </rPr>
      <t>CH</t>
    </r>
    <r>
      <rPr>
        <vertAlign val="subscript"/>
        <sz val="11"/>
        <color theme="1"/>
        <rFont val="Calibri"/>
        <family val="2"/>
      </rPr>
      <t>4</t>
    </r>
  </si>
  <si>
    <r>
      <rPr>
        <sz val="11"/>
        <color theme="1"/>
        <rFont val="Calibri"/>
        <family val="2"/>
      </rPr>
      <t>N</t>
    </r>
    <r>
      <rPr>
        <vertAlign val="subscript"/>
        <sz val="11"/>
        <color theme="1"/>
        <rFont val="Calibri"/>
        <family val="2"/>
      </rPr>
      <t>2</t>
    </r>
    <r>
      <rPr>
        <sz val="11"/>
        <color theme="1"/>
        <rFont val="Calibri"/>
        <family val="2"/>
      </rPr>
      <t>O</t>
    </r>
  </si>
  <si>
    <t>Figure 2-2: Emissions By Electric Generation Source Sectors</t>
  </si>
  <si>
    <t>Figure 2-4: Gross Generation At Maryland Power Station</t>
  </si>
  <si>
    <t>Figure 2-3: Primary Energy Use At Maryland Power Stations,Plus Imports.</t>
  </si>
  <si>
    <t>MSN</t>
  </si>
  <si>
    <t>2000</t>
  </si>
  <si>
    <t>2001</t>
  </si>
  <si>
    <t>2002</t>
  </si>
  <si>
    <t>2003</t>
  </si>
  <si>
    <t>2004</t>
  </si>
  <si>
    <t>2005</t>
  </si>
  <si>
    <t>2006</t>
  </si>
  <si>
    <t>2007</t>
  </si>
  <si>
    <t>2008</t>
  </si>
  <si>
    <t>2009</t>
  </si>
  <si>
    <t>2010</t>
  </si>
  <si>
    <t>2011</t>
  </si>
  <si>
    <t>CLEIB</t>
  </si>
  <si>
    <t xml:space="preserve">Coal </t>
  </si>
  <si>
    <t>DKEIB</t>
  </si>
  <si>
    <t>DistillateFuel Oil</t>
  </si>
  <si>
    <t>NNEIB</t>
  </si>
  <si>
    <t xml:space="preserve">Natural Gas </t>
  </si>
  <si>
    <t>NUETB</t>
  </si>
  <si>
    <t>Nuclear Power.</t>
  </si>
  <si>
    <t>RFEIB</t>
  </si>
  <si>
    <t xml:space="preserve">Residual Fuel </t>
  </si>
  <si>
    <t>SFEIB</t>
  </si>
  <si>
    <t xml:space="preserve">Supplemental Gaseous Fuels </t>
  </si>
  <si>
    <t>SOTCB</t>
  </si>
  <si>
    <t xml:space="preserve">Photovoltaic and Solar thermal Energy </t>
  </si>
  <si>
    <t>WWEIB</t>
  </si>
  <si>
    <t xml:space="preserve">Wood and Waste </t>
  </si>
  <si>
    <t>Maryland GHG Emissions by Sectors</t>
  </si>
  <si>
    <t>Final</t>
  </si>
  <si>
    <t>Central Municipal LF- Worcester County Sanitary Landfill</t>
  </si>
  <si>
    <t>Eastern Municipal Landfill</t>
  </si>
  <si>
    <t>Appeal Municipal Landfill</t>
  </si>
  <si>
    <r>
      <t>CO</t>
    </r>
    <r>
      <rPr>
        <b/>
        <vertAlign val="subscript"/>
        <sz val="11"/>
        <color theme="1"/>
        <rFont val="Calibri"/>
        <family val="2"/>
      </rPr>
      <t>2</t>
    </r>
    <r>
      <rPr>
        <b/>
        <sz val="11"/>
        <color theme="1"/>
        <rFont val="Calibri"/>
        <family val="2"/>
      </rPr>
      <t xml:space="preserve"> Generation (short tons) LandGEM 3.0</t>
    </r>
  </si>
  <si>
    <r>
      <t>CH</t>
    </r>
    <r>
      <rPr>
        <b/>
        <vertAlign val="subscript"/>
        <sz val="11"/>
        <color theme="1"/>
        <rFont val="Calibri"/>
        <family val="2"/>
      </rPr>
      <t>4</t>
    </r>
    <r>
      <rPr>
        <b/>
        <sz val="11"/>
        <color theme="1"/>
        <rFont val="Calibri"/>
        <family val="2"/>
      </rPr>
      <t xml:space="preserve"> Generation (short tons/yr) LandGEM 3.0</t>
    </r>
  </si>
  <si>
    <r>
      <t xml:space="preserve"> CH</t>
    </r>
    <r>
      <rPr>
        <b/>
        <vertAlign val="subscript"/>
        <sz val="11"/>
        <color theme="1"/>
        <rFont val="Calibri"/>
        <family val="2"/>
      </rPr>
      <t>4</t>
    </r>
    <r>
      <rPr>
        <b/>
        <sz val="11"/>
        <color theme="1"/>
        <rFont val="Calibri"/>
        <family val="2"/>
      </rPr>
      <t xml:space="preserve"> Collection Efficiency (%)</t>
    </r>
  </si>
  <si>
    <r>
      <t>CH</t>
    </r>
    <r>
      <rPr>
        <vertAlign val="subscript"/>
        <sz val="11"/>
        <color theme="1"/>
        <rFont val="Calibri"/>
        <family val="2"/>
      </rPr>
      <t>4</t>
    </r>
    <r>
      <rPr>
        <b/>
        <sz val="11"/>
        <color theme="1"/>
        <rFont val="Calibri"/>
        <family val="2"/>
      </rPr>
      <t xml:space="preserve"> Collected (tons)</t>
    </r>
  </si>
  <si>
    <r>
      <t>Amount of CH</t>
    </r>
    <r>
      <rPr>
        <b/>
        <vertAlign val="subscript"/>
        <sz val="11"/>
        <color theme="1"/>
        <rFont val="Calibri"/>
        <family val="2"/>
      </rPr>
      <t>4</t>
    </r>
    <r>
      <rPr>
        <b/>
        <sz val="11"/>
        <color theme="1"/>
        <rFont val="Calibri"/>
        <family val="2"/>
      </rPr>
      <t xml:space="preserve"> Flared ,tons</t>
    </r>
  </si>
  <si>
    <r>
      <t>CO</t>
    </r>
    <r>
      <rPr>
        <b/>
        <vertAlign val="subscript"/>
        <sz val="11"/>
        <color theme="1"/>
        <rFont val="Calibri"/>
        <family val="2"/>
      </rPr>
      <t>2</t>
    </r>
    <r>
      <rPr>
        <b/>
        <sz val="11"/>
        <color theme="1"/>
        <rFont val="Calibri"/>
        <family val="2"/>
      </rPr>
      <t xml:space="preserve"> Generated from CH4 Combustion, tons</t>
    </r>
  </si>
  <si>
    <r>
      <t>Uncombusted CH</t>
    </r>
    <r>
      <rPr>
        <b/>
        <vertAlign val="subscript"/>
        <sz val="11"/>
        <color theme="1"/>
        <rFont val="Calibri"/>
        <family val="2"/>
      </rPr>
      <t xml:space="preserve">4 </t>
    </r>
    <r>
      <rPr>
        <b/>
        <sz val="11"/>
        <color theme="1"/>
        <rFont val="Calibri"/>
        <family val="2"/>
      </rPr>
      <t xml:space="preserve"> (Flare Emission, tons)  </t>
    </r>
  </si>
  <si>
    <r>
      <t>Uncollected Landfill  CH</t>
    </r>
    <r>
      <rPr>
        <b/>
        <vertAlign val="subscript"/>
        <sz val="11"/>
        <color theme="1"/>
        <rFont val="Calibri"/>
        <family val="2"/>
      </rPr>
      <t>4</t>
    </r>
  </si>
  <si>
    <r>
      <t>CH</t>
    </r>
    <r>
      <rPr>
        <b/>
        <vertAlign val="subscript"/>
        <sz val="11"/>
        <color theme="1"/>
        <rFont val="Calibri"/>
        <family val="2"/>
      </rPr>
      <t>4</t>
    </r>
    <r>
      <rPr>
        <b/>
        <sz val="11"/>
        <color theme="1"/>
        <rFont val="Calibri"/>
        <family val="2"/>
      </rPr>
      <t xml:space="preserve">  Removed By Surface Oxidation (tons)</t>
    </r>
  </si>
  <si>
    <r>
      <t>Fugitive Landfill CH</t>
    </r>
    <r>
      <rPr>
        <b/>
        <vertAlign val="subscript"/>
        <sz val="11"/>
        <rFont val="Calibri"/>
        <family val="2"/>
      </rPr>
      <t>4</t>
    </r>
    <r>
      <rPr>
        <b/>
        <sz val="11"/>
        <rFont val="Calibri"/>
        <family val="2"/>
      </rPr>
      <t xml:space="preserve"> Emission (tons)</t>
    </r>
  </si>
  <si>
    <t>Reich's Ford Site B-Cell 3 Municpal Landfill</t>
  </si>
  <si>
    <t>Resh Road 1 &amp; 2 Municipal LF</t>
  </si>
  <si>
    <t>Newland Park Municipal LF - Wicomico County Landfill</t>
  </si>
  <si>
    <t>Reich's Ford A &amp; B  Municpal Landfill</t>
  </si>
  <si>
    <r>
      <t>MSW CH</t>
    </r>
    <r>
      <rPr>
        <b/>
        <vertAlign val="subscript"/>
        <sz val="10"/>
        <color theme="1"/>
        <rFont val="Arial"/>
        <family val="2"/>
      </rPr>
      <t>4</t>
    </r>
    <r>
      <rPr>
        <b/>
        <sz val="10"/>
        <color theme="1"/>
        <rFont val="Arial"/>
        <family val="2"/>
      </rPr>
      <t xml:space="preserve"> Generation (short ton CH</t>
    </r>
    <r>
      <rPr>
        <b/>
        <vertAlign val="subscript"/>
        <sz val="10"/>
        <color theme="1"/>
        <rFont val="Arial"/>
        <family val="2"/>
      </rPr>
      <t>4</t>
    </r>
    <r>
      <rPr>
        <b/>
        <sz val="10"/>
        <color theme="1"/>
        <rFont val="Arial"/>
        <family val="2"/>
      </rPr>
      <t>)</t>
    </r>
  </si>
  <si>
    <r>
      <t>MSW Generation (MTCO</t>
    </r>
    <r>
      <rPr>
        <b/>
        <vertAlign val="subscript"/>
        <sz val="10"/>
        <color theme="1"/>
        <rFont val="Arial"/>
        <family val="2"/>
      </rPr>
      <t>2</t>
    </r>
    <r>
      <rPr>
        <b/>
        <sz val="10"/>
        <color theme="1"/>
        <rFont val="Arial"/>
        <family val="2"/>
      </rPr>
      <t>E)</t>
    </r>
  </si>
  <si>
    <t>Quarantine Road Municipal Landfill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</si>
</sst>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3" formatCode="_(* #,##0.00_);_(* \(#,##0.00\);_(* &quot;-&quot;??_);_(@_)"/>
    <numFmt numFmtId="164" formatCode="0.000000"/>
    <numFmt numFmtId="165" formatCode="_(* #,##0.00_);_(* \(#,##0.00\);_(* \-??_);_(@_)"/>
    <numFmt numFmtId="166" formatCode="_(* #,##0_);_(* \(#,##0\);_(* \-??_);_(@_)"/>
    <numFmt numFmtId="167" formatCode="_(* #,##0.0_);_(* \(#,##0.0\);_(* \-??_);_(@_)"/>
    <numFmt numFmtId="168" formatCode="_(* #,##0.000_);_(* \(#,##0.000\);_(* \-??_);_(@_)"/>
    <numFmt numFmtId="169" formatCode="_(* #,##0.00_);_(* \(#,##0.00\);_(* \-????_);_(@_)"/>
    <numFmt numFmtId="170" formatCode="0.0000"/>
    <numFmt numFmtId="171" formatCode="0.00000"/>
    <numFmt numFmtId="172" formatCode="_(* #,##0.0000_);_(* \(#,##0.0000\);_(* \-??_);_(@_)"/>
    <numFmt numFmtId="173" formatCode="0.000"/>
    <numFmt numFmtId="174" formatCode="0.0000000"/>
    <numFmt numFmtId="175" formatCode="_(* #,##0.00000_);_(* \(#,##0.00000\);_(* \-??_);_(@_)"/>
    <numFmt numFmtId="176" formatCode="_(* #,##0.000000_);_(* \(#,##0.000000\);_(* \-??_);_(@_)"/>
    <numFmt numFmtId="177" formatCode="0.0"/>
    <numFmt numFmtId="178" formatCode="#,##0.00000_);\(#,##0.00000\)"/>
    <numFmt numFmtId="179" formatCode="_(* #,##0.00000000_);_(* \(#,##0.00000000\);_(* \-??_);_(@_)"/>
    <numFmt numFmtId="180" formatCode="0.00000000"/>
    <numFmt numFmtId="181" formatCode="_(* #,##0.000000_);_(* \(#,##0.000000\);_(* \-??????_);_(@_)"/>
    <numFmt numFmtId="182" formatCode="_(* #,##0.0000_);_(* \(#,##0.0000\);_(* \-????_);_(@_)"/>
    <numFmt numFmtId="183" formatCode="0.00_)"/>
    <numFmt numFmtId="184" formatCode="0_)"/>
    <numFmt numFmtId="185" formatCode="0.0000%"/>
    <numFmt numFmtId="186" formatCode="0.0%"/>
    <numFmt numFmtId="187" formatCode="0.0000000000"/>
    <numFmt numFmtId="188" formatCode="#,##0.000000_);\(#,##0.000000\)"/>
    <numFmt numFmtId="189" formatCode="_(* #,##0_);_(* \(#,##0\);_(* \-_);_(@_)"/>
    <numFmt numFmtId="190" formatCode="0.000_)"/>
    <numFmt numFmtId="191" formatCode="0.000000000"/>
    <numFmt numFmtId="192" formatCode="_-* #,##0_-;\-* #,##0_-;_-* \-??_-;_-@"/>
    <numFmt numFmtId="193" formatCode="_-* #,##0.0_-;\-* #,##0.0_-;_-* \-??_-;_-@"/>
    <numFmt numFmtId="194" formatCode="_-* #,##0.00_-;\-* #,##0.00_-;_-* \-??_-;_-@"/>
    <numFmt numFmtId="195" formatCode="_-* #,##0.000_-;\-* #,##0.000_-;_-* \-??_-;_-@"/>
    <numFmt numFmtId="196" formatCode="_-* #,##0.00000_-;\-* #,##0.00000_-;_-* \-??_-;_-@"/>
    <numFmt numFmtId="197" formatCode="_(* #,##0.0000000_);_(* \(#,##0.0000000\);_(* \-??_);_(@_)"/>
    <numFmt numFmtId="198" formatCode="0E+00"/>
    <numFmt numFmtId="199" formatCode="_(* #,##0.00000000_);_(* \(#,##0.00000000\);_(* \-????????_);_(@_)"/>
    <numFmt numFmtId="200" formatCode="#,##0.0"/>
    <numFmt numFmtId="201" formatCode="0.00000000000000000%"/>
    <numFmt numFmtId="202" formatCode="_(* #,##0.0000_);_(* \(#,##0.0000\);_(* &quot;-&quot;??_);_(@_)"/>
    <numFmt numFmtId="203" formatCode="_(* #,##0_);_(* \(#,##0\);_(* &quot;-&quot;??_);_(@_)"/>
  </numFmts>
  <fonts count="115" x14ac:knownFonts="1">
    <font>
      <sz val="8"/>
      <color rgb="FF000000"/>
      <name val="Arial"/>
    </font>
    <font>
      <b/>
      <sz val="11"/>
      <color theme="1"/>
      <name val="Calibri"/>
      <family val="2"/>
    </font>
    <font>
      <sz val="11"/>
      <color theme="1"/>
      <name val="Calibri"/>
      <family val="2"/>
    </font>
    <font>
      <i/>
      <sz val="11"/>
      <color theme="1"/>
      <name val="Calibri"/>
      <family val="2"/>
    </font>
    <font>
      <sz val="8"/>
      <color theme="1"/>
      <name val="Calibri"/>
      <family val="2"/>
    </font>
    <font>
      <sz val="7"/>
      <color theme="1"/>
      <name val="Arial"/>
      <family val="2"/>
    </font>
    <font>
      <sz val="7"/>
      <name val="Arial"/>
      <family val="2"/>
    </font>
    <font>
      <b/>
      <sz val="11"/>
      <color rgb="FFFFFFFF"/>
      <name val="Calibri"/>
      <family val="2"/>
    </font>
    <font>
      <sz val="8"/>
      <name val="Arial"/>
      <family val="2"/>
    </font>
    <font>
      <b/>
      <sz val="11"/>
      <color rgb="FF000000"/>
      <name val="Calibri"/>
      <family val="2"/>
    </font>
    <font>
      <sz val="11"/>
      <color rgb="FF993300"/>
      <name val="Calibri"/>
      <family val="2"/>
    </font>
    <font>
      <sz val="11"/>
      <color rgb="FF993366"/>
      <name val="Calibri"/>
      <family val="2"/>
    </font>
    <font>
      <b/>
      <sz val="11"/>
      <color rgb="FF993366"/>
      <name val="Calibri"/>
      <family val="2"/>
    </font>
    <font>
      <b/>
      <sz val="11"/>
      <color rgb="FF993300"/>
      <name val="Calibri"/>
      <family val="2"/>
    </font>
    <font>
      <sz val="11"/>
      <color rgb="FF000000"/>
      <name val="Calibri"/>
      <family val="2"/>
    </font>
    <font>
      <b/>
      <sz val="11"/>
      <color rgb="FF0000FF"/>
      <name val="Calibri"/>
      <family val="2"/>
    </font>
    <font>
      <sz val="11"/>
      <color rgb="FFFF0000"/>
      <name val="Calibri"/>
      <family val="2"/>
    </font>
    <font>
      <b/>
      <sz val="11"/>
      <color rgb="FFFF0000"/>
      <name val="Calibri"/>
      <family val="2"/>
    </font>
    <font>
      <sz val="11"/>
      <color rgb="FF0000FF"/>
      <name val="Calibri"/>
      <family val="2"/>
    </font>
    <font>
      <b/>
      <sz val="11"/>
      <color rgb="FF008000"/>
      <name val="Calibri"/>
      <family val="2"/>
    </font>
    <font>
      <sz val="11"/>
      <color rgb="FFFFFFFF"/>
      <name val="Calibri"/>
      <family val="2"/>
    </font>
    <font>
      <b/>
      <sz val="10"/>
      <color theme="1"/>
      <name val="Arial"/>
      <family val="2"/>
    </font>
    <font>
      <sz val="8"/>
      <color rgb="FFFF0000"/>
      <name val="Arial"/>
      <family val="2"/>
    </font>
    <font>
      <b/>
      <sz val="11"/>
      <color rgb="FFFF6600"/>
      <name val="Calibri"/>
      <family val="2"/>
    </font>
    <font>
      <sz val="11"/>
      <color rgb="FFFF6600"/>
      <name val="Calibri"/>
      <family val="2"/>
    </font>
    <font>
      <u/>
      <sz val="8"/>
      <color rgb="FF0000FF"/>
      <name val="Arial"/>
      <family val="2"/>
    </font>
    <font>
      <b/>
      <i/>
      <sz val="11"/>
      <color theme="1"/>
      <name val="Calibri"/>
      <family val="2"/>
    </font>
    <font>
      <b/>
      <sz val="11"/>
      <color rgb="FF000080"/>
      <name val="Calibri"/>
      <family val="2"/>
    </font>
    <font>
      <sz val="8"/>
      <name val="Calibri"/>
      <family val="2"/>
    </font>
    <font>
      <sz val="11"/>
      <color rgb="FF000080"/>
      <name val="Calibri"/>
      <family val="2"/>
    </font>
    <font>
      <b/>
      <sz val="12"/>
      <color theme="1"/>
      <name val="Arial"/>
      <family val="2"/>
    </font>
    <font>
      <sz val="8"/>
      <color theme="1"/>
      <name val="Arial"/>
      <family val="2"/>
    </font>
    <font>
      <b/>
      <sz val="14"/>
      <color theme="1"/>
      <name val="Garamond"/>
      <family val="1"/>
    </font>
    <font>
      <b/>
      <sz val="8"/>
      <color theme="1"/>
      <name val="Arial"/>
      <family val="2"/>
    </font>
    <font>
      <b/>
      <sz val="14"/>
      <color theme="1"/>
      <name val="Arial"/>
      <family val="2"/>
    </font>
    <font>
      <b/>
      <sz val="11"/>
      <color theme="1"/>
      <name val="Arial"/>
      <family val="2"/>
    </font>
    <font>
      <b/>
      <vertAlign val="subscript"/>
      <sz val="11"/>
      <color rgb="FFFFFFFF"/>
      <name val="Calibri"/>
      <family val="2"/>
    </font>
    <font>
      <b/>
      <vertAlign val="subscript"/>
      <sz val="11"/>
      <color theme="1"/>
      <name val="Calibri"/>
      <family val="2"/>
    </font>
    <font>
      <b/>
      <vertAlign val="superscript"/>
      <sz val="11"/>
      <color theme="1"/>
      <name val="Calibri"/>
      <family val="2"/>
    </font>
    <font>
      <vertAlign val="subscript"/>
      <sz val="11"/>
      <color theme="1"/>
      <name val="Calibri"/>
      <family val="2"/>
    </font>
    <font>
      <b/>
      <vertAlign val="subscript"/>
      <sz val="10"/>
      <color theme="1"/>
      <name val="Arial"/>
      <family val="2"/>
    </font>
    <font>
      <vertAlign val="subscript"/>
      <sz val="14"/>
      <color theme="1"/>
      <name val="Comic Sans MS"/>
      <family val="4"/>
    </font>
    <font>
      <sz val="14"/>
      <color theme="1"/>
      <name val="Comic Sans MS"/>
      <family val="4"/>
    </font>
    <font>
      <b/>
      <vertAlign val="subscript"/>
      <sz val="8"/>
      <color theme="1"/>
      <name val="Arial"/>
      <family val="2"/>
    </font>
    <font>
      <b/>
      <vertAlign val="subscript"/>
      <sz val="16"/>
      <color rgb="FF0000FF"/>
      <name val="Calibri"/>
      <family val="2"/>
    </font>
    <font>
      <b/>
      <sz val="16"/>
      <color rgb="FF0000FF"/>
      <name val="Calibri"/>
      <family val="2"/>
    </font>
    <font>
      <vertAlign val="subscript"/>
      <sz val="14"/>
      <color rgb="FF000000"/>
      <name val="Comic Sans MS"/>
      <family val="4"/>
    </font>
    <font>
      <b/>
      <vertAlign val="subscript"/>
      <sz val="10"/>
      <color theme="1"/>
      <name val="Comic Sans MS"/>
      <family val="4"/>
    </font>
    <font>
      <b/>
      <sz val="10"/>
      <color theme="1"/>
      <name val="Comic Sans MS"/>
      <family val="4"/>
    </font>
    <font>
      <vertAlign val="subscript"/>
      <sz val="10"/>
      <color theme="1"/>
      <name val="MS Sans Serif"/>
    </font>
    <font>
      <b/>
      <vertAlign val="subscript"/>
      <sz val="8"/>
      <color theme="1"/>
      <name val="MS Sans Serif"/>
    </font>
    <font>
      <b/>
      <vertAlign val="subscript"/>
      <sz val="10"/>
      <color theme="1"/>
      <name val="MS Sans Serif"/>
    </font>
    <font>
      <b/>
      <sz val="10"/>
      <color theme="1"/>
      <name val="MS Sans Serif"/>
    </font>
    <font>
      <b/>
      <vertAlign val="subscript"/>
      <sz val="8"/>
      <color rgb="FF000000"/>
      <name val="Arial"/>
      <family val="2"/>
    </font>
    <font>
      <b/>
      <sz val="8"/>
      <color rgb="FF000000"/>
      <name val="Arial"/>
      <family val="2"/>
    </font>
    <font>
      <b/>
      <vertAlign val="subscript"/>
      <sz val="10"/>
      <color theme="1"/>
      <name val="Calibri"/>
      <family val="2"/>
    </font>
    <font>
      <b/>
      <sz val="10"/>
      <color theme="1"/>
      <name val="Calibri"/>
      <family val="2"/>
    </font>
    <font>
      <b/>
      <vertAlign val="subscript"/>
      <sz val="7"/>
      <color theme="1"/>
      <name val="Comic Sans MS"/>
      <family val="4"/>
    </font>
    <font>
      <b/>
      <sz val="7"/>
      <color theme="1"/>
      <name val="Comic Sans MS"/>
      <family val="4"/>
    </font>
    <font>
      <b/>
      <vertAlign val="subscript"/>
      <sz val="14"/>
      <color theme="1"/>
      <name val="Comic Sans MS"/>
      <family val="4"/>
    </font>
    <font>
      <b/>
      <sz val="14"/>
      <color theme="1"/>
      <name val="Comic Sans MS"/>
      <family val="4"/>
    </font>
    <font>
      <b/>
      <vertAlign val="subscript"/>
      <sz val="9"/>
      <color theme="1"/>
      <name val="Calibri"/>
      <family val="2"/>
    </font>
    <font>
      <b/>
      <sz val="9"/>
      <color theme="1"/>
      <name val="Calibri"/>
      <family val="2"/>
    </font>
    <font>
      <b/>
      <vertAlign val="subscript"/>
      <sz val="10"/>
      <color theme="1"/>
      <name val="Times New Roman"/>
      <family val="1"/>
    </font>
    <font>
      <b/>
      <sz val="10"/>
      <color theme="1"/>
      <name val="Times New Roman"/>
      <family val="1"/>
    </font>
    <font>
      <vertAlign val="subscript"/>
      <sz val="10"/>
      <color theme="1"/>
      <name val="Arial"/>
      <family val="2"/>
    </font>
    <font>
      <sz val="10"/>
      <color theme="1"/>
      <name val="Arial"/>
      <family val="2"/>
    </font>
    <font>
      <b/>
      <vertAlign val="subscript"/>
      <sz val="10"/>
      <color rgb="FFFF6600"/>
      <name val="Arial"/>
      <family val="2"/>
    </font>
    <font>
      <b/>
      <sz val="10"/>
      <color rgb="FFFF6600"/>
      <name val="Arial"/>
      <family val="2"/>
    </font>
    <font>
      <b/>
      <vertAlign val="subscript"/>
      <sz val="11"/>
      <color rgb="FFFF6600"/>
      <name val="Calibri"/>
      <family val="2"/>
    </font>
    <font>
      <vertAlign val="subscript"/>
      <sz val="8"/>
      <color theme="1"/>
      <name val="Arial"/>
      <family val="2"/>
    </font>
    <font>
      <b/>
      <vertAlign val="subscript"/>
      <sz val="8"/>
      <color theme="1"/>
      <name val="Comic Sans MS"/>
      <family val="4"/>
    </font>
    <font>
      <b/>
      <sz val="8"/>
      <color theme="1"/>
      <name val="Comic Sans MS"/>
      <family val="4"/>
    </font>
    <font>
      <vertAlign val="subscript"/>
      <sz val="8"/>
      <color theme="1"/>
      <name val="Comic Sans MS"/>
      <family val="4"/>
    </font>
    <font>
      <sz val="8"/>
      <color theme="1"/>
      <name val="Comic Sans MS"/>
      <family val="4"/>
    </font>
    <font>
      <i/>
      <sz val="10"/>
      <color theme="1"/>
      <name val="Arial"/>
      <family val="2"/>
    </font>
    <font>
      <vertAlign val="subscript"/>
      <sz val="7"/>
      <color theme="1"/>
      <name val="Comic Sans MS"/>
      <family val="4"/>
    </font>
    <font>
      <sz val="7"/>
      <color theme="1"/>
      <name val="Comic Sans MS"/>
      <family val="4"/>
    </font>
    <font>
      <vertAlign val="subscript"/>
      <sz val="14"/>
      <color theme="1"/>
      <name val="Calibri"/>
      <family val="2"/>
    </font>
    <font>
      <sz val="14"/>
      <color theme="1"/>
      <name val="Calibri"/>
      <family val="2"/>
    </font>
    <font>
      <b/>
      <vertAlign val="subscript"/>
      <sz val="7"/>
      <color theme="1"/>
      <name val="Calibri"/>
      <family val="2"/>
    </font>
    <font>
      <b/>
      <sz val="7"/>
      <color theme="1"/>
      <name val="Calibri"/>
      <family val="2"/>
    </font>
    <font>
      <vertAlign val="superscript"/>
      <sz val="11"/>
      <color rgb="FFFF0000"/>
      <name val="Calibri"/>
      <family val="2"/>
    </font>
    <font>
      <vertAlign val="subscript"/>
      <sz val="11"/>
      <color rgb="FFFF0000"/>
      <name val="Calibri"/>
      <family val="2"/>
    </font>
    <font>
      <b/>
      <vertAlign val="superscript"/>
      <sz val="7"/>
      <color theme="1"/>
      <name val="Calibri"/>
      <family val="2"/>
    </font>
    <font>
      <b/>
      <vertAlign val="subscript"/>
      <sz val="8"/>
      <color theme="1"/>
      <name val="Calibri"/>
      <family val="2"/>
    </font>
    <font>
      <b/>
      <sz val="8"/>
      <color theme="1"/>
      <name val="Calibri"/>
      <family val="2"/>
    </font>
    <font>
      <b/>
      <vertAlign val="subscript"/>
      <sz val="12"/>
      <color rgb="FF000000"/>
      <name val="Comic Sans MS"/>
      <family val="4"/>
    </font>
    <font>
      <vertAlign val="superscript"/>
      <sz val="7"/>
      <color theme="1"/>
      <name val="Comic Sans MS"/>
      <family val="4"/>
    </font>
    <font>
      <b/>
      <vertAlign val="subscript"/>
      <sz val="7"/>
      <color theme="1"/>
      <name val="Arial"/>
      <family val="2"/>
    </font>
    <font>
      <b/>
      <sz val="7"/>
      <color theme="1"/>
      <name val="Arial"/>
      <family val="2"/>
    </font>
    <font>
      <b/>
      <vertAlign val="superscript"/>
      <sz val="7"/>
      <color theme="1"/>
      <name val="Comic Sans MS"/>
      <family val="4"/>
    </font>
    <font>
      <vertAlign val="subscript"/>
      <sz val="12"/>
      <color theme="1"/>
      <name val="Comic Sans MS"/>
      <family val="4"/>
    </font>
    <font>
      <sz val="12"/>
      <color theme="1"/>
      <name val="Comic Sans MS"/>
      <family val="4"/>
    </font>
    <font>
      <vertAlign val="subscript"/>
      <sz val="8"/>
      <color theme="1"/>
      <name val="Calibri"/>
      <family val="2"/>
    </font>
    <font>
      <b/>
      <vertAlign val="subscript"/>
      <sz val="8"/>
      <color rgb="FFFF0000"/>
      <name val="Calibri"/>
      <family val="2"/>
    </font>
    <font>
      <b/>
      <sz val="8"/>
      <color rgb="FFFF0000"/>
      <name val="Calibri"/>
      <family val="2"/>
    </font>
    <font>
      <vertAlign val="subscript"/>
      <sz val="11"/>
      <color theme="1"/>
      <name val="Comic Sans MS"/>
      <family val="4"/>
    </font>
    <font>
      <sz val="11"/>
      <color theme="1"/>
      <name val="Comic Sans MS"/>
      <family val="4"/>
    </font>
    <font>
      <i/>
      <vertAlign val="subscript"/>
      <sz val="10"/>
      <color theme="1"/>
      <name val="Calibri"/>
      <family val="2"/>
    </font>
    <font>
      <i/>
      <sz val="10"/>
      <color theme="1"/>
      <name val="Calibri"/>
      <family val="2"/>
    </font>
    <font>
      <vertAlign val="subscript"/>
      <sz val="10"/>
      <color theme="1"/>
      <name val="Calibri"/>
      <family val="2"/>
    </font>
    <font>
      <sz val="10"/>
      <color theme="1"/>
      <name val="Calibri"/>
      <family val="2"/>
    </font>
    <font>
      <b/>
      <sz val="14"/>
      <color theme="1"/>
      <name val="Calibri"/>
      <family val="2"/>
    </font>
    <font>
      <sz val="14"/>
      <color theme="1"/>
      <name val="Calibri"/>
      <family val="2"/>
    </font>
    <font>
      <i/>
      <sz val="26"/>
      <color theme="1"/>
      <name val="Engravers MT"/>
      <family val="1"/>
    </font>
    <font>
      <sz val="8"/>
      <color theme="1"/>
      <name val="Calibri"/>
      <family val="2"/>
    </font>
    <font>
      <sz val="8"/>
      <name val="Arial"/>
      <family val="2"/>
    </font>
    <font>
      <sz val="7"/>
      <color theme="1"/>
      <name val="Arial"/>
      <family val="2"/>
    </font>
    <font>
      <sz val="7"/>
      <name val="Arial"/>
      <family val="2"/>
    </font>
    <font>
      <sz val="11"/>
      <name val="Calibri"/>
      <family val="2"/>
    </font>
    <font>
      <b/>
      <sz val="11"/>
      <name val="Calibri"/>
      <family val="2"/>
    </font>
    <font>
      <b/>
      <sz val="11"/>
      <color theme="1"/>
      <name val="Calibri"/>
      <family val="2"/>
    </font>
    <font>
      <b/>
      <vertAlign val="subscript"/>
      <sz val="11"/>
      <name val="Calibri"/>
      <family val="2"/>
    </font>
    <font>
      <sz val="8"/>
      <color rgb="FF000000"/>
      <name val="Arial"/>
      <family val="2"/>
    </font>
  </fonts>
  <fills count="37">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333333"/>
        <bgColor rgb="FF333333"/>
      </patternFill>
    </fill>
    <fill>
      <patternFill patternType="solid">
        <fgColor rgb="FFFFFF99"/>
        <bgColor rgb="FFFFFF99"/>
      </patternFill>
    </fill>
    <fill>
      <patternFill patternType="solid">
        <fgColor rgb="FFC0C0C0"/>
        <bgColor rgb="FFC0C0C0"/>
      </patternFill>
    </fill>
    <fill>
      <patternFill patternType="solid">
        <fgColor rgb="FFFFCC99"/>
        <bgColor rgb="FFFFCC99"/>
      </patternFill>
    </fill>
    <fill>
      <patternFill patternType="solid">
        <fgColor rgb="FFCC99FF"/>
        <bgColor rgb="FFCC99FF"/>
      </patternFill>
    </fill>
    <fill>
      <patternFill patternType="solid">
        <fgColor rgb="FFCCFFCC"/>
        <bgColor rgb="FFCCFFCC"/>
      </patternFill>
    </fill>
    <fill>
      <patternFill patternType="solid">
        <fgColor rgb="FF00FF00"/>
        <bgColor rgb="FF00FF00"/>
      </patternFill>
    </fill>
    <fill>
      <patternFill patternType="solid">
        <fgColor rgb="FFFF00FF"/>
        <bgColor rgb="FFFF00FF"/>
      </patternFill>
    </fill>
    <fill>
      <patternFill patternType="solid">
        <fgColor rgb="FF808080"/>
        <bgColor rgb="FF808080"/>
      </patternFill>
    </fill>
    <fill>
      <patternFill patternType="solid">
        <fgColor rgb="FF800000"/>
        <bgColor rgb="FF800000"/>
      </patternFill>
    </fill>
    <fill>
      <patternFill patternType="solid">
        <fgColor rgb="FF969696"/>
        <bgColor rgb="FF969696"/>
      </patternFill>
    </fill>
    <fill>
      <patternFill patternType="solid">
        <fgColor rgb="FF808000"/>
        <bgColor rgb="FF808000"/>
      </patternFill>
    </fill>
    <fill>
      <patternFill patternType="solid">
        <fgColor rgb="FFFF99CC"/>
        <bgColor rgb="FFFF99CC"/>
      </patternFill>
    </fill>
    <fill>
      <patternFill patternType="solid">
        <fgColor rgb="FF00CCFF"/>
        <bgColor rgb="FF00CCFF"/>
      </patternFill>
    </fill>
    <fill>
      <patternFill patternType="solid">
        <fgColor rgb="FFFF6600"/>
        <bgColor rgb="FFFF6600"/>
      </patternFill>
    </fill>
    <fill>
      <patternFill patternType="solid">
        <fgColor rgb="FF99CC00"/>
        <bgColor rgb="FF99CC00"/>
      </patternFill>
    </fill>
    <fill>
      <patternFill patternType="solid">
        <fgColor rgb="FF339966"/>
        <bgColor rgb="FF339966"/>
      </patternFill>
    </fill>
    <fill>
      <patternFill patternType="solid">
        <fgColor rgb="FFFF0000"/>
        <bgColor rgb="FFFF0000"/>
      </patternFill>
    </fill>
    <fill>
      <patternFill patternType="solid">
        <fgColor rgb="FFCCFFFF"/>
        <bgColor rgb="FFCCFFFF"/>
      </patternFill>
    </fill>
    <fill>
      <patternFill patternType="solid">
        <fgColor rgb="FF008000"/>
        <bgColor rgb="FF008000"/>
      </patternFill>
    </fill>
    <fill>
      <patternFill patternType="solid">
        <fgColor rgb="FF99CCFF"/>
        <bgColor rgb="FF99CCFF"/>
      </patternFill>
    </fill>
    <fill>
      <patternFill patternType="solid">
        <fgColor rgb="FFCCC0D9"/>
        <bgColor rgb="FFCCC0D9"/>
      </patternFill>
    </fill>
    <fill>
      <patternFill patternType="solid">
        <fgColor rgb="FFC4BD97"/>
        <bgColor rgb="FFC4BD97"/>
      </patternFill>
    </fill>
    <fill>
      <patternFill patternType="solid">
        <fgColor rgb="FF33CCCC"/>
        <bgColor rgb="FF33CCCC"/>
      </patternFill>
    </fill>
    <fill>
      <patternFill patternType="solid">
        <fgColor rgb="FFFFCC00"/>
        <bgColor rgb="FFFFCC00"/>
      </patternFill>
    </fill>
    <fill>
      <patternFill patternType="solid">
        <fgColor rgb="FF666699"/>
        <bgColor rgb="FF666699"/>
      </patternFill>
    </fill>
    <fill>
      <patternFill patternType="solid">
        <fgColor rgb="FFFFFFCC"/>
        <bgColor rgb="FFFFFF00"/>
      </patternFill>
    </fill>
    <fill>
      <patternFill patternType="solid">
        <fgColor rgb="FF33CCCC"/>
        <bgColor rgb="FF92CDDC"/>
      </patternFill>
    </fill>
    <fill>
      <patternFill patternType="solid">
        <fgColor rgb="FF33CCCC"/>
        <bgColor indexed="64"/>
      </patternFill>
    </fill>
    <fill>
      <patternFill patternType="solid">
        <fgColor rgb="FF33CCCC"/>
        <bgColor rgb="FFD9EAD3"/>
      </patternFill>
    </fill>
    <fill>
      <patternFill patternType="solid">
        <fgColor rgb="FF33CCCC"/>
        <bgColor rgb="FFA2C4C9"/>
      </patternFill>
    </fill>
    <fill>
      <patternFill patternType="solid">
        <fgColor rgb="FFCC99FF"/>
        <bgColor rgb="FFCCC0D9"/>
      </patternFill>
    </fill>
    <fill>
      <patternFill patternType="solid">
        <fgColor rgb="FFCC99FF"/>
        <bgColor indexed="64"/>
      </patternFill>
    </fill>
  </fills>
  <borders count="366">
    <border>
      <left/>
      <right/>
      <top/>
      <bottom/>
      <diagonal/>
    </border>
    <border>
      <left/>
      <right style="thin">
        <color rgb="FFC0C0C0"/>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medium">
        <color rgb="FF000000"/>
      </right>
      <top/>
      <bottom/>
      <diagonal/>
    </border>
    <border>
      <left/>
      <right style="medium">
        <color rgb="FFC0C0C0"/>
      </right>
      <top/>
      <bottom style="thin">
        <color rgb="FF000000"/>
      </bottom>
      <diagonal/>
    </border>
    <border>
      <left style="medium">
        <color rgb="FFC0C0C0"/>
      </left>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C0C0C0"/>
      </right>
      <top style="thin">
        <color rgb="FF000000"/>
      </top>
      <bottom style="thin">
        <color rgb="FFC0C0C0"/>
      </bottom>
      <diagonal/>
    </border>
    <border>
      <left style="thin">
        <color rgb="FFC0C0C0"/>
      </left>
      <right/>
      <top style="thin">
        <color rgb="FF000000"/>
      </top>
      <bottom style="thin">
        <color rgb="FFC0C0C0"/>
      </bottom>
      <diagonal/>
    </border>
    <border>
      <left style="medium">
        <color rgb="FF00000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rgb="FF000000"/>
      </left>
      <right style="medium">
        <color rgb="FF000000"/>
      </right>
      <top/>
      <bottom/>
      <diagonal/>
    </border>
    <border>
      <left style="medium">
        <color rgb="FF000000"/>
      </left>
      <right style="thin">
        <color rgb="FFC0C0C0"/>
      </right>
      <top style="thin">
        <color rgb="FFC0C0C0"/>
      </top>
      <bottom style="thin">
        <color rgb="FF000000"/>
      </bottom>
      <diagonal/>
    </border>
    <border>
      <left style="thin">
        <color rgb="FFC0C0C0"/>
      </left>
      <right/>
      <top style="thin">
        <color rgb="FFC0C0C0"/>
      </top>
      <bottom style="thin">
        <color rgb="FF000000"/>
      </bottom>
      <diagonal/>
    </border>
    <border>
      <left style="medium">
        <color rgb="FF000000"/>
      </left>
      <right style="medium">
        <color rgb="FFC0C0C0"/>
      </right>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000000"/>
      </left>
      <right style="medium">
        <color rgb="FFC0C0C0"/>
      </right>
      <top style="thin">
        <color rgb="FF000000"/>
      </top>
      <bottom style="thin">
        <color rgb="FF000000"/>
      </bottom>
      <diagonal/>
    </border>
    <border>
      <left style="medium">
        <color rgb="FFC0C0C0"/>
      </left>
      <right/>
      <top style="thin">
        <color rgb="FF000000"/>
      </top>
      <bottom style="thin">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style="double">
        <color rgb="FF000000"/>
      </right>
      <top style="double">
        <color rgb="FF000000"/>
      </top>
      <bottom/>
      <diagonal/>
    </border>
    <border>
      <left style="double">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double">
        <color rgb="FF000000"/>
      </left>
      <right/>
      <top/>
      <bottom style="medium">
        <color rgb="FF000000"/>
      </bottom>
      <diagonal/>
    </border>
    <border>
      <left style="medium">
        <color rgb="FF000000"/>
      </left>
      <right style="double">
        <color rgb="FF000000"/>
      </right>
      <top/>
      <bottom style="medium">
        <color rgb="FF000000"/>
      </bottom>
      <diagonal/>
    </border>
    <border>
      <left style="double">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style="double">
        <color rgb="FF000000"/>
      </right>
      <top style="medium">
        <color rgb="FF000000"/>
      </top>
      <bottom/>
      <diagonal/>
    </border>
    <border>
      <left style="double">
        <color rgb="FF000000"/>
      </left>
      <right/>
      <top style="thin">
        <color rgb="FF000000"/>
      </top>
      <bottom style="thin">
        <color rgb="FF000000"/>
      </bottom>
      <diagonal/>
    </border>
    <border>
      <left style="medium">
        <color rgb="FF000000"/>
      </left>
      <right style="double">
        <color rgb="FF000000"/>
      </right>
      <top style="thin">
        <color rgb="FF000000"/>
      </top>
      <bottom style="thin">
        <color rgb="FF000000"/>
      </bottom>
      <diagonal/>
    </border>
    <border>
      <left style="double">
        <color rgb="FF000000"/>
      </left>
      <right/>
      <top style="thin">
        <color rgb="FF000000"/>
      </top>
      <bottom/>
      <diagonal/>
    </border>
    <border>
      <left style="medium">
        <color rgb="FF000000"/>
      </left>
      <right style="medium">
        <color rgb="FF000000"/>
      </right>
      <top style="thin">
        <color rgb="FF000000"/>
      </top>
      <bottom/>
      <diagonal/>
    </border>
    <border>
      <left style="medium">
        <color rgb="FF000000"/>
      </left>
      <right style="double">
        <color rgb="FF000000"/>
      </right>
      <top style="thin">
        <color rgb="FF000000"/>
      </top>
      <bottom/>
      <diagonal/>
    </border>
    <border>
      <left style="double">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double">
        <color rgb="FF000000"/>
      </right>
      <top style="medium">
        <color rgb="FF000000"/>
      </top>
      <bottom style="medium">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medium">
        <color rgb="FF000000"/>
      </left>
      <right/>
      <top style="double">
        <color rgb="FF000000"/>
      </top>
      <bottom/>
      <diagonal/>
    </border>
    <border>
      <left style="double">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double">
        <color rgb="FF000000"/>
      </right>
      <top style="medium">
        <color rgb="FF000000"/>
      </top>
      <bottom style="medium">
        <color rgb="FF000000"/>
      </bottom>
      <diagonal/>
    </border>
    <border>
      <left style="double">
        <color rgb="FF000000"/>
      </left>
      <right/>
      <top/>
      <bottom style="double">
        <color rgb="FF000000"/>
      </bottom>
      <diagonal/>
    </border>
    <border>
      <left style="medium">
        <color rgb="FF000000"/>
      </left>
      <right style="medium">
        <color rgb="FF000000"/>
      </right>
      <top/>
      <bottom style="double">
        <color rgb="FF000000"/>
      </bottom>
      <diagonal/>
    </border>
    <border>
      <left style="medium">
        <color rgb="FF000000"/>
      </left>
      <right style="double">
        <color rgb="FF000000"/>
      </right>
      <top/>
      <bottom style="double">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style="thin">
        <color rgb="FF000000"/>
      </bottom>
      <diagonal/>
    </border>
    <border>
      <left style="medium">
        <color rgb="FF000000"/>
      </left>
      <right/>
      <top/>
      <bottom/>
      <diagonal/>
    </border>
    <border>
      <left/>
      <right/>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thin">
        <color rgb="FF000000"/>
      </top>
      <bottom/>
      <diagonal/>
    </border>
    <border>
      <left style="medium">
        <color rgb="FF000000"/>
      </left>
      <right/>
      <top style="thin">
        <color rgb="FF000000"/>
      </top>
      <bottom style="thin">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double">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double">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bottom style="double">
        <color rgb="FF000000"/>
      </bottom>
      <diagonal/>
    </border>
    <border>
      <left/>
      <right/>
      <top style="double">
        <color rgb="FF000000"/>
      </top>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double">
        <color rgb="FF000000"/>
      </right>
      <top style="medium">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right style="thin">
        <color rgb="FF000000"/>
      </right>
      <top style="thick">
        <color rgb="FF000000"/>
      </top>
      <bottom style="thick">
        <color rgb="FF000000"/>
      </bottom>
      <diagonal/>
    </border>
    <border>
      <left style="double">
        <color rgb="FF000000"/>
      </left>
      <right style="thin">
        <color rgb="FF000000"/>
      </right>
      <top/>
      <bottom/>
      <diagonal/>
    </border>
    <border>
      <left/>
      <right style="thin">
        <color rgb="FF000000"/>
      </right>
      <top style="medium">
        <color rgb="FF000000"/>
      </top>
      <bottom style="medium">
        <color rgb="FF000000"/>
      </bottom>
      <diagonal/>
    </border>
    <border>
      <left style="thin">
        <color rgb="FF000000"/>
      </left>
      <right style="double">
        <color rgb="FF000000"/>
      </right>
      <top style="thick">
        <color rgb="FF000000"/>
      </top>
      <bottom style="thick">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right style="medium">
        <color rgb="FF000000"/>
      </right>
      <top style="double">
        <color rgb="FF000000"/>
      </top>
      <bottom/>
      <diagonal/>
    </border>
    <border>
      <left style="medium">
        <color rgb="FF000000"/>
      </left>
      <right style="double">
        <color rgb="FF000000"/>
      </right>
      <top style="double">
        <color rgb="FF000000"/>
      </top>
      <bottom/>
      <diagonal/>
    </border>
    <border>
      <left style="double">
        <color rgb="FF000000"/>
      </left>
      <right style="medium">
        <color rgb="FF000000"/>
      </right>
      <top/>
      <bottom/>
      <diagonal/>
    </border>
    <border>
      <left style="medium">
        <color rgb="FF000000"/>
      </left>
      <right style="double">
        <color rgb="FF000000"/>
      </right>
      <top/>
      <bottom/>
      <diagonal/>
    </border>
    <border>
      <left style="double">
        <color rgb="FF000000"/>
      </left>
      <right style="medium">
        <color rgb="FF000000"/>
      </right>
      <top/>
      <bottom style="medium">
        <color rgb="FF000000"/>
      </bottom>
      <diagonal/>
    </border>
    <border>
      <left style="double">
        <color rgb="FF000000"/>
      </left>
      <right/>
      <top style="medium">
        <color rgb="FF000000"/>
      </top>
      <bottom style="thin">
        <color rgb="FF000000"/>
      </bottom>
      <diagonal/>
    </border>
    <border>
      <left style="medium">
        <color rgb="FF000000"/>
      </left>
      <right style="double">
        <color rgb="FF000000"/>
      </right>
      <top style="medium">
        <color rgb="FF000000"/>
      </top>
      <bottom style="thin">
        <color rgb="FF000000"/>
      </bottom>
      <diagonal/>
    </border>
    <border>
      <left style="double">
        <color rgb="FF000000"/>
      </left>
      <right/>
      <top style="thin">
        <color rgb="FF000000"/>
      </top>
      <bottom style="medium">
        <color rgb="FF000000"/>
      </bottom>
      <diagonal/>
    </border>
    <border>
      <left style="medium">
        <color rgb="FF000000"/>
      </left>
      <right style="double">
        <color rgb="FF000000"/>
      </right>
      <top style="thin">
        <color rgb="FF000000"/>
      </top>
      <bottom style="medium">
        <color rgb="FF000000"/>
      </bottom>
      <diagonal/>
    </border>
    <border>
      <left style="double">
        <color rgb="FF000000"/>
      </left>
      <right/>
      <top/>
      <bottom style="medium">
        <color rgb="FF000000"/>
      </bottom>
      <diagonal/>
    </border>
    <border>
      <left style="medium">
        <color rgb="FF000000"/>
      </left>
      <right style="double">
        <color rgb="FF000000"/>
      </right>
      <top/>
      <bottom style="medium">
        <color rgb="FF000000"/>
      </bottom>
      <diagonal/>
    </border>
    <border>
      <left/>
      <right style="thin">
        <color rgb="FF000000"/>
      </right>
      <top style="medium">
        <color rgb="FF000000"/>
      </top>
      <bottom/>
      <diagonal/>
    </border>
    <border>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medium">
        <color rgb="FF000000"/>
      </right>
      <top style="thin">
        <color rgb="FF000000"/>
      </top>
      <bottom style="thin">
        <color rgb="FF000000"/>
      </bottom>
      <diagonal/>
    </border>
    <border>
      <left style="medium">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double">
        <color rgb="FF000000"/>
      </right>
      <top/>
      <bottom style="thick">
        <color rgb="FF000000"/>
      </bottom>
      <diagonal/>
    </border>
    <border>
      <left style="double">
        <color rgb="FF000000"/>
      </left>
      <right style="thin">
        <color rgb="FF000000"/>
      </right>
      <top style="thick">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medium">
        <color rgb="FF000000"/>
      </left>
      <right style="double">
        <color rgb="FF000000"/>
      </right>
      <top style="thick">
        <color rgb="FF000000"/>
      </top>
      <bottom style="thick">
        <color rgb="FF000000"/>
      </bottom>
      <diagonal/>
    </border>
    <border>
      <left style="double">
        <color rgb="FF000000"/>
      </left>
      <right/>
      <top/>
      <bottom style="thick">
        <color rgb="FF000000"/>
      </bottom>
      <diagonal/>
    </border>
    <border>
      <left/>
      <right/>
      <top/>
      <bottom style="thick">
        <color rgb="FF000000"/>
      </bottom>
      <diagonal/>
    </border>
    <border>
      <left style="double">
        <color rgb="FF000000"/>
      </left>
      <right/>
      <top style="thick">
        <color rgb="FF000000"/>
      </top>
      <bottom style="thick">
        <color rgb="FF000000"/>
      </bottom>
      <diagonal/>
    </border>
    <border>
      <left/>
      <right/>
      <top style="thick">
        <color rgb="FF000000"/>
      </top>
      <bottom style="thick">
        <color rgb="FF000000"/>
      </bottom>
      <diagonal/>
    </border>
    <border>
      <left/>
      <right style="double">
        <color rgb="FF000000"/>
      </right>
      <top/>
      <bottom style="double">
        <color rgb="FF000000"/>
      </bottom>
      <diagonal/>
    </border>
    <border>
      <left style="double">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double">
        <color rgb="FF000000"/>
      </right>
      <top/>
      <bottom style="thin">
        <color rgb="FF000000"/>
      </bottom>
      <diagonal/>
    </border>
    <border>
      <left style="double">
        <color rgb="FF000000"/>
      </left>
      <right style="medium">
        <color rgb="FF000000"/>
      </right>
      <top style="medium">
        <color rgb="FF000000"/>
      </top>
      <bottom style="thin">
        <color rgb="FF000000"/>
      </bottom>
      <diagonal/>
    </border>
    <border>
      <left style="double">
        <color rgb="FF000000"/>
      </left>
      <right style="medium">
        <color rgb="FF000000"/>
      </right>
      <top style="medium">
        <color rgb="FF000000"/>
      </top>
      <bottom/>
      <diagonal/>
    </border>
    <border>
      <left/>
      <right style="double">
        <color rgb="FF000000"/>
      </right>
      <top/>
      <bottom/>
      <diagonal/>
    </border>
    <border>
      <left/>
      <right/>
      <top style="medium">
        <color rgb="FF000000"/>
      </top>
      <bottom style="medium">
        <color rgb="FF000000"/>
      </bottom>
      <diagonal/>
    </border>
    <border>
      <left style="double">
        <color rgb="FF000000"/>
      </left>
      <right style="medium">
        <color rgb="FF000000"/>
      </right>
      <top style="double">
        <color rgb="FF000000"/>
      </top>
      <bottom style="double">
        <color rgb="FF000000"/>
      </bottom>
      <diagonal/>
    </border>
    <border>
      <left style="medium">
        <color rgb="FF000000"/>
      </left>
      <right style="medium">
        <color rgb="FF000000"/>
      </right>
      <top style="double">
        <color rgb="FF000000"/>
      </top>
      <bottom style="double">
        <color rgb="FF000000"/>
      </bottom>
      <diagonal/>
    </border>
    <border>
      <left style="medium">
        <color rgb="FF000000"/>
      </left>
      <right/>
      <top style="double">
        <color rgb="FF000000"/>
      </top>
      <bottom style="double">
        <color rgb="FF000000"/>
      </bottom>
      <diagonal/>
    </border>
    <border>
      <left/>
      <right style="medium">
        <color rgb="FF000000"/>
      </right>
      <top style="double">
        <color rgb="FF000000"/>
      </top>
      <bottom style="double">
        <color rgb="FF000000"/>
      </bottom>
      <diagonal/>
    </border>
    <border>
      <left style="medium">
        <color rgb="FF000000"/>
      </left>
      <right style="double">
        <color rgb="FF000000"/>
      </right>
      <top style="double">
        <color rgb="FF000000"/>
      </top>
      <bottom style="double">
        <color rgb="FF000000"/>
      </bottom>
      <diagonal/>
    </border>
    <border>
      <left style="double">
        <color rgb="FF000000"/>
      </left>
      <right style="medium">
        <color rgb="FF000000"/>
      </right>
      <top style="medium">
        <color rgb="FF000000"/>
      </top>
      <bottom style="medium">
        <color rgb="FF000000"/>
      </bottom>
      <diagonal/>
    </border>
    <border>
      <left style="double">
        <color rgb="FF000000"/>
      </left>
      <right/>
      <top style="medium">
        <color rgb="FF000000"/>
      </top>
      <bottom/>
      <diagonal/>
    </border>
    <border>
      <left style="double">
        <color rgb="FF000000"/>
      </left>
      <right/>
      <top style="medium">
        <color rgb="FF000000"/>
      </top>
      <bottom style="double">
        <color rgb="FF000000"/>
      </bottom>
      <diagonal/>
    </border>
    <border>
      <left/>
      <right/>
      <top style="medium">
        <color rgb="FF000000"/>
      </top>
      <bottom style="double">
        <color rgb="FF000000"/>
      </bottom>
      <diagonal/>
    </border>
    <border>
      <left/>
      <right style="double">
        <color rgb="FF000000"/>
      </right>
      <top style="medium">
        <color rgb="FF000000"/>
      </top>
      <bottom style="double">
        <color rgb="FF000000"/>
      </bottom>
      <diagonal/>
    </border>
    <border>
      <left/>
      <right style="double">
        <color rgb="FF000000"/>
      </right>
      <top style="medium">
        <color rgb="FF000000"/>
      </top>
      <bottom/>
      <diagonal/>
    </border>
    <border>
      <left style="double">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top style="double">
        <color rgb="FF000000"/>
      </top>
      <bottom/>
      <diagonal/>
    </border>
    <border>
      <left/>
      <right style="double">
        <color rgb="FF000000"/>
      </right>
      <top style="double">
        <color rgb="FF000000"/>
      </top>
      <bottom/>
      <diagonal/>
    </border>
    <border>
      <left style="double">
        <color rgb="FF000000"/>
      </left>
      <right/>
      <top/>
      <bottom style="thin">
        <color rgb="FF000000"/>
      </bottom>
      <diagonal/>
    </border>
    <border>
      <left/>
      <right style="double">
        <color rgb="FF000000"/>
      </right>
      <top/>
      <bottom style="thin">
        <color rgb="FF000000"/>
      </bottom>
      <diagonal/>
    </border>
    <border>
      <left/>
      <right style="medium">
        <color rgb="FF000000"/>
      </right>
      <top style="double">
        <color rgb="FF000000"/>
      </top>
      <bottom/>
      <diagonal/>
    </border>
    <border>
      <left style="thin">
        <color rgb="FF000000"/>
      </left>
      <right style="double">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ck">
        <color rgb="FF000000"/>
      </top>
      <bottom style="thin">
        <color rgb="FF000000"/>
      </bottom>
      <diagonal/>
    </border>
    <border>
      <left style="medium">
        <color rgb="FF000000"/>
      </left>
      <right style="medium">
        <color rgb="FF000000"/>
      </right>
      <top style="thin">
        <color rgb="FF000000"/>
      </top>
      <bottom style="thick">
        <color rgb="FF000000"/>
      </bottom>
      <diagonal/>
    </border>
    <border>
      <left style="medium">
        <color rgb="FF000000"/>
      </left>
      <right/>
      <top style="medium">
        <color rgb="FF000000"/>
      </top>
      <bottom style="medium">
        <color rgb="FF000000"/>
      </bottom>
      <diagonal/>
    </border>
    <border>
      <left style="thin">
        <color rgb="FF000000"/>
      </left>
      <right/>
      <top style="medium">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thin">
        <color rgb="FF000000"/>
      </top>
      <bottom style="thick">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style="medium">
        <color rgb="FF000000"/>
      </bottom>
      <diagonal/>
    </border>
    <border>
      <left style="double">
        <color rgb="FF000000"/>
      </left>
      <right/>
      <top/>
      <bottom/>
      <diagonal/>
    </border>
    <border>
      <left style="double">
        <color rgb="FF000000"/>
      </left>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double">
        <color rgb="FF000000"/>
      </left>
      <right/>
      <top/>
      <bottom/>
      <diagonal/>
    </border>
    <border>
      <left/>
      <right/>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style="thick">
        <color rgb="FFFF0000"/>
      </right>
      <top/>
      <bottom/>
      <diagonal/>
    </border>
    <border>
      <left/>
      <right style="thick">
        <color rgb="FFFF0000"/>
      </right>
      <top/>
      <bottom style="medium">
        <color rgb="FF000000"/>
      </bottom>
      <diagonal/>
    </border>
    <border>
      <left style="thick">
        <color rgb="FFFF0000"/>
      </left>
      <right style="thick">
        <color rgb="FFFF0000"/>
      </right>
      <top/>
      <bottom style="medium">
        <color rgb="FF000000"/>
      </bottom>
      <diagonal/>
    </border>
    <border>
      <left style="thick">
        <color rgb="FFFF0000"/>
      </left>
      <right style="thin">
        <color rgb="FF000000"/>
      </right>
      <top style="thin">
        <color rgb="FF000000"/>
      </top>
      <bottom style="thin">
        <color rgb="FF000000"/>
      </bottom>
      <diagonal/>
    </border>
    <border>
      <left style="thin">
        <color rgb="FF000000"/>
      </left>
      <right style="thick">
        <color rgb="FFFF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FF0000"/>
      </left>
      <right style="thin">
        <color rgb="FF000000"/>
      </right>
      <top/>
      <bottom style="thin">
        <color rgb="FF000000"/>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style="thick">
        <color rgb="FFFF0000"/>
      </right>
      <top/>
      <bottom style="thick">
        <color rgb="FFFF0000"/>
      </bottom>
      <diagonal/>
    </border>
    <border>
      <left style="thick">
        <color rgb="FF000000"/>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diagonal/>
    </border>
    <border>
      <left/>
      <right/>
      <top style="thick">
        <color rgb="FF000000"/>
      </top>
      <bottom/>
      <diagonal/>
    </border>
    <border>
      <left/>
      <right/>
      <top/>
      <bottom style="thick">
        <color rgb="FF000000"/>
      </bottom>
      <diagonal/>
    </border>
    <border>
      <left style="thin">
        <color rgb="FF000000"/>
      </left>
      <right style="thick">
        <color rgb="FFFF0000"/>
      </right>
      <top style="thin">
        <color rgb="FF000000"/>
      </top>
      <bottom/>
      <diagonal/>
    </border>
    <border>
      <left style="thick">
        <color rgb="FF000000"/>
      </left>
      <right style="thick">
        <color rgb="FF000000"/>
      </right>
      <top style="thick">
        <color rgb="FF000000"/>
      </top>
      <bottom style="thick">
        <color rgb="FF000000"/>
      </bottom>
      <diagonal/>
    </border>
    <border>
      <left style="thick">
        <color rgb="FFFF0000"/>
      </left>
      <right/>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medium">
        <color rgb="FF000000"/>
      </left>
      <right style="double">
        <color rgb="FF000000"/>
      </right>
      <top style="thin">
        <color rgb="FF000000"/>
      </top>
      <bottom style="double">
        <color rgb="FF000000"/>
      </bottom>
      <diagonal/>
    </border>
    <border>
      <left style="double">
        <color rgb="FF000000"/>
      </left>
      <right style="double">
        <color rgb="FF000000"/>
      </right>
      <top style="thin">
        <color rgb="FF000000"/>
      </top>
      <bottom style="thin">
        <color rgb="FF000000"/>
      </bottom>
      <diagonal/>
    </border>
    <border>
      <left style="double">
        <color rgb="FF000000"/>
      </left>
      <right style="double">
        <color rgb="FF000000"/>
      </right>
      <top style="thin">
        <color rgb="FF000000"/>
      </top>
      <bottom style="double">
        <color rgb="FF000000"/>
      </bottom>
      <diagonal/>
    </border>
    <border>
      <left style="double">
        <color rgb="FF000000"/>
      </left>
      <right/>
      <top style="double">
        <color rgb="FF000000"/>
      </top>
      <bottom/>
      <diagonal/>
    </border>
    <border>
      <left/>
      <right/>
      <top style="double">
        <color rgb="FF000000"/>
      </top>
      <bottom/>
      <diagonal/>
    </border>
    <border>
      <left style="thin">
        <color rgb="FF000000"/>
      </left>
      <right style="double">
        <color rgb="FF000000"/>
      </right>
      <top style="thin">
        <color rgb="FF000000"/>
      </top>
      <bottom style="medium">
        <color rgb="FF000000"/>
      </bottom>
      <diagonal/>
    </border>
    <border>
      <left style="double">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double">
        <color rgb="FF000000"/>
      </bottom>
      <diagonal/>
    </border>
    <border>
      <left style="medium">
        <color rgb="FF000000"/>
      </left>
      <right style="medium">
        <color rgb="FF000000"/>
      </right>
      <top style="medium">
        <color rgb="FF000000"/>
      </top>
      <bottom style="double">
        <color rgb="FF000000"/>
      </bottom>
      <diagonal/>
    </border>
    <border>
      <left style="medium">
        <color rgb="FF000000"/>
      </left>
      <right style="double">
        <color rgb="FF000000"/>
      </right>
      <top style="medium">
        <color rgb="FF000000"/>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double">
        <color rgb="FF000000"/>
      </right>
      <top style="thin">
        <color rgb="FF000000"/>
      </top>
      <bottom style="thin">
        <color rgb="FF000000"/>
      </bottom>
      <diagonal/>
    </border>
    <border>
      <left/>
      <right style="double">
        <color rgb="FF000000"/>
      </right>
      <top style="thin">
        <color rgb="FF000000"/>
      </top>
      <bottom/>
      <diagonal/>
    </border>
    <border>
      <left/>
      <right style="double">
        <color rgb="FF000000"/>
      </right>
      <top/>
      <bottom style="medium">
        <color rgb="FF000000"/>
      </bottom>
      <diagonal/>
    </border>
    <border>
      <left/>
      <right style="double">
        <color rgb="FF000000"/>
      </right>
      <top style="medium">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double">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double">
        <color rgb="FF000000"/>
      </right>
      <top style="thick">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double">
        <color rgb="FF000000"/>
      </right>
      <top/>
      <bottom/>
      <diagonal/>
    </border>
    <border>
      <left/>
      <right style="double">
        <color rgb="FF000000"/>
      </right>
      <top/>
      <bottom style="thick">
        <color rgb="FF000000"/>
      </bottom>
      <diagonal/>
    </border>
    <border>
      <left style="thin">
        <color rgb="FF000000"/>
      </left>
      <right style="thin">
        <color rgb="FF000000"/>
      </right>
      <top style="thick">
        <color rgb="FF000000"/>
      </top>
      <bottom/>
      <diagonal/>
    </border>
    <border>
      <left style="double">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style="thin">
        <color rgb="FF000000"/>
      </left>
      <right style="double">
        <color rgb="FF000000"/>
      </right>
      <top style="thin">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ck">
        <color rgb="FF000000"/>
      </top>
      <bottom style="thin">
        <color rgb="FF000000"/>
      </bottom>
      <diagonal/>
    </border>
    <border>
      <left style="thin">
        <color rgb="FF000000"/>
      </left>
      <right style="medium">
        <color rgb="FF000000"/>
      </right>
      <top style="thick">
        <color rgb="FF000000"/>
      </top>
      <bottom style="thin">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medium">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style="double">
        <color rgb="FF000000"/>
      </bottom>
      <diagonal/>
    </border>
    <border>
      <left/>
      <right/>
      <top/>
      <bottom style="double">
        <color rgb="FF000000"/>
      </bottom>
      <diagonal/>
    </border>
    <border>
      <left/>
      <right style="double">
        <color rgb="FF000000"/>
      </right>
      <top style="double">
        <color rgb="FF000000"/>
      </top>
      <bottom style="thin">
        <color rgb="FF000000"/>
      </bottom>
      <diagonal/>
    </border>
    <border>
      <left/>
      <right style="double">
        <color rgb="FF000000"/>
      </right>
      <top style="thin">
        <color rgb="FF000000"/>
      </top>
      <bottom style="double">
        <color rgb="FF000000"/>
      </bottom>
      <diagonal/>
    </border>
    <border>
      <left/>
      <right style="thin">
        <color rgb="FF000000"/>
      </right>
      <top style="medium">
        <color rgb="FF000000"/>
      </top>
      <bottom style="medium">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ck">
        <color rgb="FF000000"/>
      </left>
      <right style="thin">
        <color rgb="FF000000"/>
      </right>
      <top style="thin">
        <color rgb="FF000000"/>
      </top>
      <bottom style="medium">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style="thin">
        <color rgb="FF000000"/>
      </bottom>
      <diagonal/>
    </border>
    <border>
      <left/>
      <right/>
      <top style="medium">
        <color rgb="FF000000"/>
      </top>
      <bottom style="thin">
        <color rgb="FF000000"/>
      </bottom>
      <diagonal/>
    </border>
    <border>
      <left/>
      <right style="thick">
        <color rgb="FF000000"/>
      </right>
      <top style="medium">
        <color rgb="FF000000"/>
      </top>
      <bottom style="thin">
        <color rgb="FF000000"/>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top style="thin">
        <color rgb="FF000000"/>
      </top>
      <bottom style="medium">
        <color rgb="FF000000"/>
      </bottom>
      <diagonal/>
    </border>
    <border>
      <left/>
      <right/>
      <top style="thin">
        <color rgb="FF000000"/>
      </top>
      <bottom style="medium">
        <color rgb="FF000000"/>
      </bottom>
      <diagonal/>
    </border>
    <border>
      <left/>
      <right style="thick">
        <color rgb="FF000000"/>
      </right>
      <top style="thin">
        <color rgb="FF000000"/>
      </top>
      <bottom style="medium">
        <color rgb="FF000000"/>
      </bottom>
      <diagonal/>
    </border>
    <border>
      <left style="thick">
        <color rgb="FF000000"/>
      </left>
      <right/>
      <top/>
      <bottom style="medium">
        <color rgb="FF000000"/>
      </bottom>
      <diagonal/>
    </border>
    <border>
      <left/>
      <right style="thick">
        <color rgb="FF000000"/>
      </right>
      <top/>
      <bottom style="medium">
        <color rgb="FF000000"/>
      </bottom>
      <diagonal/>
    </border>
    <border>
      <left style="medium">
        <color rgb="FF000000"/>
      </left>
      <right style="thin">
        <color rgb="FFC0C0C0"/>
      </right>
      <top style="thin">
        <color rgb="FF000000"/>
      </top>
      <bottom style="medium">
        <color rgb="FF000000"/>
      </bottom>
      <diagonal/>
    </border>
    <border>
      <left style="thin">
        <color rgb="FFC0C0C0"/>
      </left>
      <right/>
      <top style="thin">
        <color rgb="FF000000"/>
      </top>
      <bottom style="medium">
        <color rgb="FF000000"/>
      </bottom>
      <diagonal/>
    </border>
    <border>
      <left style="thin">
        <color rgb="FF000000"/>
      </left>
      <right/>
      <top style="thick">
        <color rgb="FF000000"/>
      </top>
      <bottom style="thin">
        <color rgb="FF000000"/>
      </bottom>
      <diagonal/>
    </border>
    <border>
      <left style="thin">
        <color rgb="FF000000"/>
      </left>
      <right/>
      <top style="thin">
        <color rgb="FF000000"/>
      </top>
      <bottom style="thick">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style="medium">
        <color rgb="FF000000"/>
      </left>
      <right style="medium">
        <color indexed="64"/>
      </right>
      <top style="medium">
        <color indexed="64"/>
      </top>
      <bottom style="thin">
        <color rgb="FF000000"/>
      </bottom>
      <diagonal/>
    </border>
    <border>
      <left style="medium">
        <color indexed="64"/>
      </left>
      <right/>
      <top style="medium">
        <color rgb="FF000000"/>
      </top>
      <bottom style="thin">
        <color rgb="FF000000"/>
      </bottom>
      <diagonal/>
    </border>
    <border>
      <left style="medium">
        <color rgb="FF000000"/>
      </left>
      <right style="medium">
        <color indexed="64"/>
      </right>
      <top/>
      <bottom/>
      <diagonal/>
    </border>
    <border>
      <left style="medium">
        <color indexed="64"/>
      </left>
      <right style="medium">
        <color rgb="FFC0C0C0"/>
      </right>
      <top/>
      <bottom style="thin">
        <color rgb="FF000000"/>
      </bottom>
      <diagonal/>
    </border>
    <border>
      <left style="medium">
        <color rgb="FF000000"/>
      </left>
      <right style="medium">
        <color indexed="64"/>
      </right>
      <top style="thin">
        <color rgb="FF000000"/>
      </top>
      <bottom style="thin">
        <color rgb="FF000000"/>
      </bottom>
      <diagonal/>
    </border>
    <border>
      <left style="medium">
        <color indexed="64"/>
      </left>
      <right style="thin">
        <color rgb="FFC0C0C0"/>
      </right>
      <top style="thin">
        <color rgb="FF000000"/>
      </top>
      <bottom style="thin">
        <color rgb="FFC0C0C0"/>
      </bottom>
      <diagonal/>
    </border>
    <border>
      <left style="medium">
        <color indexed="64"/>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000000"/>
      </bottom>
      <diagonal/>
    </border>
    <border>
      <left style="medium">
        <color indexed="64"/>
      </left>
      <right/>
      <top/>
      <bottom style="thin">
        <color rgb="FF000000"/>
      </bottom>
      <diagonal/>
    </border>
    <border>
      <left style="medium">
        <color indexed="64"/>
      </left>
      <right style="thin">
        <color rgb="FFC0C0C0"/>
      </right>
      <top style="thin">
        <color rgb="FF000000"/>
      </top>
      <bottom style="medium">
        <color indexed="64"/>
      </bottom>
      <diagonal/>
    </border>
    <border>
      <left style="thin">
        <color rgb="FFC0C0C0"/>
      </left>
      <right/>
      <top style="thin">
        <color rgb="FF000000"/>
      </top>
      <bottom style="medium">
        <color indexed="64"/>
      </bottom>
      <diagonal/>
    </border>
    <border>
      <left style="medium">
        <color rgb="FF000000"/>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rgb="FF000000"/>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rgb="FF000000"/>
      </top>
      <bottom style="thin">
        <color rgb="FF000000"/>
      </bottom>
      <diagonal/>
    </border>
  </borders>
  <cellStyleXfs count="1">
    <xf numFmtId="0" fontId="0" fillId="0" borderId="0"/>
  </cellStyleXfs>
  <cellXfs count="2217">
    <xf numFmtId="0" fontId="0" fillId="0" borderId="0" xfId="0" applyFont="1" applyAlignment="1"/>
    <xf numFmtId="0" fontId="1" fillId="0" borderId="0" xfId="0" applyFont="1" applyAlignment="1"/>
    <xf numFmtId="0" fontId="2" fillId="0" borderId="1" xfId="0" applyFont="1" applyBorder="1" applyAlignment="1"/>
    <xf numFmtId="0" fontId="3" fillId="0" borderId="0" xfId="0" applyFont="1" applyAlignment="1"/>
    <xf numFmtId="0" fontId="2" fillId="0" borderId="0" xfId="0" applyFont="1" applyAlignment="1"/>
    <xf numFmtId="164" fontId="2" fillId="0" borderId="0" xfId="0" applyNumberFormat="1" applyFont="1" applyAlignment="1"/>
    <xf numFmtId="1" fontId="1" fillId="5" borderId="5" xfId="0" applyNumberFormat="1" applyFont="1" applyFill="1" applyBorder="1" applyAlignment="1">
      <alignment horizontal="center"/>
    </xf>
    <xf numFmtId="164" fontId="1" fillId="5" borderId="8" xfId="0" applyNumberFormat="1" applyFont="1" applyFill="1" applyBorder="1" applyAlignment="1">
      <alignment horizontal="center"/>
    </xf>
    <xf numFmtId="0" fontId="1" fillId="0" borderId="9" xfId="0" applyFont="1" applyBorder="1" applyAlignment="1"/>
    <xf numFmtId="0" fontId="2" fillId="0" borderId="10" xfId="0" applyFont="1" applyBorder="1" applyAlignment="1"/>
    <xf numFmtId="164" fontId="1" fillId="0" borderId="11" xfId="0" applyNumberFormat="1" applyFont="1" applyBorder="1" applyAlignment="1">
      <alignment horizontal="center"/>
    </xf>
    <xf numFmtId="0" fontId="2" fillId="0" borderId="12" xfId="0" applyFont="1" applyBorder="1" applyAlignment="1"/>
    <xf numFmtId="0" fontId="2" fillId="0" borderId="13" xfId="0" applyFont="1" applyBorder="1" applyAlignment="1"/>
    <xf numFmtId="164" fontId="1" fillId="5" borderId="8" xfId="0" applyNumberFormat="1" applyFont="1" applyFill="1" applyBorder="1" applyAlignment="1">
      <alignment horizontal="left"/>
    </xf>
    <xf numFmtId="0" fontId="2" fillId="0" borderId="14" xfId="0" applyFont="1" applyBorder="1" applyAlignment="1"/>
    <xf numFmtId="0" fontId="3" fillId="0" borderId="15" xfId="0" applyFont="1" applyBorder="1" applyAlignment="1"/>
    <xf numFmtId="164" fontId="2" fillId="5" borderId="8" xfId="0" applyNumberFormat="1" applyFont="1" applyFill="1" applyBorder="1" applyAlignment="1"/>
    <xf numFmtId="0" fontId="2" fillId="0" borderId="15" xfId="0" applyFont="1" applyBorder="1" applyAlignment="1">
      <alignment horizontal="left"/>
    </xf>
    <xf numFmtId="164" fontId="2" fillId="0" borderId="16" xfId="0" applyNumberFormat="1" applyFont="1" applyBorder="1" applyAlignment="1"/>
    <xf numFmtId="164" fontId="2" fillId="5" borderId="8" xfId="0" applyNumberFormat="1" applyFont="1" applyFill="1" applyBorder="1" applyAlignment="1">
      <alignment horizontal="center"/>
    </xf>
    <xf numFmtId="164" fontId="2" fillId="0" borderId="16" xfId="0" applyNumberFormat="1" applyFont="1" applyBorder="1" applyAlignment="1">
      <alignment horizontal="right"/>
    </xf>
    <xf numFmtId="0" fontId="2" fillId="0" borderId="17" xfId="0" applyFont="1" applyBorder="1" applyAlignment="1"/>
    <xf numFmtId="0" fontId="2" fillId="0" borderId="18" xfId="0" applyFont="1" applyBorder="1" applyAlignment="1"/>
    <xf numFmtId="164" fontId="1" fillId="5" borderId="11" xfId="0" applyNumberFormat="1" applyFont="1" applyFill="1" applyBorder="1" applyAlignment="1">
      <alignment horizontal="center"/>
    </xf>
    <xf numFmtId="0" fontId="2" fillId="0" borderId="13" xfId="0" applyFont="1" applyBorder="1" applyAlignment="1">
      <alignment horizontal="left"/>
    </xf>
    <xf numFmtId="0" fontId="2" fillId="0" borderId="18" xfId="0" applyFont="1" applyBorder="1" applyAlignment="1">
      <alignment horizontal="left"/>
    </xf>
    <xf numFmtId="165" fontId="2" fillId="0" borderId="16" xfId="0" applyNumberFormat="1" applyFont="1" applyBorder="1" applyAlignment="1">
      <alignment horizontal="center"/>
    </xf>
    <xf numFmtId="0" fontId="1" fillId="0" borderId="19" xfId="0" applyFont="1" applyBorder="1" applyAlignment="1"/>
    <xf numFmtId="0" fontId="1" fillId="0" borderId="10" xfId="0" applyFont="1" applyBorder="1" applyAlignment="1"/>
    <xf numFmtId="164" fontId="1" fillId="5" borderId="11" xfId="0" applyNumberFormat="1" applyFont="1" applyFill="1" applyBorder="1" applyAlignment="1">
      <alignment horizontal="center" wrapText="1"/>
    </xf>
    <xf numFmtId="0" fontId="2" fillId="0" borderId="15" xfId="0" applyFont="1" applyBorder="1" applyAlignment="1"/>
    <xf numFmtId="0" fontId="9" fillId="0" borderId="19" xfId="0" applyFont="1" applyBorder="1" applyAlignment="1"/>
    <xf numFmtId="0" fontId="1" fillId="0" borderId="22" xfId="0" applyFont="1" applyBorder="1" applyAlignment="1"/>
    <xf numFmtId="0" fontId="3" fillId="0" borderId="23" xfId="0" applyFont="1" applyBorder="1" applyAlignment="1"/>
    <xf numFmtId="164" fontId="2" fillId="5" borderId="11" xfId="0" applyNumberFormat="1" applyFont="1" applyFill="1" applyBorder="1" applyAlignment="1">
      <alignment horizontal="center"/>
    </xf>
    <xf numFmtId="0" fontId="1" fillId="0" borderId="12" xfId="0" applyFont="1" applyBorder="1" applyAlignment="1"/>
    <xf numFmtId="164" fontId="2" fillId="0" borderId="16" xfId="0" applyNumberFormat="1" applyFont="1" applyBorder="1" applyAlignment="1">
      <alignment horizontal="center"/>
    </xf>
    <xf numFmtId="0" fontId="1" fillId="0" borderId="14" xfId="0" applyFont="1" applyBorder="1" applyAlignment="1"/>
    <xf numFmtId="0" fontId="1" fillId="0" borderId="17" xfId="0" applyFont="1" applyBorder="1" applyAlignment="1"/>
    <xf numFmtId="0" fontId="2" fillId="0" borderId="24" xfId="0" applyFont="1" applyBorder="1" applyAlignment="1"/>
    <xf numFmtId="164" fontId="2" fillId="0" borderId="25" xfId="0" applyNumberFormat="1" applyFont="1" applyBorder="1" applyAlignment="1"/>
    <xf numFmtId="0" fontId="1" fillId="7" borderId="26" xfId="0" applyFont="1" applyFill="1" applyBorder="1" applyAlignment="1">
      <alignment horizontal="center"/>
    </xf>
    <xf numFmtId="0" fontId="1" fillId="0" borderId="0" xfId="0" applyFont="1" applyAlignment="1">
      <alignment horizontal="center"/>
    </xf>
    <xf numFmtId="0" fontId="2" fillId="0" borderId="27" xfId="0" applyFont="1" applyBorder="1" applyAlignment="1"/>
    <xf numFmtId="0" fontId="2" fillId="0" borderId="28" xfId="0" applyFont="1" applyBorder="1" applyAlignment="1"/>
    <xf numFmtId="0" fontId="2" fillId="0" borderId="5" xfId="0" applyFont="1" applyBorder="1" applyAlignment="1"/>
    <xf numFmtId="0" fontId="1" fillId="0" borderId="5" xfId="0" applyFont="1" applyBorder="1" applyAlignment="1"/>
    <xf numFmtId="0" fontId="2" fillId="0" borderId="30" xfId="0" applyFont="1" applyBorder="1" applyAlignment="1"/>
    <xf numFmtId="0" fontId="2" fillId="0" borderId="31" xfId="0" applyFont="1" applyBorder="1" applyAlignment="1"/>
    <xf numFmtId="0" fontId="1" fillId="8" borderId="32" xfId="0" applyFont="1" applyFill="1" applyBorder="1" applyAlignment="1">
      <alignment horizontal="center"/>
    </xf>
    <xf numFmtId="0" fontId="2" fillId="0" borderId="5" xfId="0" applyFont="1" applyBorder="1" applyAlignment="1">
      <alignment horizontal="center"/>
    </xf>
    <xf numFmtId="0" fontId="1" fillId="0" borderId="11" xfId="0" applyFont="1" applyBorder="1" applyAlignment="1"/>
    <xf numFmtId="0" fontId="2" fillId="0" borderId="11" xfId="0" applyFont="1" applyBorder="1" applyAlignment="1">
      <alignment horizontal="right"/>
    </xf>
    <xf numFmtId="166" fontId="2" fillId="0" borderId="11" xfId="0" applyNumberFormat="1" applyFont="1" applyBorder="1" applyAlignment="1"/>
    <xf numFmtId="0" fontId="2" fillId="0" borderId="11" xfId="0" applyFont="1" applyBorder="1" applyAlignment="1"/>
    <xf numFmtId="0" fontId="1" fillId="6" borderId="5" xfId="0" applyFont="1" applyFill="1" applyBorder="1" applyAlignment="1"/>
    <xf numFmtId="0" fontId="1" fillId="7" borderId="11" xfId="0" applyFont="1" applyFill="1" applyBorder="1" applyAlignment="1">
      <alignment horizontal="right"/>
    </xf>
    <xf numFmtId="166" fontId="10" fillId="7" borderId="11" xfId="0" applyNumberFormat="1" applyFont="1" applyFill="1" applyBorder="1" applyAlignment="1"/>
    <xf numFmtId="166" fontId="11" fillId="7" borderId="11" xfId="0" applyNumberFormat="1" applyFont="1" applyFill="1" applyBorder="1" applyAlignment="1"/>
    <xf numFmtId="166" fontId="12" fillId="7" borderId="11" xfId="0" applyNumberFormat="1" applyFont="1" applyFill="1" applyBorder="1" applyAlignment="1">
      <alignment horizontal="center"/>
    </xf>
    <xf numFmtId="0" fontId="2" fillId="7" borderId="11" xfId="0" applyFont="1" applyFill="1" applyBorder="1" applyAlignment="1"/>
    <xf numFmtId="0" fontId="1" fillId="9" borderId="11" xfId="0" applyFont="1" applyFill="1" applyBorder="1" applyAlignment="1"/>
    <xf numFmtId="167" fontId="2" fillId="9" borderId="11" xfId="0" applyNumberFormat="1" applyFont="1" applyFill="1" applyBorder="1" applyAlignment="1"/>
    <xf numFmtId="166" fontId="2" fillId="9" borderId="11" xfId="0" applyNumberFormat="1" applyFont="1" applyFill="1" applyBorder="1" applyAlignment="1"/>
    <xf numFmtId="165" fontId="2" fillId="9" borderId="11" xfId="0" applyNumberFormat="1" applyFont="1" applyFill="1" applyBorder="1" applyAlignment="1"/>
    <xf numFmtId="165" fontId="2" fillId="0" borderId="0" xfId="0" applyNumberFormat="1" applyFont="1" applyAlignment="1"/>
    <xf numFmtId="167" fontId="2" fillId="0" borderId="11" xfId="0" applyNumberFormat="1" applyFont="1" applyBorder="1" applyAlignment="1"/>
    <xf numFmtId="165" fontId="2" fillId="0" borderId="11" xfId="0" applyNumberFormat="1" applyFont="1" applyBorder="1" applyAlignment="1"/>
    <xf numFmtId="0" fontId="2" fillId="0" borderId="33" xfId="0" applyFont="1" applyBorder="1" applyAlignment="1"/>
    <xf numFmtId="0" fontId="1" fillId="0" borderId="33" xfId="0" applyFont="1" applyBorder="1" applyAlignment="1"/>
    <xf numFmtId="167" fontId="2" fillId="0" borderId="33" xfId="0" applyNumberFormat="1" applyFont="1" applyBorder="1" applyAlignment="1"/>
    <xf numFmtId="165" fontId="2" fillId="0" borderId="33" xfId="0" applyNumberFormat="1" applyFont="1" applyBorder="1" applyAlignment="1"/>
    <xf numFmtId="168" fontId="2" fillId="0" borderId="33" xfId="0" applyNumberFormat="1" applyFont="1" applyBorder="1" applyAlignment="1"/>
    <xf numFmtId="0" fontId="2" fillId="6" borderId="5" xfId="0" applyFont="1" applyFill="1" applyBorder="1" applyAlignment="1"/>
    <xf numFmtId="166" fontId="2" fillId="6" borderId="5" xfId="0" applyNumberFormat="1" applyFont="1" applyFill="1" applyBorder="1" applyAlignment="1"/>
    <xf numFmtId="0" fontId="1" fillId="8" borderId="11" xfId="0" applyFont="1" applyFill="1" applyBorder="1" applyAlignment="1">
      <alignment horizontal="center"/>
    </xf>
    <xf numFmtId="0" fontId="2" fillId="8" borderId="11" xfId="0" applyFont="1" applyFill="1" applyBorder="1" applyAlignment="1"/>
    <xf numFmtId="0" fontId="2" fillId="0" borderId="11" xfId="0" applyFont="1" applyBorder="1" applyAlignment="1">
      <alignment horizontal="center"/>
    </xf>
    <xf numFmtId="0" fontId="1" fillId="6" borderId="11" xfId="0" applyFont="1" applyFill="1" applyBorder="1" applyAlignment="1"/>
    <xf numFmtId="166" fontId="12" fillId="7" borderId="11" xfId="0" applyNumberFormat="1" applyFont="1" applyFill="1" applyBorder="1" applyAlignment="1"/>
    <xf numFmtId="0" fontId="1" fillId="0" borderId="11" xfId="0" applyFont="1" applyBorder="1" applyAlignment="1">
      <alignment horizontal="right"/>
    </xf>
    <xf numFmtId="166" fontId="13" fillId="0" borderId="11" xfId="0" applyNumberFormat="1" applyFont="1" applyBorder="1" applyAlignment="1"/>
    <xf numFmtId="166" fontId="12" fillId="0" borderId="11" xfId="0" applyNumberFormat="1" applyFont="1" applyBorder="1" applyAlignment="1"/>
    <xf numFmtId="0" fontId="2" fillId="6" borderId="8" xfId="0" applyFont="1" applyFill="1" applyBorder="1" applyAlignment="1"/>
    <xf numFmtId="166" fontId="2" fillId="6" borderId="34" xfId="0" applyNumberFormat="1" applyFont="1" applyFill="1" applyBorder="1" applyAlignment="1"/>
    <xf numFmtId="0" fontId="2" fillId="6" borderId="34" xfId="0" applyFont="1" applyFill="1" applyBorder="1" applyAlignment="1"/>
    <xf numFmtId="0" fontId="2" fillId="0" borderId="16" xfId="0" applyFont="1" applyBorder="1" applyAlignment="1"/>
    <xf numFmtId="0" fontId="1" fillId="0" borderId="16" xfId="0" applyFont="1" applyBorder="1" applyAlignment="1"/>
    <xf numFmtId="0" fontId="2" fillId="0" borderId="16" xfId="0" applyFont="1" applyBorder="1" applyAlignment="1">
      <alignment horizontal="right"/>
    </xf>
    <xf numFmtId="0" fontId="1" fillId="6" borderId="8" xfId="0" applyFont="1" applyFill="1" applyBorder="1" applyAlignment="1"/>
    <xf numFmtId="0" fontId="1" fillId="7" borderId="8" xfId="0" applyFont="1" applyFill="1" applyBorder="1" applyAlignment="1">
      <alignment horizontal="right"/>
    </xf>
    <xf numFmtId="0" fontId="1" fillId="0" borderId="16" xfId="0" applyFont="1" applyBorder="1" applyAlignment="1">
      <alignment horizontal="right"/>
    </xf>
    <xf numFmtId="0" fontId="1" fillId="9" borderId="8" xfId="0" applyFont="1" applyFill="1" applyBorder="1" applyAlignment="1"/>
    <xf numFmtId="169" fontId="2" fillId="9" borderId="11" xfId="0" applyNumberFormat="1" applyFont="1" applyFill="1" applyBorder="1" applyAlignment="1"/>
    <xf numFmtId="168" fontId="2" fillId="0" borderId="11" xfId="0" applyNumberFormat="1" applyFont="1" applyBorder="1" applyAlignment="1"/>
    <xf numFmtId="0" fontId="2" fillId="6" borderId="35" xfId="0" applyFont="1" applyFill="1" applyBorder="1" applyAlignment="1"/>
    <xf numFmtId="166" fontId="2" fillId="6" borderId="33" xfId="0" applyNumberFormat="1" applyFont="1" applyFill="1" applyBorder="1" applyAlignment="1"/>
    <xf numFmtId="0" fontId="2" fillId="6" borderId="33" xfId="0" applyFont="1" applyFill="1" applyBorder="1" applyAlignment="1"/>
    <xf numFmtId="166" fontId="2" fillId="0" borderId="0" xfId="0" applyNumberFormat="1" applyFont="1" applyAlignment="1"/>
    <xf numFmtId="0" fontId="2" fillId="0" borderId="36" xfId="0" applyFont="1" applyBorder="1" applyAlignment="1"/>
    <xf numFmtId="0" fontId="2" fillId="0" borderId="37" xfId="0" applyFont="1" applyBorder="1" applyAlignment="1"/>
    <xf numFmtId="0" fontId="1" fillId="8" borderId="37" xfId="0" applyFont="1" applyFill="1" applyBorder="1" applyAlignment="1">
      <alignment horizontal="center"/>
    </xf>
    <xf numFmtId="0" fontId="2" fillId="8" borderId="37" xfId="0" applyFont="1" applyFill="1" applyBorder="1" applyAlignment="1"/>
    <xf numFmtId="0" fontId="2" fillId="8" borderId="38" xfId="0" applyFont="1" applyFill="1" applyBorder="1" applyAlignment="1"/>
    <xf numFmtId="0" fontId="2" fillId="0" borderId="39" xfId="0" applyFont="1" applyBorder="1" applyAlignment="1"/>
    <xf numFmtId="0" fontId="1" fillId="0" borderId="2" xfId="0" applyFont="1" applyBorder="1" applyAlignment="1"/>
    <xf numFmtId="0" fontId="2" fillId="0" borderId="2" xfId="0" applyFont="1" applyBorder="1" applyAlignment="1">
      <alignment horizontal="center"/>
    </xf>
    <xf numFmtId="0" fontId="2" fillId="0" borderId="2" xfId="0" applyFont="1" applyBorder="1" applyAlignment="1"/>
    <xf numFmtId="0" fontId="2" fillId="0" borderId="40" xfId="0" applyFont="1" applyBorder="1" applyAlignment="1"/>
    <xf numFmtId="0" fontId="2" fillId="0" borderId="41" xfId="0" applyFont="1" applyBorder="1" applyAlignment="1"/>
    <xf numFmtId="0" fontId="2" fillId="0" borderId="42" xfId="0" applyFont="1" applyBorder="1" applyAlignment="1"/>
    <xf numFmtId="166" fontId="2" fillId="0" borderId="42" xfId="0" applyNumberFormat="1" applyFont="1" applyBorder="1" applyAlignment="1"/>
    <xf numFmtId="0" fontId="2" fillId="0" borderId="43" xfId="0" applyFont="1" applyBorder="1" applyAlignment="1"/>
    <xf numFmtId="0" fontId="1" fillId="6" borderId="44" xfId="0" applyFont="1" applyFill="1" applyBorder="1" applyAlignment="1"/>
    <xf numFmtId="0" fontId="1" fillId="6" borderId="45" xfId="0" applyFont="1" applyFill="1" applyBorder="1" applyAlignment="1"/>
    <xf numFmtId="0" fontId="1" fillId="6" borderId="46" xfId="0" applyFont="1" applyFill="1" applyBorder="1" applyAlignment="1"/>
    <xf numFmtId="0" fontId="1" fillId="0" borderId="47" xfId="0" applyFont="1" applyBorder="1" applyAlignment="1"/>
    <xf numFmtId="0" fontId="1" fillId="6" borderId="50" xfId="0" applyFont="1" applyFill="1" applyBorder="1" applyAlignment="1"/>
    <xf numFmtId="0" fontId="1" fillId="6" borderId="35" xfId="0" applyFont="1" applyFill="1" applyBorder="1" applyAlignment="1"/>
    <xf numFmtId="0" fontId="1" fillId="6" borderId="51" xfId="0" applyFont="1" applyFill="1" applyBorder="1" applyAlignment="1"/>
    <xf numFmtId="0" fontId="4" fillId="2" borderId="2" xfId="0" applyFont="1" applyFill="1" applyBorder="1" applyAlignment="1"/>
    <xf numFmtId="0" fontId="1" fillId="0" borderId="52" xfId="0" applyFont="1" applyBorder="1" applyAlignment="1"/>
    <xf numFmtId="0" fontId="1" fillId="0" borderId="53" xfId="0" applyFont="1" applyBorder="1" applyAlignment="1"/>
    <xf numFmtId="0" fontId="1" fillId="0" borderId="54" xfId="0" applyFont="1" applyBorder="1" applyAlignment="1"/>
    <xf numFmtId="0" fontId="5" fillId="2" borderId="2" xfId="0" applyFont="1" applyFill="1" applyBorder="1" applyAlignment="1"/>
    <xf numFmtId="0" fontId="5" fillId="2" borderId="2" xfId="0" applyFont="1" applyFill="1" applyBorder="1" applyAlignment="1">
      <alignment horizontal="right"/>
    </xf>
    <xf numFmtId="0" fontId="2" fillId="0" borderId="55" xfId="0" applyFont="1" applyBorder="1" applyAlignment="1"/>
    <xf numFmtId="170" fontId="2" fillId="0" borderId="56" xfId="0" applyNumberFormat="1" applyFont="1" applyBorder="1" applyAlignment="1"/>
    <xf numFmtId="2" fontId="2" fillId="0" borderId="47" xfId="0" applyNumberFormat="1" applyFont="1" applyBorder="1" applyAlignment="1"/>
    <xf numFmtId="3" fontId="5" fillId="2" borderId="2" xfId="0" applyNumberFormat="1" applyFont="1" applyFill="1" applyBorder="1" applyAlignment="1">
      <alignment horizontal="right"/>
    </xf>
    <xf numFmtId="0" fontId="2" fillId="0" borderId="57" xfId="0" applyFont="1" applyBorder="1" applyAlignment="1"/>
    <xf numFmtId="0" fontId="1" fillId="0" borderId="58" xfId="0" applyFont="1" applyBorder="1" applyAlignment="1"/>
    <xf numFmtId="166" fontId="1" fillId="0" borderId="58" xfId="0" applyNumberFormat="1" applyFont="1" applyBorder="1" applyAlignment="1"/>
    <xf numFmtId="170" fontId="1" fillId="0" borderId="59" xfId="0" applyNumberFormat="1" applyFont="1" applyBorder="1" applyAlignment="1"/>
    <xf numFmtId="2" fontId="1" fillId="0" borderId="47" xfId="0" applyNumberFormat="1" applyFont="1" applyBorder="1" applyAlignment="1"/>
    <xf numFmtId="0" fontId="1" fillId="6" borderId="60" xfId="0" applyFont="1" applyFill="1" applyBorder="1" applyAlignment="1"/>
    <xf numFmtId="166" fontId="1" fillId="6" borderId="61" xfId="0" applyNumberFormat="1" applyFont="1" applyFill="1" applyBorder="1" applyAlignment="1"/>
    <xf numFmtId="166" fontId="1" fillId="6" borderId="62" xfId="0" applyNumberFormat="1" applyFont="1" applyFill="1" applyBorder="1" applyAlignment="1"/>
    <xf numFmtId="170" fontId="1" fillId="6" borderId="63" xfId="0" applyNumberFormat="1" applyFont="1" applyFill="1" applyBorder="1" applyAlignment="1"/>
    <xf numFmtId="171" fontId="1" fillId="0" borderId="47" xfId="0" applyNumberFormat="1" applyFont="1" applyBorder="1" applyAlignment="1"/>
    <xf numFmtId="0" fontId="2" fillId="0" borderId="64" xfId="0" applyFont="1" applyBorder="1" applyAlignment="1"/>
    <xf numFmtId="0" fontId="2" fillId="0" borderId="65" xfId="0" applyFont="1" applyBorder="1" applyAlignment="1"/>
    <xf numFmtId="0" fontId="2" fillId="0" borderId="66" xfId="0" applyFont="1" applyBorder="1" applyAlignment="1"/>
    <xf numFmtId="0" fontId="2" fillId="0" borderId="47" xfId="0" applyFont="1" applyBorder="1" applyAlignment="1"/>
    <xf numFmtId="0" fontId="1" fillId="6" borderId="67" xfId="0" applyFont="1" applyFill="1" applyBorder="1" applyAlignment="1"/>
    <xf numFmtId="0" fontId="1" fillId="6" borderId="68" xfId="0" applyFont="1" applyFill="1" applyBorder="1" applyAlignment="1"/>
    <xf numFmtId="0" fontId="1" fillId="6" borderId="69" xfId="0" applyFont="1" applyFill="1" applyBorder="1" applyAlignment="1"/>
    <xf numFmtId="0" fontId="1" fillId="10" borderId="60" xfId="0" applyFont="1" applyFill="1" applyBorder="1" applyAlignment="1"/>
    <xf numFmtId="166" fontId="1" fillId="10" borderId="61" xfId="0" applyNumberFormat="1" applyFont="1" applyFill="1" applyBorder="1" applyAlignment="1"/>
    <xf numFmtId="172" fontId="1" fillId="10" borderId="61" xfId="0" applyNumberFormat="1" applyFont="1" applyFill="1" applyBorder="1" applyAlignment="1"/>
    <xf numFmtId="168" fontId="1" fillId="10" borderId="61" xfId="0" applyNumberFormat="1" applyFont="1" applyFill="1" applyBorder="1" applyAlignment="1"/>
    <xf numFmtId="170" fontId="1" fillId="10" borderId="70" xfId="0" applyNumberFormat="1" applyFont="1" applyFill="1" applyBorder="1" applyAlignment="1"/>
    <xf numFmtId="0" fontId="2" fillId="0" borderId="71" xfId="0" applyFont="1" applyBorder="1" applyAlignment="1"/>
    <xf numFmtId="0" fontId="2" fillId="0" borderId="72" xfId="0" applyFont="1" applyBorder="1" applyAlignment="1"/>
    <xf numFmtId="0" fontId="2" fillId="0" borderId="73" xfId="0" applyFont="1" applyBorder="1" applyAlignment="1"/>
    <xf numFmtId="172" fontId="2" fillId="0" borderId="11" xfId="0" applyNumberFormat="1" applyFont="1" applyBorder="1" applyAlignment="1"/>
    <xf numFmtId="0" fontId="1" fillId="11" borderId="60" xfId="0" applyFont="1" applyFill="1" applyBorder="1" applyAlignment="1"/>
    <xf numFmtId="166" fontId="1" fillId="11" borderId="61" xfId="0" applyNumberFormat="1" applyFont="1" applyFill="1" applyBorder="1" applyAlignment="1"/>
    <xf numFmtId="172" fontId="1" fillId="11" borderId="61" xfId="0" applyNumberFormat="1" applyFont="1" applyFill="1" applyBorder="1" applyAlignment="1"/>
    <xf numFmtId="171" fontId="1" fillId="11" borderId="70" xfId="0" applyNumberFormat="1" applyFont="1" applyFill="1" applyBorder="1" applyAlignment="1"/>
    <xf numFmtId="0" fontId="1" fillId="12" borderId="26" xfId="0" applyFont="1" applyFill="1" applyBorder="1" applyAlignment="1">
      <alignment horizontal="center"/>
    </xf>
    <xf numFmtId="0" fontId="1" fillId="0" borderId="36" xfId="0" applyFont="1" applyBorder="1" applyAlignment="1"/>
    <xf numFmtId="0" fontId="2" fillId="0" borderId="37" xfId="0" applyFont="1" applyBorder="1" applyAlignment="1">
      <alignment horizontal="center"/>
    </xf>
    <xf numFmtId="171" fontId="2" fillId="0" borderId="38" xfId="0" applyNumberFormat="1" applyFont="1" applyBorder="1" applyAlignment="1"/>
    <xf numFmtId="0" fontId="1" fillId="0" borderId="39" xfId="0" applyFont="1" applyBorder="1" applyAlignment="1"/>
    <xf numFmtId="173" fontId="2" fillId="0" borderId="40" xfId="0" applyNumberFormat="1" applyFont="1" applyBorder="1" applyAlignment="1"/>
    <xf numFmtId="174" fontId="2" fillId="0" borderId="40" xfId="0" applyNumberFormat="1" applyFont="1" applyBorder="1" applyAlignment="1"/>
    <xf numFmtId="0" fontId="1" fillId="0" borderId="42" xfId="0" applyFont="1" applyBorder="1" applyAlignment="1">
      <alignment horizontal="center"/>
    </xf>
    <xf numFmtId="0" fontId="1" fillId="0" borderId="43" xfId="0" applyFont="1" applyBorder="1" applyAlignment="1">
      <alignment horizontal="center"/>
    </xf>
    <xf numFmtId="0" fontId="1" fillId="0" borderId="5" xfId="0" applyFont="1" applyBorder="1" applyAlignment="1">
      <alignment horizontal="center"/>
    </xf>
    <xf numFmtId="0" fontId="1" fillId="0" borderId="29" xfId="0" applyFont="1" applyBorder="1" applyAlignment="1">
      <alignment horizontal="center"/>
    </xf>
    <xf numFmtId="0" fontId="1" fillId="8" borderId="74" xfId="0" applyFont="1" applyFill="1" applyBorder="1" applyAlignment="1">
      <alignment horizontal="center"/>
    </xf>
    <xf numFmtId="0" fontId="2" fillId="0" borderId="75" xfId="0" applyFont="1" applyBorder="1" applyAlignment="1"/>
    <xf numFmtId="0" fontId="2" fillId="0" borderId="76" xfId="0" applyFont="1" applyBorder="1" applyAlignment="1"/>
    <xf numFmtId="0" fontId="2" fillId="0" borderId="77" xfId="0" applyFont="1" applyBorder="1" applyAlignment="1"/>
    <xf numFmtId="0" fontId="2" fillId="0" borderId="58" xfId="0" applyFont="1" applyBorder="1" applyAlignment="1">
      <alignment horizontal="center"/>
    </xf>
    <xf numFmtId="0" fontId="2" fillId="0" borderId="78" xfId="0" applyFont="1" applyBorder="1" applyAlignment="1">
      <alignment horizontal="center"/>
    </xf>
    <xf numFmtId="0" fontId="2" fillId="6" borderId="79" xfId="0" applyFont="1" applyFill="1" applyBorder="1" applyAlignment="1"/>
    <xf numFmtId="0" fontId="2" fillId="6" borderId="80" xfId="0" applyFont="1" applyFill="1" applyBorder="1" applyAlignment="1"/>
    <xf numFmtId="0" fontId="2" fillId="6" borderId="81" xfId="0" applyFont="1" applyFill="1" applyBorder="1" applyAlignment="1"/>
    <xf numFmtId="0" fontId="1" fillId="6" borderId="82" xfId="0" applyFont="1" applyFill="1" applyBorder="1" applyAlignment="1"/>
    <xf numFmtId="0" fontId="2" fillId="6" borderId="26" xfId="0" applyFont="1" applyFill="1" applyBorder="1" applyAlignment="1">
      <alignment horizontal="right"/>
    </xf>
    <xf numFmtId="166" fontId="2" fillId="6" borderId="11" xfId="0" applyNumberFormat="1" applyFont="1" applyFill="1" applyBorder="1" applyAlignment="1"/>
    <xf numFmtId="166" fontId="2" fillId="6" borderId="74" xfId="0" applyNumberFormat="1" applyFont="1" applyFill="1" applyBorder="1" applyAlignment="1"/>
    <xf numFmtId="166" fontId="1" fillId="6" borderId="11" xfId="0" applyNumberFormat="1" applyFont="1" applyFill="1" applyBorder="1" applyAlignment="1"/>
    <xf numFmtId="0" fontId="2" fillId="6" borderId="82" xfId="0" applyFont="1" applyFill="1" applyBorder="1" applyAlignment="1"/>
    <xf numFmtId="0" fontId="2" fillId="7" borderId="69" xfId="0" applyFont="1" applyFill="1" applyBorder="1" applyAlignment="1"/>
    <xf numFmtId="0" fontId="2" fillId="7" borderId="83" xfId="0" applyFont="1" applyFill="1" applyBorder="1" applyAlignment="1">
      <alignment horizontal="right"/>
    </xf>
    <xf numFmtId="166" fontId="12" fillId="7" borderId="33" xfId="0" applyNumberFormat="1" applyFont="1" applyFill="1" applyBorder="1" applyAlignment="1"/>
    <xf numFmtId="166" fontId="13" fillId="7" borderId="33" xfId="0" applyNumberFormat="1" applyFont="1" applyFill="1" applyBorder="1" applyAlignment="1"/>
    <xf numFmtId="166" fontId="2" fillId="7" borderId="33" xfId="0" applyNumberFormat="1" applyFont="1" applyFill="1" applyBorder="1" applyAlignment="1"/>
    <xf numFmtId="166" fontId="12" fillId="7" borderId="84" xfId="0" applyNumberFormat="1" applyFont="1" applyFill="1" applyBorder="1" applyAlignment="1"/>
    <xf numFmtId="166" fontId="2" fillId="0" borderId="85" xfId="0" applyNumberFormat="1" applyFont="1" applyBorder="1" applyAlignment="1"/>
    <xf numFmtId="166" fontId="2" fillId="0" borderId="86" xfId="0" applyNumberFormat="1" applyFont="1" applyBorder="1" applyAlignment="1"/>
    <xf numFmtId="166" fontId="1" fillId="9" borderId="11" xfId="0" applyNumberFormat="1" applyFont="1" applyFill="1" applyBorder="1" applyAlignment="1"/>
    <xf numFmtId="10" fontId="2" fillId="9" borderId="11" xfId="0" applyNumberFormat="1" applyFont="1" applyFill="1" applyBorder="1" applyAlignment="1"/>
    <xf numFmtId="166" fontId="1" fillId="13" borderId="74" xfId="0" applyNumberFormat="1" applyFont="1" applyFill="1" applyBorder="1" applyAlignment="1"/>
    <xf numFmtId="0" fontId="1" fillId="14" borderId="82" xfId="0" applyFont="1" applyFill="1" applyBorder="1" applyAlignment="1"/>
    <xf numFmtId="0" fontId="1" fillId="0" borderId="87" xfId="0" applyFont="1" applyBorder="1" applyAlignment="1"/>
    <xf numFmtId="10" fontId="2" fillId="0" borderId="11" xfId="0" applyNumberFormat="1" applyFont="1" applyBorder="1" applyAlignment="1"/>
    <xf numFmtId="165" fontId="1" fillId="13" borderId="74" xfId="0" applyNumberFormat="1" applyFont="1" applyFill="1" applyBorder="1" applyAlignment="1"/>
    <xf numFmtId="0" fontId="1" fillId="0" borderId="88" xfId="0" applyFont="1" applyBorder="1" applyAlignment="1"/>
    <xf numFmtId="166" fontId="2" fillId="0" borderId="33" xfId="0" applyNumberFormat="1" applyFont="1" applyBorder="1" applyAlignment="1"/>
    <xf numFmtId="175" fontId="2" fillId="0" borderId="33" xfId="0" applyNumberFormat="1" applyFont="1" applyBorder="1" applyAlignment="1"/>
    <xf numFmtId="10" fontId="2" fillId="0" borderId="33" xfId="0" applyNumberFormat="1" applyFont="1" applyBorder="1" applyAlignment="1"/>
    <xf numFmtId="165" fontId="1" fillId="13" borderId="84" xfId="0" applyNumberFormat="1" applyFont="1" applyFill="1" applyBorder="1" applyAlignment="1"/>
    <xf numFmtId="166" fontId="2" fillId="0" borderId="16" xfId="0" applyNumberFormat="1" applyFont="1" applyBorder="1" applyAlignment="1"/>
    <xf numFmtId="166" fontId="2" fillId="0" borderId="31" xfId="0" applyNumberFormat="1" applyFont="1" applyBorder="1" applyAlignment="1"/>
    <xf numFmtId="0" fontId="2" fillId="0" borderId="89" xfId="0" applyFont="1" applyBorder="1" applyAlignment="1"/>
    <xf numFmtId="0" fontId="1" fillId="9" borderId="90" xfId="0" applyFont="1" applyFill="1" applyBorder="1" applyAlignment="1"/>
    <xf numFmtId="0" fontId="1" fillId="9" borderId="79" xfId="0" applyFont="1" applyFill="1" applyBorder="1" applyAlignment="1"/>
    <xf numFmtId="166" fontId="2" fillId="9" borderId="91" xfId="0" applyNumberFormat="1" applyFont="1" applyFill="1" applyBorder="1" applyAlignment="1"/>
    <xf numFmtId="166" fontId="1" fillId="9" borderId="91" xfId="0" applyNumberFormat="1" applyFont="1" applyFill="1" applyBorder="1" applyAlignment="1"/>
    <xf numFmtId="10" fontId="2" fillId="9" borderId="91" xfId="0" applyNumberFormat="1" applyFont="1" applyFill="1" applyBorder="1" applyAlignment="1"/>
    <xf numFmtId="166" fontId="1" fillId="13" borderId="92" xfId="0" applyNumberFormat="1" applyFont="1" applyFill="1" applyBorder="1" applyAlignment="1"/>
    <xf numFmtId="0" fontId="1" fillId="0" borderId="30" xfId="0" applyFont="1" applyBorder="1" applyAlignment="1"/>
    <xf numFmtId="168" fontId="2" fillId="0" borderId="16" xfId="0" applyNumberFormat="1" applyFont="1" applyBorder="1" applyAlignment="1"/>
    <xf numFmtId="165" fontId="2" fillId="0" borderId="16" xfId="0" applyNumberFormat="1" applyFont="1" applyBorder="1" applyAlignment="1"/>
    <xf numFmtId="10" fontId="2" fillId="0" borderId="16" xfId="0" applyNumberFormat="1" applyFont="1" applyBorder="1" applyAlignment="1"/>
    <xf numFmtId="165" fontId="1" fillId="13" borderId="93" xfId="0" applyNumberFormat="1" applyFont="1" applyFill="1" applyBorder="1" applyAlignment="1"/>
    <xf numFmtId="0" fontId="1" fillId="0" borderId="76" xfId="0" applyFont="1" applyBorder="1" applyAlignment="1"/>
    <xf numFmtId="166" fontId="2" fillId="0" borderId="25" xfId="0" applyNumberFormat="1" applyFont="1" applyBorder="1" applyAlignment="1"/>
    <xf numFmtId="165" fontId="2" fillId="0" borderId="25" xfId="0" applyNumberFormat="1" applyFont="1" applyBorder="1" applyAlignment="1"/>
    <xf numFmtId="175" fontId="2" fillId="0" borderId="25" xfId="0" applyNumberFormat="1" applyFont="1" applyBorder="1" applyAlignment="1"/>
    <xf numFmtId="10" fontId="2" fillId="0" borderId="25" xfId="0" applyNumberFormat="1" applyFont="1" applyBorder="1" applyAlignment="1"/>
    <xf numFmtId="165" fontId="1" fillId="13" borderId="94" xfId="0" applyNumberFormat="1" applyFont="1" applyFill="1" applyBorder="1" applyAlignment="1"/>
    <xf numFmtId="0" fontId="2" fillId="0" borderId="3" xfId="0" applyFont="1" applyBorder="1" applyAlignment="1"/>
    <xf numFmtId="0" fontId="2" fillId="0" borderId="4" xfId="0" applyFont="1" applyBorder="1" applyAlignment="1"/>
    <xf numFmtId="166" fontId="2" fillId="0" borderId="4" xfId="0" applyNumberFormat="1" applyFont="1" applyBorder="1" applyAlignment="1"/>
    <xf numFmtId="166" fontId="2" fillId="0" borderId="95" xfId="0" applyNumberFormat="1" applyFont="1" applyBorder="1" applyAlignment="1"/>
    <xf numFmtId="0" fontId="1" fillId="0" borderId="96" xfId="0" applyFont="1" applyBorder="1" applyAlignment="1"/>
    <xf numFmtId="0" fontId="2" fillId="0" borderId="97" xfId="0" applyFont="1" applyBorder="1" applyAlignment="1"/>
    <xf numFmtId="166" fontId="2" fillId="0" borderId="2" xfId="0" applyNumberFormat="1" applyFont="1" applyBorder="1" applyAlignment="1"/>
    <xf numFmtId="170" fontId="2" fillId="0" borderId="98" xfId="0" applyNumberFormat="1" applyFont="1" applyBorder="1" applyAlignment="1"/>
    <xf numFmtId="170" fontId="2" fillId="0" borderId="47" xfId="0" applyNumberFormat="1" applyFont="1" applyBorder="1" applyAlignment="1"/>
    <xf numFmtId="0" fontId="2" fillId="0" borderId="99" xfId="0" applyFont="1" applyBorder="1" applyAlignment="1"/>
    <xf numFmtId="0" fontId="1" fillId="0" borderId="100" xfId="0" applyFont="1" applyBorder="1" applyAlignment="1"/>
    <xf numFmtId="166" fontId="1" fillId="0" borderId="100" xfId="0" applyNumberFormat="1" applyFont="1" applyBorder="1" applyAlignment="1"/>
    <xf numFmtId="170" fontId="1" fillId="0" borderId="48" xfId="0" applyNumberFormat="1" applyFont="1" applyBorder="1" applyAlignment="1"/>
    <xf numFmtId="0" fontId="1" fillId="6" borderId="101" xfId="0" applyFont="1" applyFill="1" applyBorder="1" applyAlignment="1"/>
    <xf numFmtId="170" fontId="1" fillId="6" borderId="102" xfId="0" applyNumberFormat="1" applyFont="1" applyFill="1" applyBorder="1" applyAlignment="1"/>
    <xf numFmtId="170" fontId="1" fillId="0" borderId="47" xfId="0" applyNumberFormat="1" applyFont="1" applyBorder="1" applyAlignment="1"/>
    <xf numFmtId="0" fontId="2" fillId="0" borderId="103" xfId="0" applyFont="1" applyBorder="1" applyAlignment="1"/>
    <xf numFmtId="0" fontId="2" fillId="0" borderId="104" xfId="0" applyFont="1" applyBorder="1" applyAlignment="1"/>
    <xf numFmtId="0" fontId="2" fillId="0" borderId="105" xfId="0" applyFont="1" applyBorder="1" applyAlignment="1"/>
    <xf numFmtId="168" fontId="2" fillId="0" borderId="2" xfId="0" applyNumberFormat="1" applyFont="1" applyBorder="1" applyAlignment="1"/>
    <xf numFmtId="171" fontId="2" fillId="0" borderId="98" xfId="0" applyNumberFormat="1" applyFont="1" applyBorder="1" applyAlignment="1"/>
    <xf numFmtId="172" fontId="2" fillId="0" borderId="2" xfId="0" applyNumberFormat="1" applyFont="1" applyBorder="1" applyAlignment="1"/>
    <xf numFmtId="2" fontId="1" fillId="0" borderId="48" xfId="0" applyNumberFormat="1" applyFont="1" applyBorder="1" applyAlignment="1"/>
    <xf numFmtId="0" fontId="1" fillId="10" borderId="101" xfId="0" applyFont="1" applyFill="1" applyBorder="1" applyAlignment="1"/>
    <xf numFmtId="166" fontId="1" fillId="10" borderId="62" xfId="0" applyNumberFormat="1" applyFont="1" applyFill="1" applyBorder="1" applyAlignment="1"/>
    <xf numFmtId="168" fontId="1" fillId="10" borderId="62" xfId="0" applyNumberFormat="1" applyFont="1" applyFill="1" applyBorder="1" applyAlignment="1"/>
    <xf numFmtId="171" fontId="1" fillId="10" borderId="102" xfId="0" applyNumberFormat="1" applyFont="1" applyFill="1" applyBorder="1" applyAlignment="1"/>
    <xf numFmtId="165" fontId="2" fillId="0" borderId="2" xfId="0" applyNumberFormat="1" applyFont="1" applyBorder="1" applyAlignment="1"/>
    <xf numFmtId="164" fontId="2" fillId="0" borderId="98" xfId="0" applyNumberFormat="1" applyFont="1" applyBorder="1" applyAlignment="1"/>
    <xf numFmtId="165" fontId="1" fillId="0" borderId="100" xfId="0" applyNumberFormat="1" applyFont="1" applyBorder="1" applyAlignment="1"/>
    <xf numFmtId="0" fontId="1" fillId="11" borderId="101" xfId="0" applyFont="1" applyFill="1" applyBorder="1" applyAlignment="1"/>
    <xf numFmtId="166" fontId="1" fillId="11" borderId="62" xfId="0" applyNumberFormat="1" applyFont="1" applyFill="1" applyBorder="1" applyAlignment="1"/>
    <xf numFmtId="165" fontId="1" fillId="11" borderId="62" xfId="0" applyNumberFormat="1" applyFont="1" applyFill="1" applyBorder="1" applyAlignment="1"/>
    <xf numFmtId="170" fontId="1" fillId="11" borderId="102" xfId="0" applyNumberFormat="1" applyFont="1" applyFill="1" applyBorder="1" applyAlignment="1"/>
    <xf numFmtId="0" fontId="2" fillId="0" borderId="0" xfId="0" applyFont="1" applyAlignment="1">
      <alignment vertical="top"/>
    </xf>
    <xf numFmtId="0" fontId="14" fillId="0" borderId="0" xfId="0" applyFont="1" applyAlignment="1"/>
    <xf numFmtId="0" fontId="15" fillId="12" borderId="26" xfId="0" applyFont="1" applyFill="1" applyBorder="1" applyAlignment="1"/>
    <xf numFmtId="0" fontId="2" fillId="12" borderId="26" xfId="0" applyFont="1" applyFill="1" applyBorder="1" applyAlignment="1"/>
    <xf numFmtId="0" fontId="2" fillId="8" borderId="26" xfId="0" applyFont="1" applyFill="1" applyBorder="1" applyAlignment="1"/>
    <xf numFmtId="0" fontId="16" fillId="0" borderId="0" xfId="0" applyFont="1" applyAlignment="1"/>
    <xf numFmtId="0" fontId="1" fillId="8" borderId="26" xfId="0" applyFont="1" applyFill="1" applyBorder="1" applyAlignment="1"/>
    <xf numFmtId="0" fontId="1" fillId="0" borderId="106" xfId="0" applyFont="1" applyBorder="1" applyAlignment="1"/>
    <xf numFmtId="0" fontId="1" fillId="0" borderId="107" xfId="0" applyFont="1" applyBorder="1" applyAlignment="1"/>
    <xf numFmtId="0" fontId="1" fillId="5" borderId="108" xfId="0" applyFont="1" applyFill="1" applyBorder="1" applyAlignment="1"/>
    <xf numFmtId="0" fontId="1" fillId="9" borderId="108" xfId="0" applyFont="1" applyFill="1" applyBorder="1" applyAlignment="1"/>
    <xf numFmtId="0" fontId="1" fillId="0" borderId="109" xfId="0" applyFont="1" applyBorder="1" applyAlignment="1"/>
    <xf numFmtId="0" fontId="1" fillId="0" borderId="110" xfId="0" applyFont="1" applyBorder="1" applyAlignment="1"/>
    <xf numFmtId="0" fontId="1" fillId="0" borderId="111" xfId="0" applyFont="1" applyBorder="1" applyAlignment="1"/>
    <xf numFmtId="0" fontId="1" fillId="5" borderId="112" xfId="0" applyFont="1" applyFill="1" applyBorder="1" applyAlignment="1"/>
    <xf numFmtId="0" fontId="1" fillId="9" borderId="112" xfId="0" applyFont="1" applyFill="1" applyBorder="1" applyAlignment="1"/>
    <xf numFmtId="0" fontId="1" fillId="0" borderId="113" xfId="0" applyFont="1" applyBorder="1" applyAlignment="1"/>
    <xf numFmtId="0" fontId="2" fillId="0" borderId="114" xfId="0" applyFont="1" applyBorder="1" applyAlignment="1"/>
    <xf numFmtId="0" fontId="2" fillId="0" borderId="115" xfId="0" applyFont="1" applyBorder="1" applyAlignment="1"/>
    <xf numFmtId="166" fontId="2" fillId="0" borderId="115" xfId="0" applyNumberFormat="1" applyFont="1" applyBorder="1" applyAlignment="1"/>
    <xf numFmtId="0" fontId="2" fillId="5" borderId="116" xfId="0" applyFont="1" applyFill="1" applyBorder="1" applyAlignment="1"/>
    <xf numFmtId="0" fontId="2" fillId="9" borderId="116" xfId="0" applyFont="1" applyFill="1" applyBorder="1" applyAlignment="1"/>
    <xf numFmtId="0" fontId="2" fillId="0" borderId="117" xfId="0" applyFont="1" applyBorder="1" applyAlignment="1"/>
    <xf numFmtId="0" fontId="1" fillId="0" borderId="118" xfId="0" applyFont="1" applyBorder="1" applyAlignment="1"/>
    <xf numFmtId="0" fontId="1" fillId="0" borderId="119" xfId="0" applyFont="1" applyBorder="1" applyAlignment="1"/>
    <xf numFmtId="0" fontId="2" fillId="0" borderId="119" xfId="0" applyFont="1" applyBorder="1" applyAlignment="1"/>
    <xf numFmtId="166" fontId="2" fillId="0" borderId="119" xfId="0" applyNumberFormat="1" applyFont="1" applyBorder="1" applyAlignment="1"/>
    <xf numFmtId="0" fontId="2" fillId="5" borderId="120" xfId="0" applyFont="1" applyFill="1" applyBorder="1" applyAlignment="1"/>
    <xf numFmtId="0" fontId="2" fillId="9" borderId="120" xfId="0" applyFont="1" applyFill="1" applyBorder="1" applyAlignment="1"/>
    <xf numFmtId="0" fontId="2" fillId="0" borderId="121" xfId="0" applyFont="1" applyBorder="1" applyAlignment="1"/>
    <xf numFmtId="0" fontId="1" fillId="0" borderId="114" xfId="0" applyFont="1" applyBorder="1" applyAlignment="1"/>
    <xf numFmtId="0" fontId="1" fillId="0" borderId="115" xfId="0" applyFont="1" applyBorder="1" applyAlignment="1"/>
    <xf numFmtId="0" fontId="2" fillId="0" borderId="115" xfId="0" applyFont="1" applyBorder="1" applyAlignment="1">
      <alignment horizontal="center"/>
    </xf>
    <xf numFmtId="165" fontId="2" fillId="5" borderId="116" xfId="0" applyNumberFormat="1" applyFont="1" applyFill="1" applyBorder="1" applyAlignment="1"/>
    <xf numFmtId="165" fontId="2" fillId="9" borderId="116" xfId="0" applyNumberFormat="1" applyFont="1" applyFill="1" applyBorder="1" applyAlignment="1"/>
    <xf numFmtId="165" fontId="2" fillId="0" borderId="115" xfId="0" applyNumberFormat="1" applyFont="1" applyBorder="1" applyAlignment="1"/>
    <xf numFmtId="165" fontId="2" fillId="0" borderId="117" xfId="0" applyNumberFormat="1" applyFont="1" applyBorder="1" applyAlignment="1"/>
    <xf numFmtId="0" fontId="2" fillId="0" borderId="110" xfId="0" applyFont="1" applyBorder="1" applyAlignment="1"/>
    <xf numFmtId="0" fontId="2" fillId="0" borderId="111" xfId="0" applyFont="1" applyBorder="1" applyAlignment="1"/>
    <xf numFmtId="0" fontId="2" fillId="0" borderId="111" xfId="0" applyFont="1" applyBorder="1" applyAlignment="1">
      <alignment horizontal="center"/>
    </xf>
    <xf numFmtId="166" fontId="2" fillId="0" borderId="111" xfId="0" applyNumberFormat="1" applyFont="1" applyBorder="1" applyAlignment="1"/>
    <xf numFmtId="165" fontId="2" fillId="5" borderId="112" xfId="0" applyNumberFormat="1" applyFont="1" applyFill="1" applyBorder="1" applyAlignment="1"/>
    <xf numFmtId="165" fontId="2" fillId="9" borderId="112" xfId="0" applyNumberFormat="1" applyFont="1" applyFill="1" applyBorder="1" applyAlignment="1"/>
    <xf numFmtId="165" fontId="2" fillId="0" borderId="111" xfId="0" applyNumberFormat="1" applyFont="1" applyBorder="1" applyAlignment="1"/>
    <xf numFmtId="165" fontId="2" fillId="0" borderId="113" xfId="0" applyNumberFormat="1" applyFont="1" applyBorder="1" applyAlignment="1"/>
    <xf numFmtId="0" fontId="2" fillId="0" borderId="119" xfId="0" applyFont="1" applyBorder="1" applyAlignment="1">
      <alignment horizontal="center"/>
    </xf>
    <xf numFmtId="165" fontId="2" fillId="5" borderId="120" xfId="0" applyNumberFormat="1" applyFont="1" applyFill="1" applyBorder="1" applyAlignment="1"/>
    <xf numFmtId="165" fontId="2" fillId="9" borderId="120" xfId="0" applyNumberFormat="1" applyFont="1" applyFill="1" applyBorder="1" applyAlignment="1"/>
    <xf numFmtId="165" fontId="2" fillId="0" borderId="119" xfId="0" applyNumberFormat="1" applyFont="1" applyBorder="1" applyAlignment="1"/>
    <xf numFmtId="165" fontId="2" fillId="0" borderId="121" xfId="0" applyNumberFormat="1" applyFont="1" applyBorder="1" applyAlignment="1"/>
    <xf numFmtId="166" fontId="2" fillId="9" borderId="116" xfId="0" applyNumberFormat="1" applyFont="1" applyFill="1" applyBorder="1" applyAlignment="1"/>
    <xf numFmtId="0" fontId="2" fillId="0" borderId="122" xfId="0" applyFont="1" applyBorder="1" applyAlignment="1"/>
    <xf numFmtId="166" fontId="2" fillId="5" borderId="116" xfId="0" applyNumberFormat="1" applyFont="1" applyFill="1" applyBorder="1" applyAlignment="1"/>
    <xf numFmtId="165" fontId="2" fillId="9" borderId="123" xfId="0" applyNumberFormat="1" applyFont="1" applyFill="1" applyBorder="1" applyAlignment="1"/>
    <xf numFmtId="0" fontId="2" fillId="15" borderId="101" xfId="0" applyFont="1" applyFill="1" applyBorder="1" applyAlignment="1"/>
    <xf numFmtId="0" fontId="2" fillId="15" borderId="62" xfId="0" applyFont="1" applyFill="1" applyBorder="1" applyAlignment="1"/>
    <xf numFmtId="0" fontId="1" fillId="15" borderId="62" xfId="0" applyFont="1" applyFill="1" applyBorder="1" applyAlignment="1"/>
    <xf numFmtId="166" fontId="1" fillId="15" borderId="62" xfId="0" applyNumberFormat="1" applyFont="1" applyFill="1" applyBorder="1" applyAlignment="1"/>
    <xf numFmtId="166" fontId="2" fillId="15" borderId="62" xfId="0" applyNumberFormat="1" applyFont="1" applyFill="1" applyBorder="1" applyAlignment="1"/>
    <xf numFmtId="166" fontId="1" fillId="15" borderId="63" xfId="0" applyNumberFormat="1" applyFont="1" applyFill="1" applyBorder="1" applyAlignment="1"/>
    <xf numFmtId="166" fontId="1" fillId="0" borderId="115" xfId="0" applyNumberFormat="1" applyFont="1" applyBorder="1" applyAlignment="1"/>
    <xf numFmtId="166" fontId="1" fillId="0" borderId="124" xfId="0" applyNumberFormat="1" applyFont="1" applyBorder="1" applyAlignment="1"/>
    <xf numFmtId="166" fontId="1" fillId="0" borderId="122" xfId="0" applyNumberFormat="1" applyFont="1" applyBorder="1" applyAlignment="1"/>
    <xf numFmtId="0" fontId="1" fillId="6" borderId="125" xfId="0" applyFont="1" applyFill="1" applyBorder="1" applyAlignment="1"/>
    <xf numFmtId="166" fontId="1" fillId="6" borderId="125" xfId="0" applyNumberFormat="1" applyFont="1" applyFill="1" applyBorder="1" applyAlignment="1"/>
    <xf numFmtId="0" fontId="2" fillId="6" borderId="125" xfId="0" applyFont="1" applyFill="1" applyBorder="1" applyAlignment="1"/>
    <xf numFmtId="166" fontId="2" fillId="6" borderId="125" xfId="0" applyNumberFormat="1" applyFont="1" applyFill="1" applyBorder="1" applyAlignment="1"/>
    <xf numFmtId="0" fontId="2" fillId="6" borderId="126" xfId="0" applyFont="1" applyFill="1" applyBorder="1" applyAlignment="1"/>
    <xf numFmtId="172" fontId="1" fillId="9" borderId="127" xfId="0" applyNumberFormat="1" applyFont="1" applyFill="1" applyBorder="1" applyAlignment="1"/>
    <xf numFmtId="172" fontId="1" fillId="6" borderId="125" xfId="0" applyNumberFormat="1" applyFont="1" applyFill="1" applyBorder="1" applyAlignment="1"/>
    <xf numFmtId="172" fontId="1" fillId="6" borderId="126" xfId="0" applyNumberFormat="1" applyFont="1" applyFill="1" applyBorder="1" applyAlignment="1"/>
    <xf numFmtId="165" fontId="2" fillId="0" borderId="124" xfId="0" applyNumberFormat="1" applyFont="1" applyBorder="1" applyAlignment="1"/>
    <xf numFmtId="0" fontId="2" fillId="15" borderId="128" xfId="0" applyFont="1" applyFill="1" applyBorder="1" applyAlignment="1"/>
    <xf numFmtId="0" fontId="2" fillId="15" borderId="62" xfId="0" applyFont="1" applyFill="1" applyBorder="1" applyAlignment="1">
      <alignment horizontal="center"/>
    </xf>
    <xf numFmtId="0" fontId="1" fillId="15" borderId="129" xfId="0" applyFont="1" applyFill="1" applyBorder="1" applyAlignment="1"/>
    <xf numFmtId="165" fontId="1" fillId="15" borderId="62" xfId="0" applyNumberFormat="1" applyFont="1" applyFill="1" applyBorder="1" applyAlignment="1"/>
    <xf numFmtId="165" fontId="1" fillId="15" borderId="63" xfId="0" applyNumberFormat="1" applyFont="1" applyFill="1" applyBorder="1" applyAlignment="1"/>
    <xf numFmtId="0" fontId="1" fillId="0" borderId="124" xfId="0" applyFont="1" applyBorder="1" applyAlignment="1"/>
    <xf numFmtId="165" fontId="1" fillId="0" borderId="115" xfId="0" applyNumberFormat="1" applyFont="1" applyBorder="1" applyAlignment="1"/>
    <xf numFmtId="165" fontId="1" fillId="0" borderId="117" xfId="0" applyNumberFormat="1" applyFont="1" applyBorder="1" applyAlignment="1"/>
    <xf numFmtId="0" fontId="1" fillId="6" borderId="127" xfId="0" applyFont="1" applyFill="1" applyBorder="1" applyAlignment="1"/>
    <xf numFmtId="172" fontId="1" fillId="9" borderId="125" xfId="0" applyNumberFormat="1" applyFont="1" applyFill="1" applyBorder="1" applyAlignment="1"/>
    <xf numFmtId="176" fontId="1" fillId="6" borderId="125" xfId="0" applyNumberFormat="1" applyFont="1" applyFill="1" applyBorder="1" applyAlignment="1"/>
    <xf numFmtId="176" fontId="1" fillId="6" borderId="130" xfId="0" applyNumberFormat="1" applyFont="1" applyFill="1" applyBorder="1" applyAlignment="1"/>
    <xf numFmtId="0" fontId="2" fillId="0" borderId="65" xfId="0" applyFont="1" applyBorder="1" applyAlignment="1">
      <alignment horizontal="center"/>
    </xf>
    <xf numFmtId="166" fontId="2" fillId="0" borderId="65" xfId="0" applyNumberFormat="1" applyFont="1" applyBorder="1" applyAlignment="1"/>
    <xf numFmtId="165" fontId="2" fillId="0" borderId="65" xfId="0" applyNumberFormat="1" applyFont="1" applyBorder="1" applyAlignment="1"/>
    <xf numFmtId="165" fontId="2" fillId="0" borderId="66" xfId="0" applyNumberFormat="1" applyFont="1" applyBorder="1" applyAlignment="1"/>
    <xf numFmtId="0" fontId="1" fillId="0" borderId="131" xfId="0" applyFont="1" applyBorder="1" applyAlignment="1"/>
    <xf numFmtId="0" fontId="1" fillId="0" borderId="132" xfId="0" applyFont="1" applyBorder="1" applyAlignment="1"/>
    <xf numFmtId="177" fontId="1" fillId="3" borderId="133" xfId="0" applyNumberFormat="1" applyFont="1" applyFill="1" applyBorder="1" applyAlignment="1"/>
    <xf numFmtId="0" fontId="1" fillId="9" borderId="45" xfId="0" applyFont="1" applyFill="1" applyBorder="1" applyAlignment="1"/>
    <xf numFmtId="0" fontId="1" fillId="0" borderId="134" xfId="0" applyFont="1" applyBorder="1" applyAlignment="1"/>
    <xf numFmtId="0" fontId="1" fillId="0" borderId="135" xfId="0" applyFont="1" applyBorder="1" applyAlignment="1"/>
    <xf numFmtId="0" fontId="1" fillId="14" borderId="8" xfId="0" applyFont="1" applyFill="1" applyBorder="1" applyAlignment="1"/>
    <xf numFmtId="0" fontId="1" fillId="3" borderId="93" xfId="0" applyFont="1" applyFill="1" applyBorder="1" applyAlignment="1"/>
    <xf numFmtId="0" fontId="1" fillId="0" borderId="136" xfId="0" applyFont="1" applyBorder="1" applyAlignment="1"/>
    <xf numFmtId="0" fontId="2" fillId="0" borderId="137" xfId="0" applyFont="1" applyBorder="1" applyAlignment="1"/>
    <xf numFmtId="0" fontId="2" fillId="0" borderId="25" xfId="0" applyFont="1" applyBorder="1" applyAlignment="1"/>
    <xf numFmtId="0" fontId="2" fillId="3" borderId="93" xfId="0" applyFont="1" applyFill="1" applyBorder="1" applyAlignment="1"/>
    <xf numFmtId="166" fontId="16" fillId="9" borderId="8" xfId="0" applyNumberFormat="1" applyFont="1" applyFill="1" applyBorder="1" applyAlignment="1"/>
    <xf numFmtId="0" fontId="2" fillId="0" borderId="136" xfId="0" applyFont="1" applyBorder="1" applyAlignment="1"/>
    <xf numFmtId="0" fontId="2" fillId="0" borderId="138" xfId="0" applyFont="1" applyBorder="1" applyAlignment="1"/>
    <xf numFmtId="166" fontId="2" fillId="0" borderId="5" xfId="0" applyNumberFormat="1" applyFont="1" applyBorder="1" applyAlignment="1"/>
    <xf numFmtId="0" fontId="2" fillId="3" borderId="81" xfId="0" applyFont="1" applyFill="1" applyBorder="1" applyAlignment="1"/>
    <xf numFmtId="166" fontId="16" fillId="9" borderId="5" xfId="0" applyNumberFormat="1" applyFont="1" applyFill="1" applyBorder="1" applyAlignment="1"/>
    <xf numFmtId="0" fontId="2" fillId="0" borderId="139" xfId="0" applyFont="1" applyBorder="1" applyAlignment="1"/>
    <xf numFmtId="0" fontId="2" fillId="9" borderId="11" xfId="0" applyFont="1" applyFill="1" applyBorder="1" applyAlignment="1"/>
    <xf numFmtId="166" fontId="16" fillId="9" borderId="11" xfId="0" applyNumberFormat="1" applyFont="1" applyFill="1" applyBorder="1" applyAlignment="1"/>
    <xf numFmtId="3" fontId="1" fillId="9" borderId="74" xfId="0" applyNumberFormat="1" applyFont="1" applyFill="1" applyBorder="1" applyAlignment="1"/>
    <xf numFmtId="165" fontId="1" fillId="9" borderId="11" xfId="0" applyNumberFormat="1" applyFont="1" applyFill="1" applyBorder="1" applyAlignment="1"/>
    <xf numFmtId="165" fontId="1" fillId="9" borderId="56" xfId="0" applyNumberFormat="1" applyFont="1" applyFill="1" applyBorder="1" applyAlignment="1"/>
    <xf numFmtId="166" fontId="16" fillId="0" borderId="11" xfId="0" applyNumberFormat="1" applyFont="1" applyBorder="1" applyAlignment="1"/>
    <xf numFmtId="3" fontId="16" fillId="3" borderId="74" xfId="0" applyNumberFormat="1" applyFont="1" applyFill="1" applyBorder="1" applyAlignment="1"/>
    <xf numFmtId="166" fontId="17" fillId="9" borderId="11" xfId="0" applyNumberFormat="1" applyFont="1" applyFill="1" applyBorder="1" applyAlignment="1"/>
    <xf numFmtId="165" fontId="17" fillId="0" borderId="11" xfId="0" applyNumberFormat="1" applyFont="1" applyBorder="1" applyAlignment="1"/>
    <xf numFmtId="165" fontId="17" fillId="0" borderId="56" xfId="0" applyNumberFormat="1" applyFont="1" applyBorder="1" applyAlignment="1"/>
    <xf numFmtId="0" fontId="17" fillId="3" borderId="74" xfId="0" applyFont="1" applyFill="1" applyBorder="1" applyAlignment="1"/>
    <xf numFmtId="165" fontId="16" fillId="9" borderId="11" xfId="0" applyNumberFormat="1" applyFont="1" applyFill="1" applyBorder="1" applyAlignment="1"/>
    <xf numFmtId="39" fontId="16" fillId="0" borderId="11" xfId="0" applyNumberFormat="1" applyFont="1" applyBorder="1" applyAlignment="1"/>
    <xf numFmtId="39" fontId="16" fillId="0" borderId="56" xfId="0" applyNumberFormat="1" applyFont="1" applyBorder="1" applyAlignment="1"/>
    <xf numFmtId="166" fontId="2" fillId="3" borderId="93" xfId="0" applyNumberFormat="1" applyFont="1" applyFill="1" applyBorder="1" applyAlignment="1"/>
    <xf numFmtId="165" fontId="16" fillId="0" borderId="16" xfId="0" applyNumberFormat="1" applyFont="1" applyBorder="1" applyAlignment="1"/>
    <xf numFmtId="165" fontId="16" fillId="0" borderId="136" xfId="0" applyNumberFormat="1" applyFont="1" applyBorder="1" applyAlignment="1"/>
    <xf numFmtId="165" fontId="16" fillId="0" borderId="5" xfId="0" applyNumberFormat="1" applyFont="1" applyBorder="1" applyAlignment="1"/>
    <xf numFmtId="165" fontId="16" fillId="0" borderId="139" xfId="0" applyNumberFormat="1" applyFont="1" applyBorder="1" applyAlignment="1"/>
    <xf numFmtId="0" fontId="2" fillId="9" borderId="11" xfId="0" applyFont="1" applyFill="1" applyBorder="1" applyAlignment="1">
      <alignment horizontal="center"/>
    </xf>
    <xf numFmtId="166" fontId="1" fillId="9" borderId="74" xfId="0" applyNumberFormat="1" applyFont="1" applyFill="1" applyBorder="1" applyAlignment="1"/>
    <xf numFmtId="167" fontId="17" fillId="9" borderId="11" xfId="0" applyNumberFormat="1" applyFont="1" applyFill="1" applyBorder="1" applyAlignment="1"/>
    <xf numFmtId="178" fontId="16" fillId="9" borderId="11" xfId="0" applyNumberFormat="1" applyFont="1" applyFill="1" applyBorder="1" applyAlignment="1"/>
    <xf numFmtId="178" fontId="16" fillId="9" borderId="56" xfId="0" applyNumberFormat="1" applyFont="1" applyFill="1" applyBorder="1" applyAlignment="1"/>
    <xf numFmtId="166" fontId="16" fillId="3" borderId="74" xfId="0" applyNumberFormat="1" applyFont="1" applyFill="1" applyBorder="1" applyAlignment="1"/>
    <xf numFmtId="165" fontId="16" fillId="0" borderId="11" xfId="0" applyNumberFormat="1" applyFont="1" applyBorder="1" applyAlignment="1"/>
    <xf numFmtId="165" fontId="16" fillId="0" borderId="56" xfId="0" applyNumberFormat="1" applyFont="1" applyBorder="1" applyAlignment="1"/>
    <xf numFmtId="165" fontId="17" fillId="9" borderId="11" xfId="0" applyNumberFormat="1" applyFont="1" applyFill="1" applyBorder="1" applyAlignment="1"/>
    <xf numFmtId="165" fontId="17" fillId="9" borderId="56" xfId="0" applyNumberFormat="1" applyFont="1" applyFill="1" applyBorder="1" applyAlignment="1"/>
    <xf numFmtId="0" fontId="2" fillId="0" borderId="140" xfId="0" applyFont="1" applyBorder="1" applyAlignment="1"/>
    <xf numFmtId="0" fontId="2" fillId="0" borderId="33" xfId="0" applyFont="1" applyBorder="1" applyAlignment="1">
      <alignment horizontal="center"/>
    </xf>
    <xf numFmtId="166" fontId="16" fillId="3" borderId="84" xfId="0" applyNumberFormat="1" applyFont="1" applyFill="1" applyBorder="1" applyAlignment="1"/>
    <xf numFmtId="166" fontId="17" fillId="9" borderId="33" xfId="0" applyNumberFormat="1" applyFont="1" applyFill="1" applyBorder="1" applyAlignment="1"/>
    <xf numFmtId="165" fontId="16" fillId="0" borderId="33" xfId="0" applyNumberFormat="1" applyFont="1" applyBorder="1" applyAlignment="1"/>
    <xf numFmtId="165" fontId="16" fillId="0" borderId="141" xfId="0" applyNumberFormat="1" applyFont="1" applyBorder="1" applyAlignment="1"/>
    <xf numFmtId="166" fontId="17" fillId="3" borderId="74" xfId="0" applyNumberFormat="1" applyFont="1" applyFill="1" applyBorder="1" applyAlignment="1"/>
    <xf numFmtId="168" fontId="17" fillId="0" borderId="11" xfId="0" applyNumberFormat="1" applyFont="1" applyBorder="1" applyAlignment="1"/>
    <xf numFmtId="166" fontId="2" fillId="3" borderId="74" xfId="0" applyNumberFormat="1" applyFont="1" applyFill="1" applyBorder="1" applyAlignment="1"/>
    <xf numFmtId="168" fontId="16" fillId="0" borderId="11" xfId="0" applyNumberFormat="1" applyFont="1" applyBorder="1" applyAlignment="1"/>
    <xf numFmtId="166" fontId="16" fillId="0" borderId="33" xfId="0" applyNumberFormat="1" applyFont="1" applyBorder="1" applyAlignment="1"/>
    <xf numFmtId="166" fontId="17" fillId="3" borderId="84" xfId="0" applyNumberFormat="1" applyFont="1" applyFill="1" applyBorder="1" applyAlignment="1"/>
    <xf numFmtId="168" fontId="17" fillId="0" borderId="33" xfId="0" applyNumberFormat="1" applyFont="1" applyBorder="1" applyAlignment="1"/>
    <xf numFmtId="165" fontId="17" fillId="0" borderId="141" xfId="0" applyNumberFormat="1" applyFont="1" applyBorder="1" applyAlignment="1"/>
    <xf numFmtId="166" fontId="2" fillId="3" borderId="81" xfId="0" applyNumberFormat="1" applyFont="1" applyFill="1" applyBorder="1" applyAlignment="1"/>
    <xf numFmtId="172" fontId="17" fillId="0" borderId="11" xfId="0" applyNumberFormat="1" applyFont="1" applyBorder="1" applyAlignment="1"/>
    <xf numFmtId="172" fontId="16" fillId="0" borderId="11" xfId="0" applyNumberFormat="1" applyFont="1" applyBorder="1" applyAlignment="1"/>
    <xf numFmtId="175" fontId="16" fillId="0" borderId="11" xfId="0" applyNumberFormat="1" applyFont="1" applyBorder="1" applyAlignment="1"/>
    <xf numFmtId="175" fontId="16" fillId="0" borderId="56" xfId="0" applyNumberFormat="1" applyFont="1" applyBorder="1" applyAlignment="1"/>
    <xf numFmtId="166" fontId="2" fillId="3" borderId="84" xfId="0" applyNumberFormat="1" applyFont="1" applyFill="1" applyBorder="1" applyAlignment="1"/>
    <xf numFmtId="166" fontId="16" fillId="9" borderId="33" xfId="0" applyNumberFormat="1" applyFont="1" applyFill="1" applyBorder="1" applyAlignment="1"/>
    <xf numFmtId="166" fontId="1" fillId="3" borderId="74" xfId="0" applyNumberFormat="1" applyFont="1" applyFill="1" applyBorder="1" applyAlignment="1"/>
    <xf numFmtId="166" fontId="1" fillId="3" borderId="84" xfId="0" applyNumberFormat="1" applyFont="1" applyFill="1" applyBorder="1" applyAlignment="1"/>
    <xf numFmtId="39" fontId="17" fillId="0" borderId="33" xfId="0" applyNumberFormat="1" applyFont="1" applyBorder="1" applyAlignment="1"/>
    <xf numFmtId="166" fontId="17" fillId="9" borderId="74" xfId="0" applyNumberFormat="1" applyFont="1" applyFill="1" applyBorder="1" applyAlignment="1"/>
    <xf numFmtId="0" fontId="2" fillId="6" borderId="11" xfId="0" applyFont="1" applyFill="1" applyBorder="1" applyAlignment="1"/>
    <xf numFmtId="166" fontId="16" fillId="9" borderId="74" xfId="0" applyNumberFormat="1" applyFont="1" applyFill="1" applyBorder="1" applyAlignment="1"/>
    <xf numFmtId="38" fontId="2" fillId="0" borderId="11" xfId="0" applyNumberFormat="1" applyFont="1" applyBorder="1" applyAlignment="1"/>
    <xf numFmtId="166" fontId="16" fillId="0" borderId="16" xfId="0" applyNumberFormat="1" applyFont="1" applyBorder="1" applyAlignment="1"/>
    <xf numFmtId="166" fontId="16" fillId="0" borderId="31" xfId="0" applyNumberFormat="1" applyFont="1" applyBorder="1" applyAlignment="1"/>
    <xf numFmtId="166" fontId="17" fillId="9" borderId="8" xfId="0" applyNumberFormat="1" applyFont="1" applyFill="1" applyBorder="1" applyAlignment="1"/>
    <xf numFmtId="38" fontId="2" fillId="0" borderId="33" xfId="0" applyNumberFormat="1" applyFont="1" applyBorder="1" applyAlignment="1"/>
    <xf numFmtId="38" fontId="2" fillId="0" borderId="16" xfId="0" applyNumberFormat="1" applyFont="1" applyBorder="1" applyAlignment="1"/>
    <xf numFmtId="38" fontId="2" fillId="0" borderId="5" xfId="0" applyNumberFormat="1" applyFont="1" applyBorder="1" applyAlignment="1"/>
    <xf numFmtId="39" fontId="17" fillId="0" borderId="11" xfId="0" applyNumberFormat="1" applyFont="1" applyBorder="1" applyAlignment="1"/>
    <xf numFmtId="39" fontId="17" fillId="0" borderId="56" xfId="0" applyNumberFormat="1" applyFont="1" applyBorder="1" applyAlignment="1"/>
    <xf numFmtId="165" fontId="17" fillId="9" borderId="33" xfId="0" applyNumberFormat="1" applyFont="1" applyFill="1" applyBorder="1" applyAlignment="1"/>
    <xf numFmtId="39" fontId="17" fillId="0" borderId="141" xfId="0" applyNumberFormat="1" applyFont="1" applyBorder="1" applyAlignment="1"/>
    <xf numFmtId="0" fontId="9" fillId="0" borderId="5" xfId="0" applyFont="1" applyBorder="1" applyAlignment="1"/>
    <xf numFmtId="166" fontId="17" fillId="9" borderId="5" xfId="0" applyNumberFormat="1" applyFont="1" applyFill="1" applyBorder="1" applyAlignment="1"/>
    <xf numFmtId="0" fontId="2" fillId="0" borderId="16" xfId="0" applyFont="1" applyBorder="1" applyAlignment="1">
      <alignment horizontal="center"/>
    </xf>
    <xf numFmtId="166" fontId="16" fillId="3" borderId="93" xfId="0" applyNumberFormat="1" applyFont="1" applyFill="1" applyBorder="1" applyAlignment="1"/>
    <xf numFmtId="166" fontId="16" fillId="0" borderId="5" xfId="0" applyNumberFormat="1" applyFont="1" applyBorder="1" applyAlignment="1"/>
    <xf numFmtId="166" fontId="16" fillId="3" borderId="81" xfId="0" applyNumberFormat="1" applyFont="1" applyFill="1" applyBorder="1" applyAlignment="1"/>
    <xf numFmtId="0" fontId="2" fillId="0" borderId="142" xfId="0" applyFont="1" applyBorder="1" applyAlignment="1"/>
    <xf numFmtId="166" fontId="16" fillId="0" borderId="25" xfId="0" applyNumberFormat="1" applyFont="1" applyBorder="1" applyAlignment="1"/>
    <xf numFmtId="166" fontId="16" fillId="3" borderId="94" xfId="0" applyNumberFormat="1" applyFont="1" applyFill="1" applyBorder="1" applyAlignment="1"/>
    <xf numFmtId="166" fontId="16" fillId="9" borderId="35" xfId="0" applyNumberFormat="1" applyFont="1" applyFill="1" applyBorder="1" applyAlignment="1"/>
    <xf numFmtId="165" fontId="16" fillId="0" borderId="25" xfId="0" applyNumberFormat="1" applyFont="1" applyBorder="1" applyAlignment="1"/>
    <xf numFmtId="165" fontId="16" fillId="0" borderId="143" xfId="0" applyNumberFormat="1" applyFont="1" applyBorder="1" applyAlignment="1"/>
    <xf numFmtId="166" fontId="17" fillId="9" borderId="56" xfId="0" applyNumberFormat="1" applyFont="1" applyFill="1" applyBorder="1" applyAlignment="1"/>
    <xf numFmtId="168" fontId="16" fillId="0" borderId="56" xfId="0" applyNumberFormat="1" applyFont="1" applyBorder="1" applyAlignment="1"/>
    <xf numFmtId="0" fontId="2" fillId="3" borderId="84" xfId="0" applyFont="1" applyFill="1" applyBorder="1" applyAlignment="1"/>
    <xf numFmtId="0" fontId="2" fillId="0" borderId="53" xfId="0" applyFont="1" applyBorder="1" applyAlignment="1"/>
    <xf numFmtId="166" fontId="16" fillId="0" borderId="53" xfId="0" applyNumberFormat="1" applyFont="1" applyBorder="1" applyAlignment="1"/>
    <xf numFmtId="166" fontId="2" fillId="0" borderId="53" xfId="0" applyNumberFormat="1" applyFont="1" applyBorder="1" applyAlignment="1"/>
    <xf numFmtId="0" fontId="2" fillId="3" borderId="144" xfId="0" applyFont="1" applyFill="1" applyBorder="1" applyAlignment="1"/>
    <xf numFmtId="166" fontId="16" fillId="9" borderId="120" xfId="0" applyNumberFormat="1" applyFont="1" applyFill="1" applyBorder="1" applyAlignment="1"/>
    <xf numFmtId="165" fontId="16" fillId="0" borderId="119" xfId="0" applyNumberFormat="1" applyFont="1" applyBorder="1" applyAlignment="1"/>
    <xf numFmtId="165" fontId="16" fillId="0" borderId="121" xfId="0" applyNumberFormat="1" applyFont="1" applyBorder="1" applyAlignment="1"/>
    <xf numFmtId="166" fontId="2" fillId="0" borderId="16" xfId="0" applyNumberFormat="1" applyFont="1" applyBorder="1" applyAlignment="1">
      <alignment horizontal="center"/>
    </xf>
    <xf numFmtId="166" fontId="2" fillId="3" borderId="123" xfId="0" applyNumberFormat="1" applyFont="1" applyFill="1" applyBorder="1" applyAlignment="1"/>
    <xf numFmtId="165" fontId="16" fillId="0" borderId="115" xfId="0" applyNumberFormat="1" applyFont="1" applyBorder="1" applyAlignment="1"/>
    <xf numFmtId="165" fontId="16" fillId="0" borderId="117" xfId="0" applyNumberFormat="1" applyFont="1" applyBorder="1" applyAlignment="1"/>
    <xf numFmtId="166" fontId="1" fillId="3" borderId="145" xfId="0" applyNumberFormat="1" applyFont="1" applyFill="1" applyBorder="1" applyAlignment="1"/>
    <xf numFmtId="165" fontId="17" fillId="9" borderId="2" xfId="0" applyNumberFormat="1" applyFont="1" applyFill="1" applyBorder="1" applyAlignment="1"/>
    <xf numFmtId="165" fontId="17" fillId="9" borderId="146" xfId="0" applyNumberFormat="1" applyFont="1" applyFill="1" applyBorder="1" applyAlignment="1"/>
    <xf numFmtId="0" fontId="1" fillId="0" borderId="140" xfId="0" applyFont="1" applyBorder="1" applyAlignment="1"/>
    <xf numFmtId="3" fontId="2" fillId="0" borderId="5" xfId="0" applyNumberFormat="1" applyFont="1" applyBorder="1" applyAlignment="1"/>
    <xf numFmtId="165" fontId="2" fillId="3" borderId="81" xfId="0" applyNumberFormat="1" applyFont="1" applyFill="1" applyBorder="1" applyAlignment="1"/>
    <xf numFmtId="165" fontId="2" fillId="0" borderId="5" xfId="0" applyNumberFormat="1" applyFont="1" applyBorder="1" applyAlignment="1"/>
    <xf numFmtId="165" fontId="2" fillId="0" borderId="139" xfId="0" applyNumberFormat="1" applyFont="1" applyBorder="1" applyAlignment="1"/>
    <xf numFmtId="0" fontId="2" fillId="0" borderId="147" xfId="0" applyFont="1" applyBorder="1" applyAlignment="1"/>
    <xf numFmtId="172" fontId="16" fillId="0" borderId="56" xfId="0" applyNumberFormat="1" applyFont="1" applyBorder="1" applyAlignment="1"/>
    <xf numFmtId="170" fontId="16" fillId="0" borderId="56" xfId="0" applyNumberFormat="1" applyFont="1" applyBorder="1" applyAlignment="1"/>
    <xf numFmtId="165" fontId="16" fillId="9" borderId="33" xfId="0" applyNumberFormat="1" applyFont="1" applyFill="1" applyBorder="1" applyAlignment="1"/>
    <xf numFmtId="168" fontId="16" fillId="0" borderId="33" xfId="0" applyNumberFormat="1" applyFont="1" applyBorder="1" applyAlignment="1"/>
    <xf numFmtId="170" fontId="16" fillId="0" borderId="141" xfId="0" applyNumberFormat="1" applyFont="1" applyBorder="1" applyAlignment="1"/>
    <xf numFmtId="0" fontId="2" fillId="9" borderId="5" xfId="0" applyFont="1" applyFill="1" applyBorder="1" applyAlignment="1"/>
    <xf numFmtId="165" fontId="2" fillId="3" borderId="74" xfId="0" applyNumberFormat="1" applyFont="1" applyFill="1" applyBorder="1" applyAlignment="1"/>
    <xf numFmtId="165" fontId="2" fillId="0" borderId="56" xfId="0" applyNumberFormat="1" applyFont="1" applyBorder="1" applyAlignment="1"/>
    <xf numFmtId="165" fontId="1" fillId="3" borderId="74" xfId="0" applyNumberFormat="1" applyFont="1" applyFill="1" applyBorder="1" applyAlignment="1"/>
    <xf numFmtId="165" fontId="16" fillId="3" borderId="74" xfId="0" applyNumberFormat="1" applyFont="1" applyFill="1" applyBorder="1" applyAlignment="1"/>
    <xf numFmtId="165" fontId="1" fillId="0" borderId="11" xfId="0" applyNumberFormat="1" applyFont="1" applyBorder="1" applyAlignment="1"/>
    <xf numFmtId="168" fontId="1" fillId="0" borderId="56" xfId="0" applyNumberFormat="1" applyFont="1" applyBorder="1" applyAlignment="1"/>
    <xf numFmtId="175" fontId="17" fillId="0" borderId="56" xfId="0" applyNumberFormat="1" applyFont="1" applyBorder="1" applyAlignment="1"/>
    <xf numFmtId="165" fontId="1" fillId="3" borderId="84" xfId="0" applyNumberFormat="1" applyFont="1" applyFill="1" applyBorder="1" applyAlignment="1"/>
    <xf numFmtId="0" fontId="2" fillId="9" borderId="8" xfId="0" applyFont="1" applyFill="1" applyBorder="1" applyAlignment="1"/>
    <xf numFmtId="165" fontId="2" fillId="0" borderId="136" xfId="0" applyNumberFormat="1" applyFont="1" applyBorder="1" applyAlignment="1"/>
    <xf numFmtId="165" fontId="2" fillId="9" borderId="5" xfId="0" applyNumberFormat="1" applyFont="1" applyFill="1" applyBorder="1" applyAlignment="1"/>
    <xf numFmtId="0" fontId="16" fillId="3" borderId="84" xfId="0" applyFont="1" applyFill="1" applyBorder="1" applyAlignment="1"/>
    <xf numFmtId="0" fontId="16" fillId="9" borderId="33" xfId="0" applyFont="1" applyFill="1" applyBorder="1" applyAlignment="1"/>
    <xf numFmtId="0" fontId="18" fillId="9" borderId="8" xfId="0" applyFont="1" applyFill="1" applyBorder="1" applyAlignment="1"/>
    <xf numFmtId="166" fontId="15" fillId="9" borderId="5" xfId="0" applyNumberFormat="1" applyFont="1" applyFill="1" applyBorder="1" applyAlignment="1"/>
    <xf numFmtId="0" fontId="15" fillId="9" borderId="8" xfId="0" applyFont="1" applyFill="1" applyBorder="1" applyAlignment="1"/>
    <xf numFmtId="39" fontId="2" fillId="0" borderId="136" xfId="0" applyNumberFormat="1" applyFont="1" applyBorder="1" applyAlignment="1"/>
    <xf numFmtId="166" fontId="2" fillId="3" borderId="5" xfId="0" applyNumberFormat="1" applyFont="1" applyFill="1" applyBorder="1" applyAlignment="1"/>
    <xf numFmtId="165" fontId="17" fillId="3" borderId="11" xfId="0" applyNumberFormat="1" applyFont="1" applyFill="1" applyBorder="1" applyAlignment="1"/>
    <xf numFmtId="165" fontId="17" fillId="3" borderId="33" xfId="0" applyNumberFormat="1" applyFont="1" applyFill="1" applyBorder="1" applyAlignment="1"/>
    <xf numFmtId="0" fontId="2" fillId="3" borderId="8" xfId="0" applyFont="1" applyFill="1" applyBorder="1" applyAlignment="1"/>
    <xf numFmtId="165" fontId="2" fillId="9" borderId="8" xfId="0" applyNumberFormat="1" applyFont="1" applyFill="1" applyBorder="1" applyAlignment="1"/>
    <xf numFmtId="165" fontId="17" fillId="0" borderId="136" xfId="0" applyNumberFormat="1" applyFont="1" applyBorder="1" applyAlignment="1"/>
    <xf numFmtId="0" fontId="2" fillId="0" borderId="61" xfId="0" applyFont="1" applyBorder="1" applyAlignment="1"/>
    <xf numFmtId="0" fontId="2" fillId="0" borderId="61" xfId="0" applyFont="1" applyBorder="1" applyAlignment="1">
      <alignment horizontal="center"/>
    </xf>
    <xf numFmtId="166" fontId="2" fillId="0" borderId="61" xfId="0" applyNumberFormat="1" applyFont="1" applyBorder="1" applyAlignment="1"/>
    <xf numFmtId="165" fontId="2" fillId="3" borderId="61" xfId="0" applyNumberFormat="1" applyFont="1" applyFill="1" applyBorder="1" applyAlignment="1"/>
    <xf numFmtId="165" fontId="2" fillId="9" borderId="61" xfId="0" applyNumberFormat="1" applyFont="1" applyFill="1" applyBorder="1" applyAlignment="1"/>
    <xf numFmtId="165" fontId="2" fillId="0" borderId="61" xfId="0" applyNumberFormat="1" applyFont="1" applyBorder="1" applyAlignment="1"/>
    <xf numFmtId="165" fontId="2" fillId="0" borderId="70" xfId="0" applyNumberFormat="1" applyFont="1" applyBorder="1" applyAlignment="1"/>
    <xf numFmtId="3" fontId="2" fillId="0" borderId="16" xfId="0" applyNumberFormat="1" applyFont="1" applyBorder="1" applyAlignment="1"/>
    <xf numFmtId="2" fontId="17" fillId="3" borderId="148" xfId="0" applyNumberFormat="1" applyFont="1" applyFill="1" applyBorder="1" applyAlignment="1"/>
    <xf numFmtId="177" fontId="17" fillId="9" borderId="148" xfId="0" applyNumberFormat="1" applyFont="1" applyFill="1" applyBorder="1" applyAlignment="1"/>
    <xf numFmtId="165" fontId="17" fillId="0" borderId="149" xfId="0" applyNumberFormat="1" applyFont="1" applyBorder="1" applyAlignment="1"/>
    <xf numFmtId="165" fontId="17" fillId="0" borderId="150" xfId="0" applyNumberFormat="1" applyFont="1" applyBorder="1" applyAlignment="1"/>
    <xf numFmtId="0" fontId="2" fillId="15" borderId="151" xfId="0" applyFont="1" applyFill="1" applyBorder="1" applyAlignment="1"/>
    <xf numFmtId="0" fontId="1" fillId="15" borderId="125" xfId="0" applyFont="1" applyFill="1" applyBorder="1" applyAlignment="1"/>
    <xf numFmtId="0" fontId="2" fillId="15" borderId="125" xfId="0" applyFont="1" applyFill="1" applyBorder="1" applyAlignment="1"/>
    <xf numFmtId="3" fontId="1" fillId="15" borderId="125" xfId="0" applyNumberFormat="1" applyFont="1" applyFill="1" applyBorder="1" applyAlignment="1"/>
    <xf numFmtId="166" fontId="2" fillId="15" borderId="125" xfId="0" applyNumberFormat="1" applyFont="1" applyFill="1" applyBorder="1" applyAlignment="1"/>
    <xf numFmtId="0" fontId="2" fillId="15" borderId="126" xfId="0" applyFont="1" applyFill="1" applyBorder="1" applyAlignment="1"/>
    <xf numFmtId="165" fontId="1" fillId="15" borderId="152" xfId="0" applyNumberFormat="1" applyFont="1" applyFill="1" applyBorder="1" applyAlignment="1"/>
    <xf numFmtId="165" fontId="1" fillId="15" borderId="153" xfId="0" applyNumberFormat="1" applyFont="1" applyFill="1" applyBorder="1" applyAlignment="1"/>
    <xf numFmtId="0" fontId="2" fillId="0" borderId="154" xfId="0" applyFont="1" applyBorder="1" applyAlignment="1"/>
    <xf numFmtId="0" fontId="1" fillId="0" borderId="155" xfId="0" applyFont="1" applyBorder="1" applyAlignment="1"/>
    <xf numFmtId="0" fontId="2" fillId="0" borderId="155" xfId="0" applyFont="1" applyBorder="1" applyAlignment="1"/>
    <xf numFmtId="3" fontId="1" fillId="0" borderId="155" xfId="0" applyNumberFormat="1" applyFont="1" applyBorder="1" applyAlignment="1"/>
    <xf numFmtId="166" fontId="2" fillId="0" borderId="155" xfId="0" applyNumberFormat="1" applyFont="1" applyBorder="1" applyAlignment="1"/>
    <xf numFmtId="165" fontId="1" fillId="0" borderId="149" xfId="0" applyNumberFormat="1" applyFont="1" applyBorder="1" applyAlignment="1"/>
    <xf numFmtId="165" fontId="1" fillId="0" borderId="150" xfId="0" applyNumberFormat="1" applyFont="1" applyBorder="1" applyAlignment="1"/>
    <xf numFmtId="0" fontId="2" fillId="6" borderId="156" xfId="0" applyFont="1" applyFill="1" applyBorder="1" applyAlignment="1"/>
    <xf numFmtId="0" fontId="1" fillId="6" borderId="157" xfId="0" applyFont="1" applyFill="1" applyBorder="1" applyAlignment="1"/>
    <xf numFmtId="0" fontId="2" fillId="6" borderId="157" xfId="0" applyFont="1" applyFill="1" applyBorder="1" applyAlignment="1"/>
    <xf numFmtId="3" fontId="1" fillId="6" borderId="157" xfId="0" applyNumberFormat="1" applyFont="1" applyFill="1" applyBorder="1" applyAlignment="1"/>
    <xf numFmtId="166" fontId="2" fillId="6" borderId="157" xfId="0" applyNumberFormat="1" applyFont="1" applyFill="1" applyBorder="1" applyAlignment="1"/>
    <xf numFmtId="165" fontId="1" fillId="6" borderId="152" xfId="0" applyNumberFormat="1" applyFont="1" applyFill="1" applyBorder="1" applyAlignment="1"/>
    <xf numFmtId="175" fontId="1" fillId="9" borderId="152" xfId="0" applyNumberFormat="1" applyFont="1" applyFill="1" applyBorder="1" applyAlignment="1"/>
    <xf numFmtId="175" fontId="1" fillId="6" borderId="152" xfId="0" applyNumberFormat="1" applyFont="1" applyFill="1" applyBorder="1" applyAlignment="1"/>
    <xf numFmtId="175" fontId="1" fillId="6" borderId="153" xfId="0" applyNumberFormat="1" applyFont="1" applyFill="1" applyBorder="1" applyAlignment="1"/>
    <xf numFmtId="0" fontId="1" fillId="0" borderId="105" xfId="0" applyFont="1" applyBorder="1" applyAlignment="1"/>
    <xf numFmtId="3" fontId="1" fillId="0" borderId="105" xfId="0" applyNumberFormat="1" applyFont="1" applyBorder="1" applyAlignment="1"/>
    <xf numFmtId="166" fontId="2" fillId="0" borderId="105" xfId="0" applyNumberFormat="1" applyFont="1" applyBorder="1" applyAlignment="1"/>
    <xf numFmtId="165" fontId="1" fillId="0" borderId="105" xfId="0" applyNumberFormat="1" applyFont="1" applyBorder="1" applyAlignment="1"/>
    <xf numFmtId="165" fontId="1" fillId="0" borderId="158" xfId="0" applyNumberFormat="1" applyFont="1" applyBorder="1" applyAlignment="1"/>
    <xf numFmtId="38" fontId="1" fillId="0" borderId="0" xfId="0" applyNumberFormat="1" applyFont="1" applyAlignment="1"/>
    <xf numFmtId="166" fontId="1" fillId="0" borderId="0" xfId="0" applyNumberFormat="1" applyFont="1" applyAlignment="1"/>
    <xf numFmtId="38" fontId="2" fillId="0" borderId="0" xfId="0" applyNumberFormat="1" applyFont="1" applyAlignment="1"/>
    <xf numFmtId="166" fontId="16" fillId="0" borderId="0" xfId="0" applyNumberFormat="1" applyFont="1" applyAlignment="1"/>
    <xf numFmtId="166" fontId="17" fillId="0" borderId="0" xfId="0" applyNumberFormat="1" applyFont="1" applyAlignment="1"/>
    <xf numFmtId="0" fontId="2" fillId="3" borderId="94" xfId="0" applyFont="1" applyFill="1" applyBorder="1" applyAlignment="1"/>
    <xf numFmtId="0" fontId="2" fillId="0" borderId="143" xfId="0" applyFont="1" applyBorder="1" applyAlignment="1"/>
    <xf numFmtId="0" fontId="2" fillId="0" borderId="159" xfId="0" applyFont="1" applyBorder="1" applyAlignment="1"/>
    <xf numFmtId="0" fontId="1" fillId="0" borderId="85" xfId="0" applyFont="1" applyBorder="1" applyAlignment="1"/>
    <xf numFmtId="0" fontId="2" fillId="0" borderId="85" xfId="0" applyFont="1" applyBorder="1" applyAlignment="1"/>
    <xf numFmtId="166" fontId="2" fillId="3" borderId="160" xfId="0" applyNumberFormat="1" applyFont="1" applyFill="1" applyBorder="1" applyAlignment="1"/>
    <xf numFmtId="166" fontId="16" fillId="9" borderId="34" xfId="0" applyNumberFormat="1" applyFont="1" applyFill="1" applyBorder="1" applyAlignment="1"/>
    <xf numFmtId="165" fontId="16" fillId="0" borderId="85" xfId="0" applyNumberFormat="1" applyFont="1" applyBorder="1" applyAlignment="1"/>
    <xf numFmtId="165" fontId="16" fillId="0" borderId="161" xfId="0" applyNumberFormat="1" applyFont="1" applyBorder="1" applyAlignment="1"/>
    <xf numFmtId="0" fontId="2" fillId="6" borderId="11" xfId="0" applyFont="1" applyFill="1" applyBorder="1" applyAlignment="1">
      <alignment horizontal="center"/>
    </xf>
    <xf numFmtId="0" fontId="2" fillId="0" borderId="135" xfId="0" applyFont="1" applyBorder="1" applyAlignment="1"/>
    <xf numFmtId="0" fontId="2" fillId="0" borderId="162" xfId="0" applyFont="1" applyBorder="1" applyAlignment="1"/>
    <xf numFmtId="165" fontId="16" fillId="9" borderId="56" xfId="0" applyNumberFormat="1" applyFont="1" applyFill="1" applyBorder="1" applyAlignment="1"/>
    <xf numFmtId="165" fontId="17" fillId="3" borderId="74" xfId="0" applyNumberFormat="1" applyFont="1" applyFill="1" applyBorder="1" applyAlignment="1"/>
    <xf numFmtId="0" fontId="2" fillId="0" borderId="163" xfId="0" applyFont="1" applyBorder="1" applyAlignment="1"/>
    <xf numFmtId="3" fontId="2" fillId="0" borderId="53" xfId="0" applyNumberFormat="1" applyFont="1" applyBorder="1" applyAlignment="1"/>
    <xf numFmtId="2" fontId="17" fillId="3" borderId="91" xfId="0" applyNumberFormat="1" applyFont="1" applyFill="1" applyBorder="1" applyAlignment="1"/>
    <xf numFmtId="177" fontId="17" fillId="9" borderId="91" xfId="0" applyNumberFormat="1" applyFont="1" applyFill="1" applyBorder="1" applyAlignment="1"/>
    <xf numFmtId="165" fontId="17" fillId="0" borderId="53" xfId="0" applyNumberFormat="1" applyFont="1" applyBorder="1" applyAlignment="1"/>
    <xf numFmtId="165" fontId="17" fillId="0" borderId="54" xfId="0" applyNumberFormat="1" applyFont="1" applyBorder="1" applyAlignment="1"/>
    <xf numFmtId="0" fontId="2" fillId="6" borderId="2" xfId="0" applyFont="1" applyFill="1" applyBorder="1" applyAlignment="1"/>
    <xf numFmtId="165" fontId="2" fillId="3" borderId="8" xfId="0" applyNumberFormat="1" applyFont="1" applyFill="1" applyBorder="1" applyAlignment="1"/>
    <xf numFmtId="166" fontId="2" fillId="0" borderId="25" xfId="0" applyNumberFormat="1" applyFont="1" applyBorder="1" applyAlignment="1">
      <alignment horizontal="center"/>
    </xf>
    <xf numFmtId="166" fontId="2" fillId="3" borderId="35" xfId="0" applyNumberFormat="1" applyFont="1" applyFill="1" applyBorder="1" applyAlignment="1"/>
    <xf numFmtId="165" fontId="2" fillId="9" borderId="35" xfId="0" applyNumberFormat="1" applyFont="1" applyFill="1" applyBorder="1" applyAlignment="1"/>
    <xf numFmtId="165" fontId="17" fillId="0" borderId="143" xfId="0" applyNumberFormat="1" applyFont="1" applyBorder="1" applyAlignment="1"/>
    <xf numFmtId="0" fontId="1" fillId="0" borderId="163" xfId="0" applyFont="1" applyBorder="1" applyAlignment="1"/>
    <xf numFmtId="166" fontId="2" fillId="0" borderId="53" xfId="0" applyNumberFormat="1" applyFont="1" applyBorder="1" applyAlignment="1">
      <alignment horizontal="center"/>
    </xf>
    <xf numFmtId="166" fontId="2" fillId="3" borderId="91" xfId="0" applyNumberFormat="1" applyFont="1" applyFill="1" applyBorder="1" applyAlignment="1"/>
    <xf numFmtId="165" fontId="2" fillId="9" borderId="91" xfId="0" applyNumberFormat="1" applyFont="1" applyFill="1" applyBorder="1" applyAlignment="1"/>
    <xf numFmtId="165" fontId="2" fillId="0" borderId="53" xfId="0" applyNumberFormat="1" applyFont="1" applyBorder="1" applyAlignment="1"/>
    <xf numFmtId="166" fontId="2" fillId="3" borderId="8" xfId="0" applyNumberFormat="1" applyFont="1" applyFill="1" applyBorder="1" applyAlignment="1"/>
    <xf numFmtId="167" fontId="2" fillId="3" borderId="11" xfId="0" applyNumberFormat="1" applyFont="1" applyFill="1" applyBorder="1" applyAlignment="1"/>
    <xf numFmtId="39" fontId="2" fillId="0" borderId="11" xfId="0" applyNumberFormat="1" applyFont="1" applyBorder="1" applyAlignment="1"/>
    <xf numFmtId="39" fontId="1" fillId="0" borderId="56" xfId="0" applyNumberFormat="1" applyFont="1" applyBorder="1" applyAlignment="1"/>
    <xf numFmtId="0" fontId="2" fillId="15" borderId="68" xfId="0" applyFont="1" applyFill="1" applyBorder="1" applyAlignment="1"/>
    <xf numFmtId="0" fontId="1" fillId="15" borderId="35" xfId="0" applyFont="1" applyFill="1" applyBorder="1" applyAlignment="1"/>
    <xf numFmtId="0" fontId="2" fillId="15" borderId="35" xfId="0" applyFont="1" applyFill="1" applyBorder="1" applyAlignment="1"/>
    <xf numFmtId="3" fontId="2" fillId="15" borderId="35" xfId="0" applyNumberFormat="1" applyFont="1" applyFill="1" applyBorder="1" applyAlignment="1"/>
    <xf numFmtId="166" fontId="2" fillId="15" borderId="35" xfId="0" applyNumberFormat="1" applyFont="1" applyFill="1" applyBorder="1" applyAlignment="1"/>
    <xf numFmtId="165" fontId="2" fillId="15" borderId="35" xfId="0" applyNumberFormat="1" applyFont="1" applyFill="1" applyBorder="1" applyAlignment="1"/>
    <xf numFmtId="165" fontId="2" fillId="15" borderId="51" xfId="0" applyNumberFormat="1" applyFont="1" applyFill="1" applyBorder="1" applyAlignment="1"/>
    <xf numFmtId="0" fontId="2" fillId="0" borderId="164" xfId="0" applyFont="1" applyBorder="1" applyAlignment="1"/>
    <xf numFmtId="175" fontId="1" fillId="6" borderId="60" xfId="0" applyNumberFormat="1" applyFont="1" applyFill="1" applyBorder="1" applyAlignment="1"/>
    <xf numFmtId="175" fontId="1" fillId="6" borderId="165" xfId="0" applyNumberFormat="1" applyFont="1" applyFill="1" applyBorder="1" applyAlignment="1"/>
    <xf numFmtId="175" fontId="1" fillId="6" borderId="61" xfId="0" applyNumberFormat="1" applyFont="1" applyFill="1" applyBorder="1" applyAlignment="1"/>
    <xf numFmtId="175" fontId="1" fillId="6" borderId="70" xfId="0" applyNumberFormat="1" applyFont="1" applyFill="1" applyBorder="1" applyAlignment="1"/>
    <xf numFmtId="0" fontId="2" fillId="0" borderId="158" xfId="0" applyFont="1" applyBorder="1" applyAlignment="1"/>
    <xf numFmtId="0" fontId="1" fillId="10" borderId="166" xfId="0" applyFont="1" applyFill="1" applyBorder="1" applyAlignment="1"/>
    <xf numFmtId="0" fontId="1" fillId="10" borderId="167" xfId="0" applyFont="1" applyFill="1" applyBorder="1" applyAlignment="1"/>
    <xf numFmtId="166" fontId="19" fillId="10" borderId="167" xfId="0" applyNumberFormat="1" applyFont="1" applyFill="1" applyBorder="1" applyAlignment="1"/>
    <xf numFmtId="165" fontId="19" fillId="10" borderId="167" xfId="0" applyNumberFormat="1" applyFont="1" applyFill="1" applyBorder="1" applyAlignment="1"/>
    <xf numFmtId="175" fontId="19" fillId="10" borderId="167" xfId="0" applyNumberFormat="1" applyFont="1" applyFill="1" applyBorder="1" applyAlignment="1"/>
    <xf numFmtId="175" fontId="19" fillId="10" borderId="170" xfId="0" applyNumberFormat="1" applyFont="1" applyFill="1" applyBorder="1" applyAlignment="1"/>
    <xf numFmtId="0" fontId="19" fillId="0" borderId="0" xfId="0" applyFont="1" applyAlignment="1"/>
    <xf numFmtId="166" fontId="19" fillId="0" borderId="0" xfId="0" applyNumberFormat="1" applyFont="1" applyAlignment="1"/>
    <xf numFmtId="165" fontId="19" fillId="0" borderId="0" xfId="0" applyNumberFormat="1" applyFont="1" applyAlignment="1"/>
    <xf numFmtId="0" fontId="1" fillId="5" borderId="45" xfId="0" applyFont="1" applyFill="1" applyBorder="1" applyAlignment="1"/>
    <xf numFmtId="0" fontId="1" fillId="5" borderId="8" xfId="0" applyFont="1" applyFill="1" applyBorder="1" applyAlignment="1"/>
    <xf numFmtId="0" fontId="2" fillId="5" borderId="35" xfId="0" applyFont="1" applyFill="1" applyBorder="1" applyAlignment="1"/>
    <xf numFmtId="0" fontId="2" fillId="9" borderId="35" xfId="0" applyFont="1" applyFill="1" applyBorder="1" applyAlignment="1"/>
    <xf numFmtId="0" fontId="2" fillId="5" borderId="91" xfId="0" applyFont="1" applyFill="1" applyBorder="1" applyAlignment="1"/>
    <xf numFmtId="0" fontId="2" fillId="9" borderId="91" xfId="0" applyFont="1" applyFill="1" applyBorder="1" applyAlignment="1"/>
    <xf numFmtId="0" fontId="2" fillId="0" borderId="54" xfId="0" applyFont="1" applyBorder="1" applyAlignment="1"/>
    <xf numFmtId="166" fontId="2" fillId="5" borderId="8" xfId="0" applyNumberFormat="1" applyFont="1" applyFill="1" applyBorder="1" applyAlignment="1"/>
    <xf numFmtId="39" fontId="2" fillId="0" borderId="16" xfId="0" applyNumberFormat="1" applyFont="1" applyBorder="1" applyAlignment="1"/>
    <xf numFmtId="166" fontId="2" fillId="5" borderId="35" xfId="0" applyNumberFormat="1" applyFont="1" applyFill="1" applyBorder="1" applyAlignment="1"/>
    <xf numFmtId="165" fontId="2" fillId="0" borderId="143" xfId="0" applyNumberFormat="1" applyFont="1" applyBorder="1" applyAlignment="1"/>
    <xf numFmtId="166" fontId="2" fillId="5" borderId="91" xfId="0" applyNumberFormat="1" applyFont="1" applyFill="1" applyBorder="1" applyAlignment="1"/>
    <xf numFmtId="165" fontId="2" fillId="0" borderId="54" xfId="0" applyNumberFormat="1" applyFont="1" applyBorder="1" applyAlignment="1"/>
    <xf numFmtId="172" fontId="2" fillId="5" borderId="8" xfId="0" applyNumberFormat="1" applyFont="1" applyFill="1" applyBorder="1" applyAlignment="1"/>
    <xf numFmtId="175" fontId="2" fillId="9" borderId="8" xfId="0" applyNumberFormat="1" applyFont="1" applyFill="1" applyBorder="1" applyAlignment="1"/>
    <xf numFmtId="179" fontId="2" fillId="0" borderId="16" xfId="0" applyNumberFormat="1" applyFont="1" applyBorder="1" applyAlignment="1"/>
    <xf numFmtId="179" fontId="2" fillId="0" borderId="136" xfId="0" applyNumberFormat="1" applyFont="1" applyBorder="1" applyAlignment="1"/>
    <xf numFmtId="165" fontId="2" fillId="5" borderId="8" xfId="0" applyNumberFormat="1" applyFont="1" applyFill="1" applyBorder="1" applyAlignment="1">
      <alignment horizontal="right"/>
    </xf>
    <xf numFmtId="165" fontId="16" fillId="5" borderId="8" xfId="0" applyNumberFormat="1" applyFont="1" applyFill="1" applyBorder="1" applyAlignment="1">
      <alignment horizontal="right"/>
    </xf>
    <xf numFmtId="166" fontId="2" fillId="9" borderId="8" xfId="0" applyNumberFormat="1" applyFont="1" applyFill="1" applyBorder="1" applyAlignment="1"/>
    <xf numFmtId="2" fontId="2" fillId="0" borderId="16" xfId="0" applyNumberFormat="1" applyFont="1" applyBorder="1" applyAlignment="1"/>
    <xf numFmtId="0" fontId="2" fillId="0" borderId="53" xfId="0" applyFont="1" applyBorder="1" applyAlignment="1">
      <alignment horizontal="center"/>
    </xf>
    <xf numFmtId="165" fontId="2" fillId="5" borderId="8" xfId="0" applyNumberFormat="1" applyFont="1" applyFill="1" applyBorder="1" applyAlignment="1"/>
    <xf numFmtId="0" fontId="2" fillId="15" borderId="171" xfId="0" applyFont="1" applyFill="1" applyBorder="1" applyAlignment="1"/>
    <xf numFmtId="0" fontId="2" fillId="15" borderId="61" xfId="0" applyFont="1" applyFill="1" applyBorder="1" applyAlignment="1"/>
    <xf numFmtId="166" fontId="1" fillId="15" borderId="61" xfId="0" applyNumberFormat="1" applyFont="1" applyFill="1" applyBorder="1" applyAlignment="1"/>
    <xf numFmtId="166" fontId="2" fillId="15" borderId="61" xfId="0" applyNumberFormat="1" applyFont="1" applyFill="1" applyBorder="1" applyAlignment="1"/>
    <xf numFmtId="165" fontId="2" fillId="15" borderId="61" xfId="0" applyNumberFormat="1" applyFont="1" applyFill="1" applyBorder="1" applyAlignment="1"/>
    <xf numFmtId="165" fontId="2" fillId="15" borderId="70" xfId="0" applyNumberFormat="1" applyFont="1" applyFill="1" applyBorder="1" applyAlignment="1"/>
    <xf numFmtId="0" fontId="2" fillId="0" borderId="52" xfId="0" applyFont="1" applyBorder="1" applyAlignment="1"/>
    <xf numFmtId="0" fontId="2" fillId="0" borderId="96" xfId="0" applyFont="1" applyBorder="1" applyAlignment="1"/>
    <xf numFmtId="166" fontId="1" fillId="0" borderId="96" xfId="0" applyNumberFormat="1" applyFont="1" applyBorder="1" applyAlignment="1"/>
    <xf numFmtId="166" fontId="2" fillId="0" borderId="96" xfId="0" applyNumberFormat="1" applyFont="1" applyBorder="1" applyAlignment="1"/>
    <xf numFmtId="0" fontId="1" fillId="6" borderId="172" xfId="0" applyFont="1" applyFill="1" applyBorder="1" applyAlignment="1"/>
    <xf numFmtId="0" fontId="1" fillId="6" borderId="80" xfId="0" applyFont="1" applyFill="1" applyBorder="1" applyAlignment="1"/>
    <xf numFmtId="166" fontId="1" fillId="6" borderId="80" xfId="0" applyNumberFormat="1" applyFont="1" applyFill="1" applyBorder="1" applyAlignment="1"/>
    <xf numFmtId="165" fontId="1" fillId="6" borderId="61" xfId="0" applyNumberFormat="1" applyFont="1" applyFill="1" applyBorder="1" applyAlignment="1"/>
    <xf numFmtId="172" fontId="1" fillId="6" borderId="61" xfId="0" applyNumberFormat="1" applyFont="1" applyFill="1" applyBorder="1" applyAlignment="1"/>
    <xf numFmtId="172" fontId="1" fillId="6" borderId="70" xfId="0" applyNumberFormat="1" applyFont="1" applyFill="1" applyBorder="1" applyAlignment="1"/>
    <xf numFmtId="0" fontId="2" fillId="0" borderId="173" xfId="0" applyFont="1" applyBorder="1" applyAlignment="1"/>
    <xf numFmtId="0" fontId="2" fillId="0" borderId="174" xfId="0" applyFont="1" applyBorder="1" applyAlignment="1"/>
    <xf numFmtId="0" fontId="2" fillId="0" borderId="175" xfId="0" applyFont="1" applyBorder="1" applyAlignment="1"/>
    <xf numFmtId="0" fontId="15" fillId="0" borderId="0" xfId="0" applyFont="1" applyAlignment="1"/>
    <xf numFmtId="0" fontId="1" fillId="0" borderId="137" xfId="0" applyFont="1" applyBorder="1" applyAlignment="1"/>
    <xf numFmtId="0" fontId="1" fillId="0" borderId="25" xfId="0" applyFont="1" applyBorder="1" applyAlignment="1"/>
    <xf numFmtId="0" fontId="1" fillId="0" borderId="143" xfId="0" applyFont="1" applyBorder="1" applyAlignment="1"/>
    <xf numFmtId="0" fontId="1" fillId="0" borderId="176" xfId="0" applyFont="1" applyBorder="1" applyAlignment="1"/>
    <xf numFmtId="0" fontId="2" fillId="0" borderId="177" xfId="0" applyFont="1" applyBorder="1" applyAlignment="1"/>
    <xf numFmtId="166" fontId="2" fillId="0" borderId="178" xfId="0" applyNumberFormat="1" applyFont="1" applyBorder="1" applyAlignment="1"/>
    <xf numFmtId="2" fontId="2" fillId="0" borderId="178" xfId="0" applyNumberFormat="1" applyFont="1" applyBorder="1" applyAlignment="1"/>
    <xf numFmtId="2" fontId="2" fillId="0" borderId="179" xfId="0" applyNumberFormat="1" applyFont="1" applyBorder="1" applyAlignment="1"/>
    <xf numFmtId="2" fontId="2" fillId="0" borderId="2" xfId="0" applyNumberFormat="1" applyFont="1" applyBorder="1" applyAlignment="1"/>
    <xf numFmtId="2" fontId="2" fillId="0" borderId="146" xfId="0" applyNumberFormat="1" applyFont="1" applyBorder="1" applyAlignment="1"/>
    <xf numFmtId="2" fontId="1" fillId="0" borderId="100" xfId="0" applyNumberFormat="1" applyFont="1" applyBorder="1" applyAlignment="1"/>
    <xf numFmtId="2" fontId="1" fillId="0" borderId="180" xfId="0" applyNumberFormat="1" applyFont="1" applyBorder="1" applyAlignment="1"/>
    <xf numFmtId="0" fontId="2" fillId="6" borderId="62" xfId="0" applyFont="1" applyFill="1" applyBorder="1" applyAlignment="1"/>
    <xf numFmtId="2" fontId="1" fillId="6" borderId="62" xfId="0" applyNumberFormat="1" applyFont="1" applyFill="1" applyBorder="1" applyAlignment="1"/>
    <xf numFmtId="2" fontId="1" fillId="6" borderId="63" xfId="0" applyNumberFormat="1" applyFont="1" applyFill="1" applyBorder="1" applyAlignment="1"/>
    <xf numFmtId="0" fontId="14" fillId="0" borderId="106" xfId="0" applyFont="1" applyBorder="1" applyAlignment="1"/>
    <xf numFmtId="0" fontId="9" fillId="0" borderId="107" xfId="0" applyFont="1" applyBorder="1" applyAlignment="1">
      <alignment horizontal="center"/>
    </xf>
    <xf numFmtId="0" fontId="1" fillId="0" borderId="107" xfId="0" applyFont="1" applyBorder="1" applyAlignment="1">
      <alignment horizontal="center"/>
    </xf>
    <xf numFmtId="0" fontId="1" fillId="0" borderId="109" xfId="0" applyFont="1" applyBorder="1" applyAlignment="1">
      <alignment horizontal="center"/>
    </xf>
    <xf numFmtId="0" fontId="9" fillId="0" borderId="177" xfId="0" applyFont="1" applyBorder="1" applyAlignment="1"/>
    <xf numFmtId="0" fontId="9" fillId="0" borderId="178" xfId="0" applyFont="1" applyBorder="1" applyAlignment="1">
      <alignment horizontal="center"/>
    </xf>
    <xf numFmtId="0" fontId="1" fillId="0" borderId="178" xfId="0" applyFont="1" applyBorder="1" applyAlignment="1">
      <alignment horizontal="center"/>
    </xf>
    <xf numFmtId="0" fontId="1" fillId="0" borderId="179" xfId="0" applyFont="1" applyBorder="1" applyAlignment="1">
      <alignment horizontal="center"/>
    </xf>
    <xf numFmtId="0" fontId="14" fillId="0" borderId="97" xfId="0" applyFont="1" applyBorder="1" applyAlignment="1"/>
    <xf numFmtId="166" fontId="14" fillId="0" borderId="2" xfId="0" applyNumberFormat="1" applyFont="1" applyBorder="1" applyAlignment="1"/>
    <xf numFmtId="165" fontId="14" fillId="0" borderId="2" xfId="0" applyNumberFormat="1" applyFont="1" applyBorder="1" applyAlignment="1"/>
    <xf numFmtId="170" fontId="2" fillId="0" borderId="146" xfId="0" applyNumberFormat="1" applyFont="1" applyBorder="1" applyAlignment="1"/>
    <xf numFmtId="0" fontId="14" fillId="14" borderId="181" xfId="0" applyFont="1" applyFill="1" applyBorder="1" applyAlignment="1"/>
    <xf numFmtId="0" fontId="14" fillId="14" borderId="182" xfId="0" applyFont="1" applyFill="1" applyBorder="1" applyAlignment="1"/>
    <xf numFmtId="165" fontId="9" fillId="14" borderId="182" xfId="0" applyNumberFormat="1" applyFont="1" applyFill="1" applyBorder="1" applyAlignment="1"/>
    <xf numFmtId="0" fontId="1" fillId="6" borderId="182" xfId="0" applyFont="1" applyFill="1" applyBorder="1" applyAlignment="1">
      <alignment horizontal="center"/>
    </xf>
    <xf numFmtId="170" fontId="9" fillId="6" borderId="183" xfId="0" applyNumberFormat="1" applyFont="1" applyFill="1" applyBorder="1" applyAlignment="1"/>
    <xf numFmtId="0" fontId="2" fillId="0" borderId="184" xfId="0" applyFont="1" applyBorder="1" applyAlignment="1"/>
    <xf numFmtId="0" fontId="9" fillId="0" borderId="104" xfId="0" applyFont="1" applyBorder="1" applyAlignment="1">
      <alignment horizontal="center"/>
    </xf>
    <xf numFmtId="0" fontId="1" fillId="0" borderId="104" xfId="0" applyFont="1" applyBorder="1" applyAlignment="1">
      <alignment horizontal="center"/>
    </xf>
    <xf numFmtId="0" fontId="1" fillId="0" borderId="185" xfId="0" applyFont="1" applyBorder="1" applyAlignment="1">
      <alignment horizontal="center"/>
    </xf>
    <xf numFmtId="0" fontId="1" fillId="0" borderId="186" xfId="0" applyFont="1" applyBorder="1" applyAlignment="1"/>
    <xf numFmtId="0" fontId="9" fillId="0" borderId="21" xfId="0" applyFont="1" applyBorder="1" applyAlignment="1">
      <alignment horizontal="center"/>
    </xf>
    <xf numFmtId="0" fontId="1" fillId="0" borderId="21" xfId="0" applyFont="1" applyBorder="1" applyAlignment="1">
      <alignment horizontal="center"/>
    </xf>
    <xf numFmtId="0" fontId="1" fillId="0" borderId="187" xfId="0" applyFont="1" applyBorder="1" applyAlignment="1">
      <alignment horizontal="center"/>
    </xf>
    <xf numFmtId="171" fontId="14" fillId="0" borderId="2" xfId="0" applyNumberFormat="1" applyFont="1" applyBorder="1" applyAlignment="1"/>
    <xf numFmtId="165" fontId="2" fillId="0" borderId="146" xfId="0" applyNumberFormat="1" applyFont="1" applyBorder="1" applyAlignment="1"/>
    <xf numFmtId="0" fontId="2" fillId="14" borderId="181" xfId="0" applyFont="1" applyFill="1" applyBorder="1" applyAlignment="1"/>
    <xf numFmtId="175" fontId="9" fillId="6" borderId="183" xfId="0" applyNumberFormat="1" applyFont="1" applyFill="1" applyBorder="1" applyAlignment="1"/>
    <xf numFmtId="170" fontId="9" fillId="0" borderId="0" xfId="0" applyNumberFormat="1" applyFont="1" applyAlignment="1"/>
    <xf numFmtId="0" fontId="2" fillId="0" borderId="131" xfId="0" applyFont="1" applyBorder="1" applyAlignment="1"/>
    <xf numFmtId="0" fontId="2" fillId="0" borderId="132" xfId="0" applyFont="1" applyBorder="1" applyAlignment="1"/>
    <xf numFmtId="0" fontId="1" fillId="0" borderId="188" xfId="0" applyFont="1" applyBorder="1" applyAlignment="1">
      <alignment horizontal="center"/>
    </xf>
    <xf numFmtId="0" fontId="1" fillId="0" borderId="132" xfId="0" applyFont="1" applyBorder="1" applyAlignment="1">
      <alignment horizontal="center"/>
    </xf>
    <xf numFmtId="0" fontId="1" fillId="0" borderId="134" xfId="0" applyFont="1" applyBorder="1" applyAlignment="1">
      <alignment horizontal="center"/>
    </xf>
    <xf numFmtId="0" fontId="9" fillId="0" borderId="16" xfId="0" applyFont="1" applyBorder="1" applyAlignment="1">
      <alignment horizontal="center"/>
    </xf>
    <xf numFmtId="0" fontId="1" fillId="0" borderId="31" xfId="0" applyFont="1" applyBorder="1" applyAlignment="1">
      <alignment horizontal="center"/>
    </xf>
    <xf numFmtId="0" fontId="1" fillId="0" borderId="16" xfId="0" applyFont="1" applyBorder="1" applyAlignment="1">
      <alignment horizontal="center"/>
    </xf>
    <xf numFmtId="0" fontId="1" fillId="0" borderId="136" xfId="0" applyFont="1" applyBorder="1" applyAlignment="1">
      <alignment horizontal="center"/>
    </xf>
    <xf numFmtId="0" fontId="1" fillId="0" borderId="159" xfId="0" applyFont="1" applyBorder="1" applyAlignment="1"/>
    <xf numFmtId="0" fontId="9" fillId="0" borderId="25" xfId="0" applyFont="1" applyBorder="1" applyAlignment="1">
      <alignment horizontal="center"/>
    </xf>
    <xf numFmtId="166" fontId="14" fillId="0" borderId="37" xfId="0" applyNumberFormat="1" applyFont="1" applyBorder="1" applyAlignment="1"/>
    <xf numFmtId="170" fontId="2" fillId="0" borderId="37" xfId="0" applyNumberFormat="1" applyFont="1" applyBorder="1" applyAlignment="1">
      <alignment horizontal="center"/>
    </xf>
    <xf numFmtId="172" fontId="2" fillId="0" borderId="189" xfId="0" applyNumberFormat="1" applyFont="1" applyBorder="1" applyAlignment="1">
      <alignment horizontal="right"/>
    </xf>
    <xf numFmtId="170" fontId="2" fillId="0" borderId="2" xfId="0" applyNumberFormat="1" applyFont="1" applyBorder="1" applyAlignment="1">
      <alignment horizontal="center"/>
    </xf>
    <xf numFmtId="172" fontId="2" fillId="0" borderId="146" xfId="0" applyNumberFormat="1" applyFont="1" applyBorder="1" applyAlignment="1">
      <alignment horizontal="right"/>
    </xf>
    <xf numFmtId="0" fontId="2" fillId="14" borderId="182" xfId="0" applyFont="1" applyFill="1" applyBorder="1" applyAlignment="1"/>
    <xf numFmtId="170" fontId="1" fillId="14" borderId="182" xfId="0" applyNumberFormat="1" applyFont="1" applyFill="1" applyBorder="1" applyAlignment="1">
      <alignment horizontal="center"/>
    </xf>
    <xf numFmtId="170" fontId="1" fillId="14" borderId="183" xfId="0" applyNumberFormat="1" applyFont="1" applyFill="1" applyBorder="1" applyAlignment="1"/>
    <xf numFmtId="0" fontId="1" fillId="6" borderId="91" xfId="0" applyFont="1" applyFill="1" applyBorder="1" applyAlignment="1"/>
    <xf numFmtId="177" fontId="1" fillId="6" borderId="91" xfId="0" applyNumberFormat="1" applyFont="1" applyFill="1" applyBorder="1" applyAlignment="1"/>
    <xf numFmtId="166" fontId="16" fillId="6" borderId="35" xfId="0" applyNumberFormat="1" applyFont="1" applyFill="1" applyBorder="1" applyAlignment="1"/>
    <xf numFmtId="0" fontId="2" fillId="3" borderId="5" xfId="0" applyFont="1" applyFill="1" applyBorder="1" applyAlignment="1"/>
    <xf numFmtId="3" fontId="1" fillId="9" borderId="11" xfId="0" applyNumberFormat="1" applyFont="1" applyFill="1" applyBorder="1" applyAlignment="1"/>
    <xf numFmtId="3" fontId="16" fillId="3" borderId="11" xfId="0" applyNumberFormat="1" applyFont="1" applyFill="1" applyBorder="1" applyAlignment="1"/>
    <xf numFmtId="166" fontId="17" fillId="0" borderId="11" xfId="0" applyNumberFormat="1" applyFont="1" applyBorder="1" applyAlignment="1"/>
    <xf numFmtId="0" fontId="17" fillId="3" borderId="11" xfId="0" applyFont="1" applyFill="1" applyBorder="1" applyAlignment="1"/>
    <xf numFmtId="3" fontId="17" fillId="3" borderId="33" xfId="0" applyNumberFormat="1" applyFont="1" applyFill="1" applyBorder="1" applyAlignment="1"/>
    <xf numFmtId="39" fontId="16" fillId="0" borderId="33" xfId="0" applyNumberFormat="1" applyFont="1" applyBorder="1" applyAlignment="1"/>
    <xf numFmtId="166" fontId="2" fillId="6" borderId="8" xfId="0" applyNumberFormat="1" applyFont="1" applyFill="1" applyBorder="1" applyAlignment="1"/>
    <xf numFmtId="166" fontId="16" fillId="6" borderId="8" xfId="0" applyNumberFormat="1" applyFont="1" applyFill="1" applyBorder="1" applyAlignment="1"/>
    <xf numFmtId="165" fontId="16" fillId="6" borderId="8" xfId="0" applyNumberFormat="1" applyFont="1" applyFill="1" applyBorder="1" applyAlignment="1"/>
    <xf numFmtId="0" fontId="2" fillId="3" borderId="11" xfId="0" applyFont="1" applyFill="1" applyBorder="1" applyAlignment="1"/>
    <xf numFmtId="172" fontId="16" fillId="9" borderId="11" xfId="0" applyNumberFormat="1" applyFont="1" applyFill="1" applyBorder="1" applyAlignment="1"/>
    <xf numFmtId="166" fontId="16" fillId="3" borderId="11" xfId="0" applyNumberFormat="1" applyFont="1" applyFill="1" applyBorder="1" applyAlignment="1"/>
    <xf numFmtId="166" fontId="15" fillId="0" borderId="11" xfId="0" applyNumberFormat="1" applyFont="1" applyBorder="1" applyAlignment="1"/>
    <xf numFmtId="165" fontId="18" fillId="0" borderId="11" xfId="0" applyNumberFormat="1" applyFont="1" applyBorder="1" applyAlignment="1"/>
    <xf numFmtId="166" fontId="16" fillId="3" borderId="33" xfId="0" applyNumberFormat="1" applyFont="1" applyFill="1" applyBorder="1" applyAlignment="1"/>
    <xf numFmtId="166" fontId="15" fillId="0" borderId="33" xfId="0" applyNumberFormat="1" applyFont="1" applyBorder="1" applyAlignment="1"/>
    <xf numFmtId="165" fontId="15" fillId="0" borderId="33" xfId="0" applyNumberFormat="1" applyFont="1" applyBorder="1" applyAlignment="1"/>
    <xf numFmtId="0" fontId="2" fillId="6" borderId="8" xfId="0" applyFont="1" applyFill="1" applyBorder="1" applyAlignment="1">
      <alignment horizontal="center"/>
    </xf>
    <xf numFmtId="166" fontId="17" fillId="3" borderId="11" xfId="0" applyNumberFormat="1" applyFont="1" applyFill="1" applyBorder="1" applyAlignment="1"/>
    <xf numFmtId="165" fontId="15" fillId="0" borderId="11" xfId="0" applyNumberFormat="1" applyFont="1" applyBorder="1" applyAlignment="1"/>
    <xf numFmtId="166" fontId="2" fillId="3" borderId="11" xfId="0" applyNumberFormat="1" applyFont="1" applyFill="1" applyBorder="1" applyAlignment="1"/>
    <xf numFmtId="166" fontId="17" fillId="3" borderId="33" xfId="0" applyNumberFormat="1" applyFont="1" applyFill="1" applyBorder="1" applyAlignment="1"/>
    <xf numFmtId="166" fontId="17" fillId="0" borderId="33" xfId="0" applyNumberFormat="1" applyFont="1" applyBorder="1" applyAlignment="1"/>
    <xf numFmtId="165" fontId="17" fillId="0" borderId="33" xfId="0" applyNumberFormat="1" applyFont="1" applyBorder="1" applyAlignment="1"/>
    <xf numFmtId="166" fontId="1" fillId="3" borderId="11" xfId="0" applyNumberFormat="1" applyFont="1" applyFill="1" applyBorder="1" applyAlignment="1"/>
    <xf numFmtId="166" fontId="2" fillId="3" borderId="33" xfId="0" applyNumberFormat="1" applyFont="1" applyFill="1" applyBorder="1" applyAlignment="1"/>
    <xf numFmtId="0" fontId="2" fillId="0" borderId="58" xfId="0" applyFont="1" applyBorder="1" applyAlignment="1"/>
    <xf numFmtId="0" fontId="2" fillId="9" borderId="32" xfId="0" applyFont="1" applyFill="1" applyBorder="1" applyAlignment="1"/>
    <xf numFmtId="166" fontId="16" fillId="9" borderId="32" xfId="0" applyNumberFormat="1" applyFont="1" applyFill="1" applyBorder="1" applyAlignment="1"/>
    <xf numFmtId="166" fontId="2" fillId="9" borderId="32" xfId="0" applyNumberFormat="1" applyFont="1" applyFill="1" applyBorder="1" applyAlignment="1"/>
    <xf numFmtId="0" fontId="2" fillId="6" borderId="26" xfId="0" applyFont="1" applyFill="1" applyBorder="1" applyAlignment="1"/>
    <xf numFmtId="0" fontId="2" fillId="6" borderId="190" xfId="0" applyFont="1" applyFill="1" applyBorder="1" applyAlignment="1"/>
    <xf numFmtId="172" fontId="2" fillId="5" borderId="11" xfId="0" applyNumberFormat="1" applyFont="1" applyFill="1" applyBorder="1" applyAlignment="1"/>
    <xf numFmtId="172" fontId="17" fillId="9" borderId="11" xfId="0" applyNumberFormat="1" applyFont="1" applyFill="1" applyBorder="1" applyAlignment="1"/>
    <xf numFmtId="168" fontId="17" fillId="9" borderId="11" xfId="0" applyNumberFormat="1" applyFont="1" applyFill="1" applyBorder="1" applyAlignment="1"/>
    <xf numFmtId="2" fontId="17" fillId="9" borderId="11" xfId="0" applyNumberFormat="1" applyFont="1" applyFill="1" applyBorder="1" applyAlignment="1"/>
    <xf numFmtId="176" fontId="16" fillId="9" borderId="11" xfId="0" applyNumberFormat="1" applyFont="1" applyFill="1" applyBorder="1" applyAlignment="1"/>
    <xf numFmtId="166" fontId="1" fillId="3" borderId="33" xfId="0" applyNumberFormat="1" applyFont="1" applyFill="1" applyBorder="1" applyAlignment="1"/>
    <xf numFmtId="166" fontId="17" fillId="6" borderId="8" xfId="0" applyNumberFormat="1" applyFont="1" applyFill="1" applyBorder="1" applyAlignment="1"/>
    <xf numFmtId="0" fontId="2" fillId="14" borderId="82" xfId="0" applyFont="1" applyFill="1" applyBorder="1" applyAlignment="1"/>
    <xf numFmtId="0" fontId="2" fillId="14" borderId="26" xfId="0" applyFont="1" applyFill="1" applyBorder="1" applyAlignment="1"/>
    <xf numFmtId="38" fontId="2" fillId="14" borderId="26" xfId="0" applyNumberFormat="1" applyFont="1" applyFill="1" applyBorder="1" applyAlignment="1"/>
    <xf numFmtId="166" fontId="2" fillId="14" borderId="26" xfId="0" applyNumberFormat="1" applyFont="1" applyFill="1" applyBorder="1" applyAlignment="1"/>
    <xf numFmtId="0" fontId="2" fillId="0" borderId="191" xfId="0" applyFont="1" applyBorder="1" applyAlignment="1"/>
    <xf numFmtId="0" fontId="1" fillId="0" borderId="191" xfId="0" applyFont="1" applyBorder="1" applyAlignment="1"/>
    <xf numFmtId="3" fontId="2" fillId="0" borderId="11" xfId="0" applyNumberFormat="1" applyFont="1" applyBorder="1" applyAlignment="1"/>
    <xf numFmtId="170" fontId="2" fillId="0" borderId="11" xfId="0" applyNumberFormat="1" applyFont="1" applyBorder="1" applyAlignment="1"/>
    <xf numFmtId="1" fontId="2" fillId="0" borderId="11" xfId="0" applyNumberFormat="1" applyFont="1" applyBorder="1" applyAlignment="1"/>
    <xf numFmtId="3" fontId="1" fillId="0" borderId="11" xfId="0" applyNumberFormat="1" applyFont="1" applyBorder="1" applyAlignment="1"/>
    <xf numFmtId="3" fontId="15" fillId="0" borderId="11" xfId="0" applyNumberFormat="1" applyFont="1" applyBorder="1" applyAlignment="1"/>
    <xf numFmtId="0" fontId="15" fillId="0" borderId="11" xfId="0" applyFont="1" applyBorder="1" applyAlignment="1"/>
    <xf numFmtId="0" fontId="2" fillId="14" borderId="11" xfId="0" applyFont="1" applyFill="1" applyBorder="1" applyAlignment="1"/>
    <xf numFmtId="11" fontId="2" fillId="0" borderId="11" xfId="0" applyNumberFormat="1" applyFont="1" applyBorder="1" applyAlignment="1"/>
    <xf numFmtId="171" fontId="2" fillId="0" borderId="11" xfId="0" applyNumberFormat="1" applyFont="1" applyBorder="1" applyAlignment="1"/>
    <xf numFmtId="171" fontId="15" fillId="0" borderId="11" xfId="0" applyNumberFormat="1" applyFont="1" applyBorder="1" applyAlignment="1"/>
    <xf numFmtId="170" fontId="15" fillId="0" borderId="11" xfId="0" applyNumberFormat="1" applyFont="1" applyBorder="1" applyAlignment="1"/>
    <xf numFmtId="180" fontId="2" fillId="0" borderId="11" xfId="0" applyNumberFormat="1" applyFont="1" applyBorder="1" applyAlignment="1"/>
    <xf numFmtId="173" fontId="2" fillId="0" borderId="11" xfId="0" applyNumberFormat="1" applyFont="1" applyBorder="1" applyAlignment="1"/>
    <xf numFmtId="2" fontId="2" fillId="0" borderId="11" xfId="0" applyNumberFormat="1" applyFont="1" applyBorder="1" applyAlignment="1"/>
    <xf numFmtId="0" fontId="2" fillId="6" borderId="192" xfId="0" applyFont="1" applyFill="1" applyBorder="1" applyAlignment="1"/>
    <xf numFmtId="0" fontId="1" fillId="3" borderId="193" xfId="0" applyFont="1" applyFill="1" applyBorder="1" applyAlignment="1"/>
    <xf numFmtId="0" fontId="2" fillId="3" borderId="165" xfId="0" applyFont="1" applyFill="1" applyBorder="1" applyAlignment="1"/>
    <xf numFmtId="0" fontId="2" fillId="3" borderId="190" xfId="0" applyFont="1" applyFill="1" applyBorder="1" applyAlignment="1"/>
    <xf numFmtId="0" fontId="1" fillId="0" borderId="37" xfId="0" applyFont="1" applyBorder="1" applyAlignment="1"/>
    <xf numFmtId="0" fontId="1" fillId="0" borderId="194" xfId="0" applyFont="1" applyBorder="1" applyAlignment="1"/>
    <xf numFmtId="0" fontId="1" fillId="0" borderId="7" xfId="0" applyFont="1" applyBorder="1" applyAlignment="1"/>
    <xf numFmtId="0" fontId="1" fillId="0" borderId="38" xfId="0" applyFont="1" applyBorder="1" applyAlignment="1"/>
    <xf numFmtId="0" fontId="2" fillId="0" borderId="98" xfId="0" applyFont="1" applyBorder="1" applyAlignment="1"/>
    <xf numFmtId="0" fontId="2" fillId="0" borderId="195" xfId="0" applyFont="1" applyBorder="1" applyAlignment="1"/>
    <xf numFmtId="0" fontId="2" fillId="0" borderId="39" xfId="0" applyFont="1" applyBorder="1" applyAlignment="1">
      <alignment horizontal="left"/>
    </xf>
    <xf numFmtId="3" fontId="2" fillId="0" borderId="2" xfId="0" applyNumberFormat="1" applyFont="1" applyBorder="1" applyAlignment="1">
      <alignment horizontal="right"/>
    </xf>
    <xf numFmtId="3" fontId="2" fillId="0" borderId="2" xfId="0" applyNumberFormat="1" applyFont="1" applyBorder="1" applyAlignment="1"/>
    <xf numFmtId="3" fontId="2" fillId="0" borderId="98" xfId="0" applyNumberFormat="1" applyFont="1" applyBorder="1" applyAlignment="1"/>
    <xf numFmtId="3" fontId="2" fillId="0" borderId="195" xfId="0" applyNumberFormat="1" applyFont="1" applyBorder="1" applyAlignment="1">
      <alignment horizontal="right"/>
    </xf>
    <xf numFmtId="3" fontId="2" fillId="0" borderId="195" xfId="0" applyNumberFormat="1" applyFont="1" applyBorder="1" applyAlignment="1"/>
    <xf numFmtId="166" fontId="2" fillId="0" borderId="40" xfId="0" applyNumberFormat="1" applyFont="1" applyBorder="1" applyAlignment="1"/>
    <xf numFmtId="0" fontId="2" fillId="0" borderId="41" xfId="0" applyFont="1" applyBorder="1" applyAlignment="1">
      <alignment horizontal="left"/>
    </xf>
    <xf numFmtId="3" fontId="2" fillId="0" borderId="42" xfId="0" applyNumberFormat="1" applyFont="1" applyBorder="1" applyAlignment="1">
      <alignment horizontal="right"/>
    </xf>
    <xf numFmtId="3" fontId="2" fillId="0" borderId="42" xfId="0" applyNumberFormat="1" applyFont="1" applyBorder="1" applyAlignment="1"/>
    <xf numFmtId="3" fontId="2" fillId="0" borderId="196" xfId="0" applyNumberFormat="1" applyFont="1" applyBorder="1" applyAlignment="1"/>
    <xf numFmtId="3" fontId="2" fillId="0" borderId="197" xfId="0" applyNumberFormat="1" applyFont="1" applyBorder="1" applyAlignment="1">
      <alignment horizontal="right"/>
    </xf>
    <xf numFmtId="3" fontId="2" fillId="0" borderId="197" xfId="0" applyNumberFormat="1" applyFont="1" applyBorder="1" applyAlignment="1"/>
    <xf numFmtId="166" fontId="2" fillId="0" borderId="43" xfId="0" applyNumberFormat="1" applyFont="1" applyBorder="1" applyAlignment="1"/>
    <xf numFmtId="0" fontId="18" fillId="0" borderId="0" xfId="0" applyFont="1" applyAlignment="1"/>
    <xf numFmtId="0" fontId="1" fillId="3" borderId="190" xfId="0" applyFont="1" applyFill="1" applyBorder="1" applyAlignment="1"/>
    <xf numFmtId="3" fontId="2" fillId="0" borderId="40" xfId="0" applyNumberFormat="1" applyFont="1" applyBorder="1" applyAlignment="1"/>
    <xf numFmtId="0" fontId="2" fillId="0" borderId="198" xfId="0" applyFont="1" applyBorder="1" applyAlignment="1"/>
    <xf numFmtId="0" fontId="2" fillId="0" borderId="100" xfId="0" applyFont="1" applyBorder="1" applyAlignment="1"/>
    <xf numFmtId="3" fontId="2" fillId="0" borderId="100" xfId="0" applyNumberFormat="1" applyFont="1" applyBorder="1" applyAlignment="1"/>
    <xf numFmtId="3" fontId="2" fillId="0" borderId="48" xfId="0" applyNumberFormat="1" applyFont="1" applyBorder="1" applyAlignment="1"/>
    <xf numFmtId="0" fontId="2" fillId="6" borderId="199" xfId="0" applyFont="1" applyFill="1" applyBorder="1" applyAlignment="1"/>
    <xf numFmtId="3" fontId="2" fillId="6" borderId="62" xfId="0" applyNumberFormat="1" applyFont="1" applyFill="1" applyBorder="1" applyAlignment="1"/>
    <xf numFmtId="166" fontId="2" fillId="6" borderId="62" xfId="0" applyNumberFormat="1" applyFont="1" applyFill="1" applyBorder="1" applyAlignment="1"/>
    <xf numFmtId="3" fontId="2" fillId="6" borderId="102" xfId="0" applyNumberFormat="1" applyFont="1" applyFill="1" applyBorder="1" applyAlignment="1"/>
    <xf numFmtId="3" fontId="2" fillId="6" borderId="42" xfId="0" applyNumberFormat="1" applyFont="1" applyFill="1" applyBorder="1" applyAlignment="1"/>
    <xf numFmtId="3" fontId="2" fillId="6" borderId="2" xfId="0" applyNumberFormat="1" applyFont="1" applyFill="1" applyBorder="1" applyAlignment="1"/>
    <xf numFmtId="3" fontId="2" fillId="6" borderId="43" xfId="0" applyNumberFormat="1" applyFont="1" applyFill="1" applyBorder="1" applyAlignment="1"/>
    <xf numFmtId="3" fontId="2" fillId="0" borderId="0" xfId="0" applyNumberFormat="1" applyFont="1" applyAlignment="1"/>
    <xf numFmtId="0" fontId="17" fillId="0" borderId="0" xfId="0" applyFont="1" applyAlignment="1"/>
    <xf numFmtId="0" fontId="2" fillId="0" borderId="6" xfId="0" applyFont="1" applyBorder="1" applyAlignment="1"/>
    <xf numFmtId="0" fontId="1" fillId="0" borderId="29" xfId="0" applyFont="1" applyBorder="1" applyAlignment="1"/>
    <xf numFmtId="0" fontId="1" fillId="16" borderId="41" xfId="0" applyFont="1" applyFill="1" applyBorder="1" applyAlignment="1"/>
    <xf numFmtId="166" fontId="2" fillId="16" borderId="200" xfId="0" applyNumberFormat="1" applyFont="1" applyFill="1" applyBorder="1" applyAlignment="1"/>
    <xf numFmtId="0" fontId="1" fillId="3" borderId="165" xfId="0" applyFont="1" applyFill="1" applyBorder="1" applyAlignment="1"/>
    <xf numFmtId="0" fontId="1" fillId="9" borderId="41" xfId="0" applyFont="1" applyFill="1" applyBorder="1" applyAlignment="1">
      <alignment wrapText="1"/>
    </xf>
    <xf numFmtId="166" fontId="2" fillId="9" borderId="42" xfId="0" applyNumberFormat="1" applyFont="1" applyFill="1" applyBorder="1" applyAlignment="1"/>
    <xf numFmtId="0" fontId="12" fillId="3" borderId="190" xfId="0" applyFont="1" applyFill="1" applyBorder="1" applyAlignment="1"/>
    <xf numFmtId="0" fontId="11" fillId="0" borderId="0" xfId="0" applyFont="1" applyAlignment="1"/>
    <xf numFmtId="166" fontId="2" fillId="0" borderId="39" xfId="0" applyNumberFormat="1" applyFont="1" applyBorder="1" applyAlignment="1"/>
    <xf numFmtId="166" fontId="2" fillId="0" borderId="100" xfId="0" applyNumberFormat="1" applyFont="1" applyBorder="1" applyAlignment="1"/>
    <xf numFmtId="0" fontId="1" fillId="17" borderId="199" xfId="0" applyFont="1" applyFill="1" applyBorder="1" applyAlignment="1">
      <alignment wrapText="1"/>
    </xf>
    <xf numFmtId="166" fontId="2" fillId="17" borderId="62" xfId="0" applyNumberFormat="1" applyFont="1" applyFill="1" applyBorder="1" applyAlignment="1"/>
    <xf numFmtId="166" fontId="2" fillId="17" borderId="201" xfId="0" applyNumberFormat="1" applyFont="1" applyFill="1" applyBorder="1" applyAlignment="1"/>
    <xf numFmtId="3" fontId="2" fillId="17" borderId="62" xfId="0" applyNumberFormat="1" applyFont="1" applyFill="1" applyBorder="1" applyAlignment="1"/>
    <xf numFmtId="3" fontId="2" fillId="17" borderId="102" xfId="0" applyNumberFormat="1" applyFont="1" applyFill="1" applyBorder="1" applyAlignment="1"/>
    <xf numFmtId="166" fontId="2" fillId="17" borderId="42" xfId="0" applyNumberFormat="1" applyFont="1" applyFill="1" applyBorder="1" applyAlignment="1"/>
    <xf numFmtId="166" fontId="2" fillId="17" borderId="43" xfId="0" applyNumberFormat="1" applyFont="1" applyFill="1" applyBorder="1" applyAlignment="1"/>
    <xf numFmtId="0" fontId="1" fillId="8" borderId="199" xfId="0" applyFont="1" applyFill="1" applyBorder="1" applyAlignment="1">
      <alignment wrapText="1"/>
    </xf>
    <xf numFmtId="165" fontId="2" fillId="8" borderId="62" xfId="0" applyNumberFormat="1" applyFont="1" applyFill="1" applyBorder="1" applyAlignment="1"/>
    <xf numFmtId="166" fontId="2" fillId="8" borderId="62" xfId="0" applyNumberFormat="1" applyFont="1" applyFill="1" applyBorder="1" applyAlignment="1"/>
    <xf numFmtId="0" fontId="1" fillId="0" borderId="202" xfId="0" applyFont="1" applyBorder="1" applyAlignment="1"/>
    <xf numFmtId="0" fontId="1" fillId="18" borderId="41" xfId="0" applyFont="1" applyFill="1" applyBorder="1" applyAlignment="1">
      <alignment wrapText="1"/>
    </xf>
    <xf numFmtId="166" fontId="2" fillId="0" borderId="200" xfId="0" applyNumberFormat="1" applyFont="1" applyBorder="1" applyAlignment="1"/>
    <xf numFmtId="166" fontId="2" fillId="0" borderId="203" xfId="0" applyNumberFormat="1" applyFont="1" applyBorder="1" applyAlignment="1"/>
    <xf numFmtId="0" fontId="1" fillId="14" borderId="26" xfId="0" applyFont="1" applyFill="1" applyBorder="1" applyAlignment="1"/>
    <xf numFmtId="3" fontId="2" fillId="0" borderId="0" xfId="0" applyNumberFormat="1" applyFont="1" applyAlignment="1">
      <alignment horizontal="center"/>
    </xf>
    <xf numFmtId="0" fontId="1" fillId="6" borderId="36" xfId="0" applyFont="1" applyFill="1" applyBorder="1" applyAlignment="1"/>
    <xf numFmtId="0" fontId="1" fillId="6" borderId="37" xfId="0" applyFont="1" applyFill="1" applyBorder="1" applyAlignment="1"/>
    <xf numFmtId="0" fontId="1" fillId="6" borderId="204" xfId="0" applyFont="1" applyFill="1" applyBorder="1" applyAlignment="1"/>
    <xf numFmtId="0" fontId="1" fillId="6" borderId="120" xfId="0" applyFont="1" applyFill="1" applyBorder="1" applyAlignment="1"/>
    <xf numFmtId="0" fontId="1" fillId="6" borderId="81" xfId="0" applyFont="1" applyFill="1" applyBorder="1" applyAlignment="1"/>
    <xf numFmtId="0" fontId="1" fillId="19" borderId="39" xfId="0" applyFont="1" applyFill="1" applyBorder="1" applyAlignment="1">
      <alignment wrapText="1"/>
    </xf>
    <xf numFmtId="177" fontId="1" fillId="0" borderId="2" xfId="0" applyNumberFormat="1" applyFont="1" applyBorder="1" applyAlignment="1">
      <alignment horizontal="right"/>
    </xf>
    <xf numFmtId="177" fontId="1" fillId="0" borderId="98" xfId="0" applyNumberFormat="1" applyFont="1" applyBorder="1" applyAlignment="1"/>
    <xf numFmtId="177" fontId="1" fillId="0" borderId="75" xfId="0" applyNumberFormat="1" applyFont="1" applyBorder="1" applyAlignment="1"/>
    <xf numFmtId="0" fontId="2" fillId="0" borderId="86" xfId="0" applyFont="1" applyBorder="1" applyAlignment="1"/>
    <xf numFmtId="2" fontId="1" fillId="0" borderId="2" xfId="0" applyNumberFormat="1" applyFont="1" applyBorder="1" applyAlignment="1"/>
    <xf numFmtId="0" fontId="2" fillId="20" borderId="2" xfId="0" applyFont="1" applyFill="1" applyBorder="1" applyAlignment="1"/>
    <xf numFmtId="165" fontId="1" fillId="0" borderId="2" xfId="0" applyNumberFormat="1" applyFont="1" applyBorder="1" applyAlignment="1"/>
    <xf numFmtId="2" fontId="1" fillId="0" borderId="98" xfId="0" applyNumberFormat="1" applyFont="1" applyBorder="1" applyAlignment="1"/>
    <xf numFmtId="0" fontId="2" fillId="20" borderId="116" xfId="0" applyFont="1" applyFill="1" applyBorder="1" applyAlignment="1"/>
    <xf numFmtId="166" fontId="2" fillId="0" borderId="98" xfId="0" applyNumberFormat="1" applyFont="1" applyBorder="1" applyAlignment="1"/>
    <xf numFmtId="166" fontId="1" fillId="0" borderId="75" xfId="0" applyNumberFormat="1" applyFont="1" applyBorder="1" applyAlignment="1"/>
    <xf numFmtId="165" fontId="2" fillId="0" borderId="100" xfId="0" applyNumberFormat="1" applyFont="1" applyBorder="1" applyAlignment="1"/>
    <xf numFmtId="0" fontId="2" fillId="20" borderId="205" xfId="0" applyFont="1" applyFill="1" applyBorder="1" applyAlignment="1"/>
    <xf numFmtId="165" fontId="2" fillId="0" borderId="48" xfId="0" applyNumberFormat="1" applyFont="1" applyBorder="1" applyAlignment="1"/>
    <xf numFmtId="181" fontId="2" fillId="0" borderId="78" xfId="0" applyNumberFormat="1" applyFont="1" applyBorder="1" applyAlignment="1"/>
    <xf numFmtId="0" fontId="1" fillId="8" borderId="41" xfId="0" applyFont="1" applyFill="1" applyBorder="1" applyAlignment="1">
      <alignment wrapText="1"/>
    </xf>
    <xf numFmtId="165" fontId="2" fillId="8" borderId="42" xfId="0" applyNumberFormat="1" applyFont="1" applyFill="1" applyBorder="1" applyAlignment="1"/>
    <xf numFmtId="182" fontId="2" fillId="8" borderId="42" xfId="0" applyNumberFormat="1" applyFont="1" applyFill="1" applyBorder="1" applyAlignment="1"/>
    <xf numFmtId="165" fontId="2" fillId="8" borderId="206" xfId="0" applyNumberFormat="1" applyFont="1" applyFill="1" applyBorder="1" applyAlignment="1"/>
    <xf numFmtId="181" fontId="2" fillId="0" borderId="0" xfId="0" applyNumberFormat="1" applyFont="1" applyAlignment="1"/>
    <xf numFmtId="0" fontId="1" fillId="20" borderId="2" xfId="0" applyFont="1" applyFill="1" applyBorder="1" applyAlignment="1"/>
    <xf numFmtId="0" fontId="1" fillId="20" borderId="2" xfId="0" applyFont="1" applyFill="1" applyBorder="1" applyAlignment="1">
      <alignment horizontal="center"/>
    </xf>
    <xf numFmtId="166" fontId="1" fillId="20" borderId="2" xfId="0" applyNumberFormat="1" applyFont="1" applyFill="1" applyBorder="1" applyAlignment="1">
      <alignment horizontal="center"/>
    </xf>
    <xf numFmtId="165" fontId="2" fillId="0" borderId="49" xfId="0" applyNumberFormat="1" applyFont="1" applyBorder="1" applyAlignment="1"/>
    <xf numFmtId="4" fontId="2" fillId="0" borderId="0" xfId="0" applyNumberFormat="1" applyFont="1" applyAlignment="1"/>
    <xf numFmtId="0" fontId="16" fillId="0" borderId="2" xfId="0" applyFont="1" applyBorder="1" applyAlignment="1"/>
    <xf numFmtId="166" fontId="16" fillId="0" borderId="2" xfId="0" applyNumberFormat="1" applyFont="1" applyBorder="1" applyAlignment="1"/>
    <xf numFmtId="0" fontId="1" fillId="20" borderId="207" xfId="0" applyFont="1" applyFill="1" applyBorder="1" applyAlignment="1"/>
    <xf numFmtId="0" fontId="1" fillId="20" borderId="26" xfId="0" applyFont="1" applyFill="1" applyBorder="1" applyAlignment="1"/>
    <xf numFmtId="0" fontId="2" fillId="20" borderId="26" xfId="0" applyFont="1" applyFill="1" applyBorder="1" applyAlignment="1"/>
    <xf numFmtId="0" fontId="2" fillId="0" borderId="208" xfId="0" applyFont="1" applyBorder="1" applyAlignment="1"/>
    <xf numFmtId="0" fontId="2" fillId="0" borderId="4" xfId="0" applyFont="1" applyBorder="1" applyAlignment="1">
      <alignment horizontal="center"/>
    </xf>
    <xf numFmtId="184" fontId="1" fillId="0" borderId="5" xfId="0" applyNumberFormat="1" applyFont="1" applyBorder="1" applyAlignment="1">
      <alignment horizontal="center" wrapText="1"/>
    </xf>
    <xf numFmtId="184" fontId="1" fillId="0" borderId="53" xfId="0" applyNumberFormat="1" applyFont="1" applyBorder="1" applyAlignment="1">
      <alignment horizontal="center"/>
    </xf>
    <xf numFmtId="184" fontId="1" fillId="0" borderId="61" xfId="0" applyNumberFormat="1" applyFont="1" applyBorder="1" applyAlignment="1">
      <alignment horizontal="center" wrapText="1"/>
    </xf>
    <xf numFmtId="184" fontId="1" fillId="0" borderId="0" xfId="0" applyNumberFormat="1" applyFont="1" applyAlignment="1"/>
    <xf numFmtId="0" fontId="2" fillId="0" borderId="28" xfId="0" applyFont="1" applyBorder="1" applyAlignment="1">
      <alignment horizontal="center"/>
    </xf>
    <xf numFmtId="185" fontId="2" fillId="0" borderId="16" xfId="0" applyNumberFormat="1" applyFont="1" applyBorder="1" applyAlignment="1"/>
    <xf numFmtId="10" fontId="2" fillId="0" borderId="53" xfId="0" applyNumberFormat="1" applyFont="1" applyBorder="1" applyAlignment="1"/>
    <xf numFmtId="0" fontId="2" fillId="0" borderId="31" xfId="0" applyFont="1" applyBorder="1" applyAlignment="1">
      <alignment horizontal="center"/>
    </xf>
    <xf numFmtId="0" fontId="2" fillId="0" borderId="85" xfId="0" applyFont="1" applyBorder="1" applyAlignment="1">
      <alignment horizontal="center"/>
    </xf>
    <xf numFmtId="185" fontId="2" fillId="0" borderId="85" xfId="0" applyNumberFormat="1" applyFont="1" applyBorder="1" applyAlignment="1"/>
    <xf numFmtId="10" fontId="2" fillId="0" borderId="85" xfId="0" applyNumberFormat="1" applyFont="1" applyBorder="1" applyAlignment="1"/>
    <xf numFmtId="0" fontId="16" fillId="0" borderId="25" xfId="0" applyFont="1" applyBorder="1" applyAlignment="1"/>
    <xf numFmtId="0" fontId="16" fillId="0" borderId="25" xfId="0" applyFont="1" applyBorder="1" applyAlignment="1">
      <alignment horizontal="center"/>
    </xf>
    <xf numFmtId="185" fontId="2" fillId="0" borderId="25" xfId="0" applyNumberFormat="1" applyFont="1" applyBorder="1" applyAlignment="1"/>
    <xf numFmtId="0" fontId="16" fillId="0" borderId="61" xfId="0" applyFont="1" applyBorder="1" applyAlignment="1"/>
    <xf numFmtId="0" fontId="2" fillId="0" borderId="95" xfId="0" applyFont="1" applyBorder="1" applyAlignment="1">
      <alignment horizontal="center"/>
    </xf>
    <xf numFmtId="185" fontId="2" fillId="0" borderId="61" xfId="0" applyNumberFormat="1" applyFont="1" applyBorder="1" applyAlignment="1"/>
    <xf numFmtId="10" fontId="2" fillId="0" borderId="61" xfId="0" applyNumberFormat="1" applyFont="1" applyBorder="1" applyAlignment="1"/>
    <xf numFmtId="185" fontId="2" fillId="0" borderId="53" xfId="0" applyNumberFormat="1" applyFont="1" applyBorder="1" applyAlignment="1"/>
    <xf numFmtId="166" fontId="14" fillId="0" borderId="16" xfId="0" applyNumberFormat="1" applyFont="1" applyBorder="1" applyAlignment="1"/>
    <xf numFmtId="0" fontId="16" fillId="0" borderId="16" xfId="0" applyFont="1" applyBorder="1" applyAlignment="1"/>
    <xf numFmtId="166" fontId="2" fillId="0" borderId="16" xfId="0" applyNumberFormat="1" applyFont="1" applyBorder="1" applyAlignment="1">
      <alignment horizontal="right"/>
    </xf>
    <xf numFmtId="166" fontId="16" fillId="0" borderId="61" xfId="0" applyNumberFormat="1" applyFont="1" applyBorder="1" applyAlignment="1"/>
    <xf numFmtId="166" fontId="2" fillId="6" borderId="61" xfId="0" applyNumberFormat="1" applyFont="1" applyFill="1" applyBorder="1" applyAlignment="1"/>
    <xf numFmtId="166" fontId="2" fillId="0" borderId="53" xfId="0" applyNumberFormat="1" applyFont="1" applyBorder="1" applyAlignment="1">
      <alignment horizontal="right"/>
    </xf>
    <xf numFmtId="166" fontId="2" fillId="0" borderId="0" xfId="0" applyNumberFormat="1" applyFont="1" applyAlignment="1">
      <alignment horizontal="right"/>
    </xf>
    <xf numFmtId="183" fontId="2" fillId="0" borderId="58" xfId="0" applyNumberFormat="1" applyFont="1" applyBorder="1" applyAlignment="1">
      <alignment horizontal="left"/>
    </xf>
    <xf numFmtId="166" fontId="2" fillId="0" borderId="58" xfId="0" applyNumberFormat="1" applyFont="1" applyBorder="1" applyAlignment="1"/>
    <xf numFmtId="166" fontId="2" fillId="9" borderId="35" xfId="0" applyNumberFormat="1" applyFont="1" applyFill="1" applyBorder="1" applyAlignment="1"/>
    <xf numFmtId="166" fontId="2" fillId="0" borderId="24" xfId="0" applyNumberFormat="1" applyFont="1" applyBorder="1" applyAlignment="1"/>
    <xf numFmtId="0" fontId="2" fillId="0" borderId="0" xfId="0" applyFont="1" applyAlignment="1">
      <alignment horizontal="left"/>
    </xf>
    <xf numFmtId="0" fontId="2" fillId="0" borderId="216" xfId="0" applyFont="1" applyBorder="1" applyAlignment="1"/>
    <xf numFmtId="0" fontId="2" fillId="0" borderId="217" xfId="0" applyFont="1" applyBorder="1" applyAlignment="1"/>
    <xf numFmtId="0" fontId="2" fillId="0" borderId="218" xfId="0" applyFont="1" applyBorder="1" applyAlignment="1"/>
    <xf numFmtId="0" fontId="14" fillId="16" borderId="219" xfId="0" applyFont="1" applyFill="1" applyBorder="1" applyAlignment="1"/>
    <xf numFmtId="0" fontId="14" fillId="16" borderId="26" xfId="0" applyFont="1" applyFill="1" applyBorder="1" applyAlignment="1"/>
    <xf numFmtId="0" fontId="2" fillId="0" borderId="220" xfId="0" applyFont="1" applyBorder="1" applyAlignment="1"/>
    <xf numFmtId="0" fontId="14" fillId="0" borderId="221" xfId="0" applyFont="1" applyBorder="1" applyAlignment="1"/>
    <xf numFmtId="0" fontId="14" fillId="20" borderId="222" xfId="0" applyFont="1" applyFill="1" applyBorder="1" applyAlignment="1"/>
    <xf numFmtId="0" fontId="14" fillId="20" borderId="223" xfId="0" applyFont="1" applyFill="1" applyBorder="1" applyAlignment="1"/>
    <xf numFmtId="0" fontId="9" fillId="20" borderId="223" xfId="0" applyFont="1" applyFill="1" applyBorder="1" applyAlignment="1">
      <alignment horizontal="center"/>
    </xf>
    <xf numFmtId="0" fontId="14" fillId="20" borderId="224" xfId="0" applyFont="1" applyFill="1" applyBorder="1" applyAlignment="1"/>
    <xf numFmtId="0" fontId="2" fillId="20" borderId="223" xfId="0" applyFont="1" applyFill="1" applyBorder="1" applyAlignment="1"/>
    <xf numFmtId="0" fontId="2" fillId="20" borderId="224" xfId="0" applyFont="1" applyFill="1" applyBorder="1" applyAlignment="1"/>
    <xf numFmtId="0" fontId="2" fillId="20" borderId="222" xfId="0" applyFont="1" applyFill="1" applyBorder="1" applyAlignment="1"/>
    <xf numFmtId="0" fontId="9" fillId="20" borderId="223" xfId="0" applyFont="1" applyFill="1" applyBorder="1" applyAlignment="1">
      <alignment horizontal="left"/>
    </xf>
    <xf numFmtId="0" fontId="1" fillId="0" borderId="225" xfId="0" applyFont="1" applyBorder="1" applyAlignment="1">
      <alignment horizontal="center"/>
    </xf>
    <xf numFmtId="0" fontId="9" fillId="0" borderId="0" xfId="0" applyFont="1" applyAlignment="1">
      <alignment horizontal="center"/>
    </xf>
    <xf numFmtId="0" fontId="1" fillId="0" borderId="226" xfId="0" applyFont="1" applyBorder="1" applyAlignment="1">
      <alignment horizontal="center"/>
    </xf>
    <xf numFmtId="0" fontId="1" fillId="0" borderId="227" xfId="0" applyFont="1" applyBorder="1" applyAlignment="1">
      <alignment horizontal="center"/>
    </xf>
    <xf numFmtId="0" fontId="14" fillId="0" borderId="226" xfId="0" applyFont="1" applyBorder="1" applyAlignment="1"/>
    <xf numFmtId="0" fontId="2" fillId="0" borderId="227" xfId="0" applyFont="1" applyBorder="1" applyAlignment="1"/>
    <xf numFmtId="0" fontId="2" fillId="0" borderId="226" xfId="0" applyFont="1" applyBorder="1" applyAlignment="1"/>
    <xf numFmtId="0" fontId="1" fillId="0" borderId="228" xfId="0" applyFont="1" applyBorder="1" applyAlignment="1">
      <alignment horizontal="center"/>
    </xf>
    <xf numFmtId="0" fontId="9" fillId="0" borderId="221" xfId="0" applyFont="1" applyBorder="1" applyAlignment="1"/>
    <xf numFmtId="0" fontId="9" fillId="0" borderId="226" xfId="0" applyFont="1" applyBorder="1" applyAlignment="1">
      <alignment horizontal="center"/>
    </xf>
    <xf numFmtId="0" fontId="1" fillId="0" borderId="226" xfId="0" applyFont="1" applyBorder="1" applyAlignment="1">
      <alignment horizontal="center" wrapText="1"/>
    </xf>
    <xf numFmtId="0" fontId="1" fillId="0" borderId="0" xfId="0" applyFont="1" applyAlignment="1">
      <alignment horizontal="center" wrapText="1"/>
    </xf>
    <xf numFmtId="0" fontId="1" fillId="0" borderId="24" xfId="0" applyFont="1" applyBorder="1" applyAlignment="1">
      <alignment horizontal="center" wrapText="1"/>
    </xf>
    <xf numFmtId="0" fontId="1" fillId="0" borderId="229" xfId="0" applyFont="1" applyBorder="1" applyAlignment="1">
      <alignment horizontal="center" wrapText="1"/>
    </xf>
    <xf numFmtId="0" fontId="1" fillId="6" borderId="230" xfId="0" applyFont="1" applyFill="1" applyBorder="1" applyAlignment="1">
      <alignment horizontal="center" wrapText="1"/>
    </xf>
    <xf numFmtId="166" fontId="14" fillId="16" borderId="2" xfId="0" applyNumberFormat="1" applyFont="1" applyFill="1" applyBorder="1" applyAlignment="1"/>
    <xf numFmtId="0" fontId="14" fillId="0" borderId="0" xfId="0" applyFont="1" applyAlignment="1">
      <alignment horizontal="center"/>
    </xf>
    <xf numFmtId="2" fontId="14" fillId="0" borderId="2" xfId="0" applyNumberFormat="1" applyFont="1" applyBorder="1" applyAlignment="1"/>
    <xf numFmtId="186" fontId="14" fillId="0" borderId="2" xfId="0" applyNumberFormat="1" applyFont="1" applyBorder="1" applyAlignment="1"/>
    <xf numFmtId="166" fontId="14" fillId="0" borderId="231" xfId="0" applyNumberFormat="1" applyFont="1" applyBorder="1" applyAlignment="1"/>
    <xf numFmtId="173" fontId="2" fillId="0" borderId="2" xfId="0" applyNumberFormat="1" applyFont="1" applyBorder="1" applyAlignment="1"/>
    <xf numFmtId="173" fontId="2" fillId="0" borderId="232" xfId="0" applyNumberFormat="1" applyFont="1" applyBorder="1" applyAlignment="1"/>
    <xf numFmtId="165" fontId="2" fillId="5" borderId="231" xfId="0" applyNumberFormat="1" applyFont="1" applyFill="1" applyBorder="1" applyAlignment="1"/>
    <xf numFmtId="183" fontId="2" fillId="5" borderId="2" xfId="0" applyNumberFormat="1" applyFont="1" applyFill="1" applyBorder="1" applyAlignment="1">
      <alignment horizontal="right"/>
    </xf>
    <xf numFmtId="187" fontId="2" fillId="0" borderId="0" xfId="0" applyNumberFormat="1" applyFont="1" applyAlignment="1"/>
    <xf numFmtId="173" fontId="2" fillId="0" borderId="0" xfId="0" applyNumberFormat="1" applyFont="1" applyAlignment="1"/>
    <xf numFmtId="173" fontId="2" fillId="0" borderId="227" xfId="0" applyNumberFormat="1" applyFont="1" applyBorder="1" applyAlignment="1"/>
    <xf numFmtId="188" fontId="2" fillId="0" borderId="0" xfId="0" applyNumberFormat="1" applyFont="1" applyAlignment="1"/>
    <xf numFmtId="183" fontId="2" fillId="5" borderId="231" xfId="0" applyNumberFormat="1" applyFont="1" applyFill="1" applyBorder="1" applyAlignment="1"/>
    <xf numFmtId="180" fontId="2" fillId="0" borderId="0" xfId="0" applyNumberFormat="1" applyFont="1" applyAlignment="1"/>
    <xf numFmtId="188" fontId="2" fillId="0" borderId="227" xfId="0" applyNumberFormat="1" applyFont="1" applyBorder="1" applyAlignment="1"/>
    <xf numFmtId="39" fontId="2" fillId="0" borderId="228" xfId="0" applyNumberFormat="1" applyFont="1" applyBorder="1" applyAlignment="1"/>
    <xf numFmtId="189" fontId="2" fillId="0" borderId="0" xfId="0" applyNumberFormat="1" applyFont="1" applyAlignment="1"/>
    <xf numFmtId="190" fontId="2" fillId="5" borderId="2" xfId="0" applyNumberFormat="1" applyFont="1" applyFill="1" applyBorder="1" applyAlignment="1"/>
    <xf numFmtId="183" fontId="2" fillId="5" borderId="2" xfId="0" applyNumberFormat="1" applyFont="1" applyFill="1" applyBorder="1" applyAlignment="1"/>
    <xf numFmtId="166" fontId="14" fillId="0" borderId="0" xfId="0" applyNumberFormat="1" applyFont="1" applyAlignment="1"/>
    <xf numFmtId="0" fontId="2" fillId="0" borderId="228" xfId="0" applyFont="1" applyBorder="1" applyAlignment="1"/>
    <xf numFmtId="0" fontId="2" fillId="0" borderId="221" xfId="0" applyFont="1" applyBorder="1" applyAlignment="1"/>
    <xf numFmtId="190" fontId="2" fillId="5" borderId="233" xfId="0" applyNumberFormat="1" applyFont="1" applyFill="1" applyBorder="1" applyAlignment="1"/>
    <xf numFmtId="183" fontId="2" fillId="5" borderId="233" xfId="0" applyNumberFormat="1" applyFont="1" applyFill="1" applyBorder="1" applyAlignment="1"/>
    <xf numFmtId="183" fontId="2" fillId="5" borderId="234" xfId="0" applyNumberFormat="1" applyFont="1" applyFill="1" applyBorder="1" applyAlignment="1"/>
    <xf numFmtId="0" fontId="14" fillId="16" borderId="2" xfId="0" applyFont="1" applyFill="1" applyBorder="1" applyAlignment="1"/>
    <xf numFmtId="186" fontId="14" fillId="16" borderId="2" xfId="0" applyNumberFormat="1" applyFont="1" applyFill="1" applyBorder="1" applyAlignment="1"/>
    <xf numFmtId="166" fontId="14" fillId="16" borderId="26" xfId="0" applyNumberFormat="1" applyFont="1" applyFill="1" applyBorder="1" applyAlignment="1"/>
    <xf numFmtId="186" fontId="14" fillId="16" borderId="26" xfId="0" applyNumberFormat="1" applyFont="1" applyFill="1" applyBorder="1" applyAlignment="1"/>
    <xf numFmtId="166" fontId="14" fillId="0" borderId="226" xfId="0" applyNumberFormat="1" applyFont="1" applyBorder="1" applyAlignment="1"/>
    <xf numFmtId="173" fontId="1" fillId="6" borderId="235" xfId="0" applyNumberFormat="1" applyFont="1" applyFill="1" applyBorder="1" applyAlignment="1"/>
    <xf numFmtId="0" fontId="14" fillId="0" borderId="236" xfId="0" applyFont="1" applyBorder="1" applyAlignment="1"/>
    <xf numFmtId="0" fontId="14" fillId="0" borderId="237" xfId="0" applyFont="1" applyBorder="1" applyAlignment="1">
      <alignment horizontal="center"/>
    </xf>
    <xf numFmtId="0" fontId="14" fillId="0" borderId="237" xfId="0" applyFont="1" applyBorder="1" applyAlignment="1"/>
    <xf numFmtId="0" fontId="14" fillId="0" borderId="237" xfId="0" applyFont="1" applyBorder="1" applyAlignment="1">
      <alignment horizontal="left"/>
    </xf>
    <xf numFmtId="173" fontId="14" fillId="0" borderId="238" xfId="0" applyNumberFormat="1" applyFont="1" applyBorder="1" applyAlignment="1"/>
    <xf numFmtId="0" fontId="2" fillId="0" borderId="237" xfId="0" applyFont="1" applyBorder="1" applyAlignment="1"/>
    <xf numFmtId="0" fontId="2" fillId="0" borderId="238" xfId="0" applyFont="1" applyBorder="1" applyAlignment="1"/>
    <xf numFmtId="0" fontId="2" fillId="0" borderId="236" xfId="0" applyFont="1" applyBorder="1" applyAlignment="1"/>
    <xf numFmtId="0" fontId="2" fillId="0" borderId="239" xfId="0" applyFont="1" applyBorder="1" applyAlignment="1"/>
    <xf numFmtId="0" fontId="2" fillId="0" borderId="240" xfId="0" applyFont="1" applyBorder="1" applyAlignment="1"/>
    <xf numFmtId="0" fontId="2" fillId="0" borderId="241" xfId="0" applyFont="1" applyBorder="1" applyAlignment="1"/>
    <xf numFmtId="0" fontId="14" fillId="0" borderId="216" xfId="0" applyFont="1" applyBorder="1" applyAlignment="1"/>
    <xf numFmtId="0" fontId="14" fillId="0" borderId="217" xfId="0" applyFont="1" applyBorder="1" applyAlignment="1"/>
    <xf numFmtId="0" fontId="9" fillId="0" borderId="217" xfId="0" applyFont="1" applyBorder="1" applyAlignment="1">
      <alignment horizontal="center"/>
    </xf>
    <xf numFmtId="0" fontId="14" fillId="0" borderId="217" xfId="0" applyFont="1" applyBorder="1" applyAlignment="1">
      <alignment horizontal="center"/>
    </xf>
    <xf numFmtId="0" fontId="14" fillId="0" borderId="217" xfId="0" applyFont="1" applyBorder="1" applyAlignment="1">
      <alignment horizontal="left"/>
    </xf>
    <xf numFmtId="9" fontId="14" fillId="0" borderId="2" xfId="0" applyNumberFormat="1" applyFont="1" applyBorder="1" applyAlignment="1"/>
    <xf numFmtId="173" fontId="1" fillId="6" borderId="2" xfId="0" applyNumberFormat="1" applyFont="1" applyFill="1" applyBorder="1" applyAlignment="1"/>
    <xf numFmtId="0" fontId="14" fillId="0" borderId="240" xfId="0" applyFont="1" applyBorder="1" applyAlignment="1"/>
    <xf numFmtId="166" fontId="14" fillId="0" borderId="155" xfId="0" applyNumberFormat="1" applyFont="1" applyBorder="1" applyAlignment="1"/>
    <xf numFmtId="0" fontId="14" fillId="0" borderId="155" xfId="0" applyFont="1" applyBorder="1" applyAlignment="1">
      <alignment horizontal="center"/>
    </xf>
    <xf numFmtId="9" fontId="14" fillId="0" borderId="155" xfId="0" applyNumberFormat="1" applyFont="1" applyBorder="1" applyAlignment="1"/>
    <xf numFmtId="2" fontId="14" fillId="0" borderId="155" xfId="0" applyNumberFormat="1" applyFont="1" applyBorder="1" applyAlignment="1"/>
    <xf numFmtId="186" fontId="14" fillId="0" borderId="155" xfId="0" applyNumberFormat="1" applyFont="1" applyBorder="1" applyAlignment="1"/>
    <xf numFmtId="173" fontId="2" fillId="0" borderId="155" xfId="0" applyNumberFormat="1" applyFont="1" applyBorder="1" applyAlignment="1"/>
    <xf numFmtId="9" fontId="14" fillId="0" borderId="0" xfId="0" applyNumberFormat="1" applyFont="1" applyAlignment="1"/>
    <xf numFmtId="2" fontId="14" fillId="0" borderId="0" xfId="0" applyNumberFormat="1" applyFont="1" applyAlignment="1"/>
    <xf numFmtId="186" fontId="14" fillId="0" borderId="0" xfId="0" applyNumberFormat="1" applyFont="1" applyAlignment="1"/>
    <xf numFmtId="0" fontId="14" fillId="5" borderId="242" xfId="0" applyFont="1" applyFill="1" applyBorder="1" applyAlignment="1"/>
    <xf numFmtId="0" fontId="14" fillId="5" borderId="243" xfId="0" applyFont="1" applyFill="1" applyBorder="1" applyAlignment="1"/>
    <xf numFmtId="166" fontId="14" fillId="5" borderId="2" xfId="0" applyNumberFormat="1" applyFont="1" applyFill="1" applyBorder="1" applyAlignment="1"/>
    <xf numFmtId="180" fontId="2" fillId="0" borderId="2" xfId="0" applyNumberFormat="1" applyFont="1" applyBorder="1" applyAlignment="1"/>
    <xf numFmtId="166" fontId="20" fillId="2" borderId="26" xfId="0" applyNumberFormat="1" applyFont="1" applyFill="1" applyBorder="1" applyAlignment="1"/>
    <xf numFmtId="180" fontId="2" fillId="0" borderId="61" xfId="0" applyNumberFormat="1" applyFont="1" applyBorder="1" applyAlignment="1"/>
    <xf numFmtId="180" fontId="1" fillId="6" borderId="61" xfId="0" applyNumberFormat="1" applyFont="1" applyFill="1" applyBorder="1" applyAlignment="1"/>
    <xf numFmtId="0" fontId="9" fillId="0" borderId="240" xfId="0" applyFont="1" applyBorder="1" applyAlignment="1"/>
    <xf numFmtId="166" fontId="20" fillId="2" borderId="244" xfId="0" applyNumberFormat="1" applyFont="1" applyFill="1" applyBorder="1" applyAlignment="1"/>
    <xf numFmtId="0" fontId="14" fillId="0" borderId="155" xfId="0" applyFont="1" applyBorder="1" applyAlignment="1"/>
    <xf numFmtId="180" fontId="2" fillId="0" borderId="155" xfId="0" applyNumberFormat="1" applyFont="1" applyBorder="1" applyAlignment="1"/>
    <xf numFmtId="0" fontId="9" fillId="0" borderId="0" xfId="0" applyFont="1" applyAlignment="1"/>
    <xf numFmtId="166" fontId="20" fillId="2" borderId="243" xfId="0" applyNumberFormat="1" applyFont="1" applyFill="1" applyBorder="1" applyAlignment="1"/>
    <xf numFmtId="186" fontId="14" fillId="0" borderId="217" xfId="0" applyNumberFormat="1" applyFont="1" applyBorder="1" applyAlignment="1"/>
    <xf numFmtId="166" fontId="14" fillId="0" borderId="217" xfId="0" applyNumberFormat="1" applyFont="1" applyBorder="1" applyAlignment="1"/>
    <xf numFmtId="173" fontId="2" fillId="0" borderId="217" xfId="0" applyNumberFormat="1" applyFont="1" applyBorder="1" applyAlignment="1"/>
    <xf numFmtId="170" fontId="2" fillId="0" borderId="232" xfId="0" applyNumberFormat="1" applyFont="1" applyBorder="1" applyAlignment="1"/>
    <xf numFmtId="165" fontId="2" fillId="0" borderId="227" xfId="0" applyNumberFormat="1" applyFont="1" applyBorder="1" applyAlignment="1"/>
    <xf numFmtId="191" fontId="2" fillId="0" borderId="0" xfId="0" applyNumberFormat="1" applyFont="1" applyAlignment="1"/>
    <xf numFmtId="191" fontId="14" fillId="0" borderId="0" xfId="0" applyNumberFormat="1" applyFont="1" applyAlignment="1">
      <alignment horizontal="center"/>
    </xf>
    <xf numFmtId="189" fontId="16" fillId="0" borderId="0" xfId="0" applyNumberFormat="1" applyFont="1" applyAlignment="1"/>
    <xf numFmtId="173" fontId="2" fillId="0" borderId="245" xfId="0" applyNumberFormat="1" applyFont="1" applyBorder="1" applyAlignment="1"/>
    <xf numFmtId="2" fontId="2" fillId="0" borderId="0" xfId="0" applyNumberFormat="1" applyFont="1" applyAlignment="1"/>
    <xf numFmtId="173" fontId="1" fillId="6" borderId="246" xfId="0" applyNumberFormat="1" applyFont="1" applyFill="1" applyBorder="1" applyAlignment="1"/>
    <xf numFmtId="183" fontId="2" fillId="5" borderId="26" xfId="0" applyNumberFormat="1" applyFont="1" applyFill="1" applyBorder="1" applyAlignment="1"/>
    <xf numFmtId="183" fontId="2" fillId="5" borderId="247" xfId="0" applyNumberFormat="1" applyFont="1" applyFill="1" applyBorder="1" applyAlignment="1"/>
    <xf numFmtId="0" fontId="2" fillId="3" borderId="26" xfId="0" applyFont="1" applyFill="1" applyBorder="1" applyAlignment="1"/>
    <xf numFmtId="0" fontId="2" fillId="0" borderId="106" xfId="0" applyFont="1" applyBorder="1" applyAlignment="1"/>
    <xf numFmtId="0" fontId="1" fillId="0" borderId="97" xfId="0" applyFont="1" applyBorder="1" applyAlignment="1"/>
    <xf numFmtId="0" fontId="1" fillId="0" borderId="115" xfId="0" applyFont="1" applyBorder="1" applyAlignment="1">
      <alignment horizontal="center"/>
    </xf>
    <xf numFmtId="0" fontId="1" fillId="0" borderId="117" xfId="0" applyFont="1" applyBorder="1" applyAlignment="1">
      <alignment horizontal="center"/>
    </xf>
    <xf numFmtId="186" fontId="2" fillId="0" borderId="2" xfId="0" applyNumberFormat="1" applyFont="1" applyBorder="1" applyAlignment="1"/>
    <xf numFmtId="191" fontId="2" fillId="0" borderId="146" xfId="0" applyNumberFormat="1" applyFont="1" applyBorder="1" applyAlignment="1"/>
    <xf numFmtId="0" fontId="2" fillId="0" borderId="0" xfId="0" applyFont="1" applyAlignment="1">
      <alignment horizontal="center"/>
    </xf>
    <xf numFmtId="0" fontId="2" fillId="0" borderId="248" xfId="0" applyFont="1" applyBorder="1" applyAlignment="1"/>
    <xf numFmtId="191" fontId="1" fillId="0" borderId="183" xfId="0" applyNumberFormat="1" applyFont="1" applyBorder="1" applyAlignment="1"/>
    <xf numFmtId="0" fontId="14" fillId="3" borderId="26" xfId="0" applyFont="1" applyFill="1" applyBorder="1" applyAlignment="1"/>
    <xf numFmtId="0" fontId="1" fillId="0" borderId="164" xfId="0" applyFont="1" applyBorder="1" applyAlignment="1">
      <alignment horizontal="center"/>
    </xf>
    <xf numFmtId="171" fontId="2" fillId="0" borderId="2" xfId="0" applyNumberFormat="1" applyFont="1" applyBorder="1" applyAlignment="1"/>
    <xf numFmtId="172" fontId="2" fillId="0" borderId="146" xfId="0" applyNumberFormat="1" applyFont="1" applyBorder="1" applyAlignment="1">
      <alignment horizontal="center"/>
    </xf>
    <xf numFmtId="166" fontId="2" fillId="0" borderId="0" xfId="0" applyNumberFormat="1" applyFont="1" applyAlignment="1">
      <alignment horizontal="center"/>
    </xf>
    <xf numFmtId="170" fontId="2" fillId="0" borderId="0" xfId="0" applyNumberFormat="1" applyFont="1" applyAlignment="1"/>
    <xf numFmtId="171" fontId="2" fillId="0" borderId="100" xfId="0" applyNumberFormat="1" applyFont="1" applyBorder="1" applyAlignment="1"/>
    <xf numFmtId="172" fontId="2" fillId="0" borderId="100" xfId="0" applyNumberFormat="1" applyFont="1" applyBorder="1" applyAlignment="1"/>
    <xf numFmtId="172" fontId="2" fillId="0" borderId="180" xfId="0" applyNumberFormat="1" applyFont="1" applyBorder="1" applyAlignment="1">
      <alignment horizontal="center"/>
    </xf>
    <xf numFmtId="0" fontId="2" fillId="0" borderId="249" xfId="0" applyFont="1" applyBorder="1" applyAlignment="1"/>
    <xf numFmtId="0" fontId="1" fillId="0" borderId="248" xfId="0" applyFont="1" applyBorder="1" applyAlignment="1"/>
    <xf numFmtId="172" fontId="1" fillId="0" borderId="250" xfId="0" applyNumberFormat="1" applyFont="1" applyBorder="1" applyAlignment="1"/>
    <xf numFmtId="173" fontId="1" fillId="0" borderId="0" xfId="0" applyNumberFormat="1" applyFont="1" applyAlignment="1"/>
    <xf numFmtId="170" fontId="1" fillId="0" borderId="0" xfId="0" applyNumberFormat="1" applyFont="1" applyAlignment="1"/>
    <xf numFmtId="172" fontId="2" fillId="0" borderId="146" xfId="0" applyNumberFormat="1" applyFont="1" applyBorder="1" applyAlignment="1"/>
    <xf numFmtId="0" fontId="1" fillId="0" borderId="105" xfId="0" applyFont="1" applyBorder="1" applyAlignment="1">
      <alignment horizontal="center"/>
    </xf>
    <xf numFmtId="172" fontId="1" fillId="0" borderId="183" xfId="0" applyNumberFormat="1" applyFont="1" applyBorder="1" applyAlignment="1"/>
    <xf numFmtId="0" fontId="14" fillId="8" borderId="26" xfId="0" applyFont="1" applyFill="1" applyBorder="1" applyAlignment="1"/>
    <xf numFmtId="187" fontId="2" fillId="0" borderId="146" xfId="0" applyNumberFormat="1" applyFont="1" applyBorder="1" applyAlignment="1"/>
    <xf numFmtId="187" fontId="2" fillId="0" borderId="251" xfId="0" applyNumberFormat="1" applyFont="1" applyBorder="1" applyAlignment="1">
      <alignment horizontal="center"/>
    </xf>
    <xf numFmtId="172" fontId="2" fillId="0" borderId="0" xfId="0" applyNumberFormat="1" applyFont="1" applyAlignment="1"/>
    <xf numFmtId="187" fontId="1" fillId="0" borderId="146" xfId="0" applyNumberFormat="1" applyFont="1" applyBorder="1" applyAlignment="1"/>
    <xf numFmtId="0" fontId="1" fillId="0" borderId="158" xfId="0" applyFont="1" applyBorder="1" applyAlignment="1">
      <alignment horizontal="center"/>
    </xf>
    <xf numFmtId="165" fontId="1" fillId="0" borderId="252" xfId="0" applyNumberFormat="1" applyFont="1" applyBorder="1" applyAlignment="1"/>
    <xf numFmtId="172" fontId="1" fillId="0" borderId="0" xfId="0" applyNumberFormat="1" applyFont="1" applyAlignment="1"/>
    <xf numFmtId="0" fontId="2" fillId="3" borderId="253" xfId="0" applyFont="1" applyFill="1" applyBorder="1" applyAlignment="1"/>
    <xf numFmtId="0" fontId="2" fillId="3" borderId="254" xfId="0" applyFont="1" applyFill="1" applyBorder="1" applyAlignment="1"/>
    <xf numFmtId="0" fontId="2" fillId="0" borderId="185" xfId="0" applyFont="1" applyBorder="1" applyAlignment="1"/>
    <xf numFmtId="0" fontId="2" fillId="0" borderId="118" xfId="0" applyFont="1" applyBorder="1" applyAlignment="1"/>
    <xf numFmtId="0" fontId="1" fillId="0" borderId="119" xfId="0" applyFont="1" applyBorder="1" applyAlignment="1">
      <alignment horizontal="center"/>
    </xf>
    <xf numFmtId="0" fontId="1" fillId="0" borderId="121" xfId="0" applyFont="1" applyBorder="1" applyAlignment="1">
      <alignment horizontal="center"/>
    </xf>
    <xf numFmtId="0" fontId="1" fillId="0" borderId="111" xfId="0" applyFont="1" applyBorder="1" applyAlignment="1">
      <alignment horizontal="center"/>
    </xf>
    <xf numFmtId="0" fontId="1" fillId="0" borderId="113" xfId="0" applyFont="1" applyBorder="1" applyAlignment="1">
      <alignment horizontal="center"/>
    </xf>
    <xf numFmtId="186" fontId="2" fillId="0" borderId="178" xfId="0" applyNumberFormat="1" applyFont="1" applyBorder="1" applyAlignment="1"/>
    <xf numFmtId="165" fontId="2" fillId="0" borderId="178" xfId="0" applyNumberFormat="1" applyFont="1" applyBorder="1" applyAlignment="1"/>
    <xf numFmtId="170" fontId="2" fillId="0" borderId="189" xfId="0" applyNumberFormat="1" applyFont="1" applyBorder="1" applyAlignment="1"/>
    <xf numFmtId="186" fontId="2" fillId="0" borderId="100" xfId="0" applyNumberFormat="1" applyFont="1" applyBorder="1" applyAlignment="1"/>
    <xf numFmtId="170" fontId="2" fillId="0" borderId="255" xfId="0" applyNumberFormat="1" applyFont="1" applyBorder="1" applyAlignment="1"/>
    <xf numFmtId="0" fontId="1" fillId="0" borderId="61" xfId="0" applyFont="1" applyBorder="1" applyAlignment="1">
      <alignment horizontal="center"/>
    </xf>
    <xf numFmtId="170" fontId="1" fillId="0" borderId="70" xfId="0" applyNumberFormat="1" applyFont="1" applyBorder="1" applyAlignment="1"/>
    <xf numFmtId="0" fontId="2" fillId="0" borderId="256" xfId="0" applyFont="1" applyBorder="1" applyAlignment="1"/>
    <xf numFmtId="171" fontId="2" fillId="0" borderId="178" xfId="0" applyNumberFormat="1" applyFont="1" applyBorder="1" applyAlignment="1"/>
    <xf numFmtId="168" fontId="2" fillId="0" borderId="178" xfId="0" applyNumberFormat="1" applyFont="1" applyBorder="1" applyAlignment="1"/>
    <xf numFmtId="0" fontId="1" fillId="0" borderId="257" xfId="0" applyFont="1" applyBorder="1" applyAlignment="1">
      <alignment horizontal="center"/>
    </xf>
    <xf numFmtId="170" fontId="1" fillId="0" borderId="250" xfId="0" applyNumberFormat="1" applyFont="1" applyBorder="1" applyAlignment="1"/>
    <xf numFmtId="0" fontId="1" fillId="0" borderId="53" xfId="0" applyFont="1" applyBorder="1" applyAlignment="1">
      <alignment horizontal="center"/>
    </xf>
    <xf numFmtId="0" fontId="1" fillId="0" borderId="54" xfId="0" applyFont="1" applyBorder="1" applyAlignment="1">
      <alignment horizontal="center"/>
    </xf>
    <xf numFmtId="0" fontId="1" fillId="0" borderId="25" xfId="0" applyFont="1" applyBorder="1" applyAlignment="1">
      <alignment horizontal="center"/>
    </xf>
    <xf numFmtId="0" fontId="1" fillId="0" borderId="143" xfId="0" applyFont="1" applyBorder="1" applyAlignment="1">
      <alignment horizontal="center"/>
    </xf>
    <xf numFmtId="165" fontId="2" fillId="0" borderId="37" xfId="0" applyNumberFormat="1" applyFont="1" applyBorder="1" applyAlignment="1">
      <alignment horizontal="center"/>
    </xf>
    <xf numFmtId="0" fontId="2" fillId="0" borderId="189" xfId="0" applyFont="1" applyBorder="1" applyAlignment="1"/>
    <xf numFmtId="165" fontId="2" fillId="0" borderId="2" xfId="0" applyNumberFormat="1" applyFont="1" applyBorder="1" applyAlignment="1">
      <alignment horizontal="center"/>
    </xf>
    <xf numFmtId="0" fontId="2" fillId="0" borderId="146" xfId="0" applyFont="1" applyBorder="1" applyAlignment="1"/>
    <xf numFmtId="0" fontId="2" fillId="0" borderId="255" xfId="0" applyFont="1" applyBorder="1" applyAlignment="1"/>
    <xf numFmtId="0" fontId="1" fillId="0" borderId="258" xfId="0" applyFont="1" applyBorder="1" applyAlignment="1">
      <alignment horizontal="center"/>
    </xf>
    <xf numFmtId="0" fontId="1" fillId="0" borderId="259" xfId="0" applyFont="1" applyBorder="1" applyAlignment="1"/>
    <xf numFmtId="0" fontId="2" fillId="8" borderId="260" xfId="0" applyFont="1" applyFill="1" applyBorder="1" applyAlignment="1"/>
    <xf numFmtId="0" fontId="2" fillId="8" borderId="261" xfId="0" applyFont="1" applyFill="1" applyBorder="1" applyAlignment="1"/>
    <xf numFmtId="0" fontId="2" fillId="8" borderId="262" xfId="0" applyFont="1" applyFill="1" applyBorder="1" applyAlignment="1"/>
    <xf numFmtId="0" fontId="2" fillId="0" borderId="263" xfId="0" applyFont="1" applyBorder="1" applyAlignment="1"/>
    <xf numFmtId="0" fontId="2" fillId="0" borderId="264" xfId="0" applyFont="1" applyBorder="1" applyAlignment="1"/>
    <xf numFmtId="0" fontId="1" fillId="0" borderId="195" xfId="0" applyFont="1" applyBorder="1" applyAlignment="1">
      <alignment horizontal="center"/>
    </xf>
    <xf numFmtId="0" fontId="1" fillId="0" borderId="55" xfId="0" applyFont="1" applyBorder="1" applyAlignment="1"/>
    <xf numFmtId="0" fontId="2" fillId="0" borderId="195" xfId="0" applyFont="1" applyBorder="1" applyAlignment="1">
      <alignment horizontal="center"/>
    </xf>
    <xf numFmtId="170" fontId="2" fillId="0" borderId="265" xfId="0" applyNumberFormat="1" applyFont="1" applyBorder="1" applyAlignment="1"/>
    <xf numFmtId="170" fontId="2" fillId="0" borderId="266" xfId="0" applyNumberFormat="1" applyFont="1" applyBorder="1" applyAlignment="1"/>
    <xf numFmtId="170" fontId="1" fillId="0" borderId="259" xfId="0" applyNumberFormat="1" applyFont="1" applyBorder="1" applyAlignment="1"/>
    <xf numFmtId="0" fontId="2" fillId="0" borderId="0" xfId="0" applyFont="1" applyAlignment="1">
      <alignment wrapText="1"/>
    </xf>
    <xf numFmtId="0" fontId="14" fillId="0" borderId="107" xfId="0" applyFont="1" applyBorder="1" applyAlignment="1"/>
    <xf numFmtId="0" fontId="14" fillId="0" borderId="109" xfId="0" applyFont="1" applyBorder="1" applyAlignment="1"/>
    <xf numFmtId="0" fontId="14" fillId="0" borderId="114" xfId="0" applyFont="1" applyBorder="1" applyAlignment="1"/>
    <xf numFmtId="0" fontId="9" fillId="0" borderId="115" xfId="0" applyFont="1" applyBorder="1" applyAlignment="1">
      <alignment horizontal="center"/>
    </xf>
    <xf numFmtId="0" fontId="14" fillId="0" borderId="115" xfId="0" applyFont="1" applyBorder="1" applyAlignment="1"/>
    <xf numFmtId="9" fontId="14" fillId="0" borderId="2" xfId="0" applyNumberFormat="1" applyFont="1" applyBorder="1" applyAlignment="1">
      <alignment horizontal="center"/>
    </xf>
    <xf numFmtId="166" fontId="14" fillId="0" borderId="2" xfId="0" applyNumberFormat="1" applyFont="1" applyBorder="1" applyAlignment="1">
      <alignment horizontal="center"/>
    </xf>
    <xf numFmtId="2" fontId="14" fillId="0" borderId="2" xfId="0" applyNumberFormat="1" applyFont="1" applyBorder="1" applyAlignment="1">
      <alignment horizontal="center"/>
    </xf>
    <xf numFmtId="186" fontId="14" fillId="0" borderId="2" xfId="0" applyNumberFormat="1" applyFont="1" applyBorder="1" applyAlignment="1">
      <alignment horizontal="center"/>
    </xf>
    <xf numFmtId="1" fontId="14" fillId="0" borderId="0" xfId="0" applyNumberFormat="1" applyFont="1" applyAlignment="1">
      <alignment horizontal="center"/>
    </xf>
    <xf numFmtId="166" fontId="14" fillId="3" borderId="2" xfId="0" applyNumberFormat="1" applyFont="1" applyFill="1" applyBorder="1" applyAlignment="1"/>
    <xf numFmtId="0" fontId="14" fillId="0" borderId="97" xfId="0" applyFont="1" applyBorder="1" applyAlignment="1">
      <alignment wrapText="1"/>
    </xf>
    <xf numFmtId="2" fontId="2" fillId="0" borderId="2" xfId="0" applyNumberFormat="1" applyFont="1" applyBorder="1" applyAlignment="1">
      <alignment horizontal="center"/>
    </xf>
    <xf numFmtId="166" fontId="14" fillId="21" borderId="2" xfId="0" applyNumberFormat="1" applyFont="1" applyFill="1" applyBorder="1" applyAlignment="1"/>
    <xf numFmtId="172" fontId="2" fillId="0" borderId="180" xfId="0" applyNumberFormat="1" applyFont="1" applyBorder="1" applyAlignment="1"/>
    <xf numFmtId="0" fontId="14" fillId="0" borderId="2" xfId="0" applyFont="1" applyBorder="1" applyAlignment="1"/>
    <xf numFmtId="0" fontId="9" fillId="0" borderId="199" xfId="0" applyFont="1" applyBorder="1" applyAlignment="1"/>
    <xf numFmtId="172" fontId="9" fillId="0" borderId="63" xfId="0" applyNumberFormat="1" applyFont="1" applyBorder="1" applyAlignment="1"/>
    <xf numFmtId="0" fontId="2" fillId="0" borderId="181" xfId="0" applyFont="1" applyBorder="1" applyAlignment="1"/>
    <xf numFmtId="0" fontId="2" fillId="0" borderId="182" xfId="0" applyFont="1" applyBorder="1" applyAlignment="1"/>
    <xf numFmtId="0" fontId="1" fillId="0" borderId="177" xfId="0" applyFont="1" applyBorder="1" applyAlignment="1"/>
    <xf numFmtId="171" fontId="14" fillId="0" borderId="2" xfId="0" applyNumberFormat="1" applyFont="1" applyBorder="1" applyAlignment="1">
      <alignment horizontal="center"/>
    </xf>
    <xf numFmtId="168" fontId="14" fillId="0" borderId="2" xfId="0" applyNumberFormat="1" applyFont="1" applyBorder="1" applyAlignment="1"/>
    <xf numFmtId="0" fontId="1" fillId="0" borderId="2" xfId="0" applyFont="1" applyBorder="1" applyAlignment="1">
      <alignment horizontal="center"/>
    </xf>
    <xf numFmtId="172" fontId="1" fillId="0" borderId="146" xfId="0" applyNumberFormat="1" applyFont="1" applyBorder="1" applyAlignment="1"/>
    <xf numFmtId="0" fontId="2" fillId="0" borderId="183" xfId="0" applyFont="1" applyBorder="1" applyAlignment="1"/>
    <xf numFmtId="0" fontId="14" fillId="0" borderId="184" xfId="0" applyFont="1" applyBorder="1" applyAlignment="1"/>
    <xf numFmtId="0" fontId="14" fillId="0" borderId="104" xfId="0" applyFont="1" applyBorder="1" applyAlignment="1"/>
    <xf numFmtId="0" fontId="14" fillId="0" borderId="185" xfId="0" applyFont="1" applyBorder="1" applyAlignment="1"/>
    <xf numFmtId="0" fontId="14" fillId="0" borderId="47" xfId="0" applyFont="1" applyBorder="1" applyAlignment="1"/>
    <xf numFmtId="0" fontId="9" fillId="0" borderId="142" xfId="0" applyFont="1" applyBorder="1" applyAlignment="1"/>
    <xf numFmtId="0" fontId="9" fillId="0" borderId="24" xfId="0" applyFont="1" applyBorder="1" applyAlignment="1">
      <alignment horizontal="center"/>
    </xf>
    <xf numFmtId="0" fontId="1" fillId="0" borderId="24" xfId="0" applyFont="1" applyBorder="1" applyAlignment="1">
      <alignment horizontal="center"/>
    </xf>
    <xf numFmtId="0" fontId="1" fillId="0" borderId="267" xfId="0" applyFont="1" applyBorder="1" applyAlignment="1">
      <alignment horizontal="center"/>
    </xf>
    <xf numFmtId="0" fontId="14" fillId="0" borderId="138" xfId="0" applyFont="1" applyBorder="1" applyAlignment="1"/>
    <xf numFmtId="166" fontId="14" fillId="2" borderId="37" xfId="0" applyNumberFormat="1" applyFont="1" applyFill="1" applyBorder="1" applyAlignment="1">
      <alignment horizontal="center"/>
    </xf>
    <xf numFmtId="171" fontId="14" fillId="0" borderId="37" xfId="0" applyNumberFormat="1" applyFont="1" applyBorder="1" applyAlignment="1">
      <alignment horizontal="center"/>
    </xf>
    <xf numFmtId="172" fontId="14" fillId="0" borderId="7" xfId="0" applyNumberFormat="1" applyFont="1" applyBorder="1" applyAlignment="1">
      <alignment horizontal="center"/>
    </xf>
    <xf numFmtId="172" fontId="2" fillId="0" borderId="268" xfId="0" applyNumberFormat="1" applyFont="1" applyBorder="1" applyAlignment="1"/>
    <xf numFmtId="0" fontId="14" fillId="0" borderId="55" xfId="0" applyFont="1" applyBorder="1" applyAlignment="1"/>
    <xf numFmtId="166" fontId="14" fillId="2" borderId="2" xfId="0" applyNumberFormat="1" applyFont="1" applyFill="1" applyBorder="1" applyAlignment="1">
      <alignment horizontal="center"/>
    </xf>
    <xf numFmtId="172" fontId="14" fillId="0" borderId="195" xfId="0" applyNumberFormat="1" applyFont="1" applyBorder="1" applyAlignment="1">
      <alignment horizontal="center"/>
    </xf>
    <xf numFmtId="172" fontId="2" fillId="0" borderId="265" xfId="0" applyNumberFormat="1" applyFont="1" applyBorder="1" applyAlignment="1"/>
    <xf numFmtId="0" fontId="14" fillId="0" borderId="55" xfId="0" applyFont="1" applyBorder="1" applyAlignment="1">
      <alignment wrapText="1"/>
    </xf>
    <xf numFmtId="0" fontId="14" fillId="0" borderId="195" xfId="0" applyFont="1" applyBorder="1" applyAlignment="1"/>
    <xf numFmtId="172" fontId="1" fillId="0" borderId="265" xfId="0" applyNumberFormat="1" applyFont="1" applyBorder="1" applyAlignment="1"/>
    <xf numFmtId="0" fontId="14" fillId="0" borderId="71" xfId="0" applyFont="1" applyBorder="1" applyAlignment="1"/>
    <xf numFmtId="0" fontId="14" fillId="0" borderId="105" xfId="0" applyFont="1" applyBorder="1" applyAlignment="1"/>
    <xf numFmtId="0" fontId="14" fillId="0" borderId="158" xfId="0" applyFont="1" applyBorder="1" applyAlignment="1"/>
    <xf numFmtId="0" fontId="9" fillId="0" borderId="188" xfId="0" applyFont="1" applyBorder="1" applyAlignment="1">
      <alignment horizontal="center"/>
    </xf>
    <xf numFmtId="0" fontId="9" fillId="0" borderId="132" xfId="0" applyFont="1" applyBorder="1" applyAlignment="1">
      <alignment horizontal="center"/>
    </xf>
    <xf numFmtId="0" fontId="9" fillId="0" borderId="134" xfId="0" applyFont="1" applyBorder="1" applyAlignment="1">
      <alignment horizontal="center"/>
    </xf>
    <xf numFmtId="0" fontId="1" fillId="0" borderId="77" xfId="0" applyFont="1" applyBorder="1" applyAlignment="1">
      <alignment horizontal="center"/>
    </xf>
    <xf numFmtId="172" fontId="14" fillId="0" borderId="37" xfId="0" applyNumberFormat="1" applyFont="1" applyBorder="1" applyAlignment="1">
      <alignment horizontal="center"/>
    </xf>
    <xf numFmtId="172" fontId="14" fillId="0" borderId="37" xfId="0" applyNumberFormat="1" applyFont="1" applyBorder="1" applyAlignment="1"/>
    <xf numFmtId="172" fontId="14" fillId="0" borderId="2" xfId="0" applyNumberFormat="1" applyFont="1" applyBorder="1" applyAlignment="1">
      <alignment horizontal="center"/>
    </xf>
    <xf numFmtId="172" fontId="14" fillId="0" borderId="195" xfId="0" applyNumberFormat="1" applyFont="1" applyBorder="1" applyAlignment="1">
      <alignment horizontal="center"/>
    </xf>
    <xf numFmtId="172" fontId="14" fillId="0" borderId="2" xfId="0" applyNumberFormat="1" applyFont="1" applyBorder="1" applyAlignment="1"/>
    <xf numFmtId="172" fontId="14" fillId="0" borderId="100" xfId="0" applyNumberFormat="1" applyFont="1" applyBorder="1" applyAlignment="1"/>
    <xf numFmtId="172" fontId="2" fillId="0" borderId="266" xfId="0" applyNumberFormat="1" applyFont="1" applyBorder="1" applyAlignment="1"/>
    <xf numFmtId="172" fontId="14" fillId="0" borderId="195" xfId="0" applyNumberFormat="1" applyFont="1" applyBorder="1" applyAlignment="1"/>
    <xf numFmtId="172" fontId="1" fillId="0" borderId="61" xfId="0" applyNumberFormat="1" applyFont="1" applyBorder="1" applyAlignment="1">
      <alignment horizontal="center"/>
    </xf>
    <xf numFmtId="172" fontId="1" fillId="0" borderId="70" xfId="0" applyNumberFormat="1" applyFont="1" applyBorder="1" applyAlignment="1"/>
    <xf numFmtId="0" fontId="1" fillId="0" borderId="27" xfId="0" applyFont="1" applyBorder="1" applyAlignment="1"/>
    <xf numFmtId="0" fontId="1" fillId="0" borderId="0" xfId="0" applyFont="1" applyAlignment="1">
      <alignment horizontal="center" vertical="center" wrapText="1"/>
    </xf>
    <xf numFmtId="170" fontId="2" fillId="0" borderId="2" xfId="0" applyNumberFormat="1" applyFont="1" applyBorder="1" applyAlignment="1"/>
    <xf numFmtId="166" fontId="2" fillId="0" borderId="2" xfId="0" applyNumberFormat="1" applyFont="1" applyBorder="1" applyAlignment="1">
      <alignment horizontal="right"/>
    </xf>
    <xf numFmtId="0" fontId="1" fillId="0" borderId="31" xfId="0" applyFont="1" applyBorder="1" applyAlignment="1">
      <alignment horizontal="center" wrapText="1"/>
    </xf>
    <xf numFmtId="0" fontId="2" fillId="0" borderId="30" xfId="0" applyFont="1" applyBorder="1" applyAlignment="1">
      <alignment horizontal="left"/>
    </xf>
    <xf numFmtId="177" fontId="2" fillId="0" borderId="2" xfId="0" applyNumberFormat="1" applyFont="1" applyBorder="1" applyAlignment="1"/>
    <xf numFmtId="0" fontId="2" fillId="0" borderId="30" xfId="0" applyFont="1" applyBorder="1" applyAlignment="1">
      <alignment horizontal="center"/>
    </xf>
    <xf numFmtId="0" fontId="1" fillId="0" borderId="0" xfId="0" applyFont="1" applyAlignment="1">
      <alignment horizontal="center" vertical="center"/>
    </xf>
    <xf numFmtId="0" fontId="2" fillId="0" borderId="0" xfId="0" applyFont="1" applyAlignment="1">
      <alignment vertical="center"/>
    </xf>
    <xf numFmtId="0" fontId="1" fillId="0" borderId="31" xfId="0" applyFont="1" applyBorder="1" applyAlignment="1">
      <alignment horizontal="center" vertical="center" wrapText="1"/>
    </xf>
    <xf numFmtId="0" fontId="2" fillId="0" borderId="269" xfId="0" applyFont="1" applyBorder="1" applyAlignment="1"/>
    <xf numFmtId="0" fontId="1" fillId="0" borderId="270" xfId="0" applyFont="1" applyBorder="1" applyAlignment="1"/>
    <xf numFmtId="0" fontId="2" fillId="22" borderId="97" xfId="0" applyFont="1" applyFill="1" applyBorder="1" applyAlignment="1"/>
    <xf numFmtId="166" fontId="2" fillId="22" borderId="146" xfId="0" applyNumberFormat="1" applyFont="1" applyFill="1" applyBorder="1" applyAlignment="1"/>
    <xf numFmtId="0" fontId="2" fillId="0" borderId="97" xfId="0" applyFont="1" applyBorder="1" applyAlignment="1">
      <alignment horizontal="left"/>
    </xf>
    <xf numFmtId="166" fontId="2" fillId="0" borderId="146" xfId="0" applyNumberFormat="1" applyFont="1" applyBorder="1" applyAlignment="1"/>
    <xf numFmtId="0" fontId="2" fillId="9" borderId="97" xfId="0" applyFont="1" applyFill="1" applyBorder="1" applyAlignment="1"/>
    <xf numFmtId="166" fontId="2" fillId="9" borderId="146" xfId="0" applyNumberFormat="1" applyFont="1" applyFill="1" applyBorder="1" applyAlignment="1"/>
    <xf numFmtId="0" fontId="2" fillId="8" borderId="97" xfId="0" applyFont="1" applyFill="1" applyBorder="1" applyAlignment="1"/>
    <xf numFmtId="166" fontId="2" fillId="8" borderId="146" xfId="0" applyNumberFormat="1" applyFont="1" applyFill="1" applyBorder="1" applyAlignment="1"/>
    <xf numFmtId="0" fontId="2" fillId="0" borderId="97" xfId="0" applyFont="1" applyBorder="1" applyAlignment="1">
      <alignment horizontal="left" wrapText="1"/>
    </xf>
    <xf numFmtId="0" fontId="1" fillId="5" borderId="181" xfId="0" applyFont="1" applyFill="1" applyBorder="1" applyAlignment="1"/>
    <xf numFmtId="166" fontId="2" fillId="5" borderId="183" xfId="0" applyNumberFormat="1" applyFont="1" applyFill="1" applyBorder="1" applyAlignment="1"/>
    <xf numFmtId="0" fontId="1" fillId="0" borderId="271" xfId="0" applyFont="1" applyBorder="1" applyAlignment="1">
      <alignment horizontal="center" vertical="top" wrapText="1"/>
    </xf>
    <xf numFmtId="0" fontId="1" fillId="0" borderId="270" xfId="0" applyFont="1" applyBorder="1" applyAlignment="1">
      <alignment horizontal="center" vertical="top" wrapText="1"/>
    </xf>
    <xf numFmtId="0" fontId="2" fillId="0" borderId="97" xfId="0" applyFont="1" applyBorder="1" applyAlignment="1">
      <alignment vertical="top" wrapText="1"/>
    </xf>
    <xf numFmtId="0" fontId="1" fillId="0" borderId="100" xfId="0" applyFont="1" applyBorder="1" applyAlignment="1">
      <alignment horizontal="center" vertical="top" wrapText="1"/>
    </xf>
    <xf numFmtId="0" fontId="1" fillId="0" borderId="180" xfId="0" applyFont="1" applyBorder="1" applyAlignment="1">
      <alignment horizontal="center" vertical="top" wrapText="1"/>
    </xf>
    <xf numFmtId="0" fontId="1" fillId="6" borderId="272" xfId="0" applyFont="1" applyFill="1" applyBorder="1" applyAlignment="1"/>
    <xf numFmtId="0" fontId="2" fillId="6" borderId="273" xfId="0" applyFont="1" applyFill="1" applyBorder="1" applyAlignment="1">
      <alignment wrapText="1"/>
    </xf>
    <xf numFmtId="0" fontId="2" fillId="6" borderId="274" xfId="0" applyFont="1" applyFill="1" applyBorder="1" applyAlignment="1">
      <alignment wrapText="1"/>
    </xf>
    <xf numFmtId="0" fontId="2" fillId="0" borderId="97" xfId="0" applyFont="1" applyBorder="1" applyAlignment="1">
      <alignment wrapText="1"/>
    </xf>
    <xf numFmtId="192" fontId="2" fillId="0" borderId="2" xfId="0" applyNumberFormat="1" applyFont="1" applyBorder="1" applyAlignment="1">
      <alignment wrapText="1"/>
    </xf>
    <xf numFmtId="0" fontId="2" fillId="0" borderId="2" xfId="0" applyFont="1" applyBorder="1" applyAlignment="1">
      <alignment horizontal="center" vertical="top" wrapText="1"/>
    </xf>
    <xf numFmtId="193" fontId="2" fillId="0" borderId="2" xfId="0" applyNumberFormat="1" applyFont="1" applyBorder="1" applyAlignment="1">
      <alignment wrapText="1"/>
    </xf>
    <xf numFmtId="194" fontId="2" fillId="0" borderId="2" xfId="0" applyNumberFormat="1" applyFont="1" applyBorder="1" applyAlignment="1">
      <alignment wrapText="1"/>
    </xf>
    <xf numFmtId="194" fontId="2" fillId="0" borderId="146" xfId="0" applyNumberFormat="1" applyFont="1" applyBorder="1" applyAlignment="1">
      <alignment wrapText="1"/>
    </xf>
    <xf numFmtId="192" fontId="2" fillId="0" borderId="146" xfId="0" applyNumberFormat="1" applyFont="1" applyBorder="1" applyAlignment="1">
      <alignment wrapText="1"/>
    </xf>
    <xf numFmtId="185" fontId="1" fillId="0" borderId="2" xfId="0" applyNumberFormat="1" applyFont="1" applyBorder="1" applyAlignment="1">
      <alignment wrapText="1"/>
    </xf>
    <xf numFmtId="194" fontId="1" fillId="23" borderId="2" xfId="0" applyNumberFormat="1" applyFont="1" applyFill="1" applyBorder="1" applyAlignment="1">
      <alignment wrapText="1"/>
    </xf>
    <xf numFmtId="194" fontId="2" fillId="23" borderId="2" xfId="0" applyNumberFormat="1" applyFont="1" applyFill="1" applyBorder="1" applyAlignment="1">
      <alignment wrapText="1"/>
    </xf>
    <xf numFmtId="194" fontId="2" fillId="23" borderId="146" xfId="0" applyNumberFormat="1" applyFont="1" applyFill="1" applyBorder="1" applyAlignment="1">
      <alignment wrapText="1"/>
    </xf>
    <xf numFmtId="2" fontId="2" fillId="0" borderId="2" xfId="0" applyNumberFormat="1" applyFont="1" applyBorder="1" applyAlignment="1">
      <alignment wrapText="1"/>
    </xf>
    <xf numFmtId="195" fontId="2" fillId="0" borderId="2" xfId="0" applyNumberFormat="1" applyFont="1" applyBorder="1" applyAlignment="1">
      <alignment wrapText="1"/>
    </xf>
    <xf numFmtId="193" fontId="2" fillId="0" borderId="146" xfId="0" applyNumberFormat="1" applyFont="1" applyBorder="1" applyAlignment="1">
      <alignment wrapText="1"/>
    </xf>
    <xf numFmtId="0" fontId="2" fillId="0" borderId="99" xfId="0" applyFont="1" applyBorder="1" applyAlignment="1">
      <alignment wrapText="1"/>
    </xf>
    <xf numFmtId="192" fontId="2" fillId="0" borderId="100" xfId="0" applyNumberFormat="1" applyFont="1" applyBorder="1" applyAlignment="1">
      <alignment wrapText="1"/>
    </xf>
    <xf numFmtId="193" fontId="2" fillId="0" borderId="100" xfId="0" applyNumberFormat="1" applyFont="1" applyBorder="1" applyAlignment="1">
      <alignment wrapText="1"/>
    </xf>
    <xf numFmtId="194" fontId="2" fillId="0" borderId="100" xfId="0" applyNumberFormat="1" applyFont="1" applyBorder="1" applyAlignment="1">
      <alignment wrapText="1"/>
    </xf>
    <xf numFmtId="194" fontId="2" fillId="0" borderId="180" xfId="0" applyNumberFormat="1" applyFont="1" applyBorder="1" applyAlignment="1">
      <alignment wrapText="1"/>
    </xf>
    <xf numFmtId="0" fontId="1" fillId="7" borderId="151" xfId="0" applyFont="1" applyFill="1" applyBorder="1" applyAlignment="1">
      <alignment horizontal="left" wrapText="1"/>
    </xf>
    <xf numFmtId="192" fontId="2" fillId="7" borderId="125" xfId="0" applyNumberFormat="1" applyFont="1" applyFill="1" applyBorder="1" applyAlignment="1">
      <alignment wrapText="1"/>
    </xf>
    <xf numFmtId="193" fontId="2" fillId="7" borderId="125" xfId="0" applyNumberFormat="1" applyFont="1" applyFill="1" applyBorder="1" applyAlignment="1">
      <alignment wrapText="1"/>
    </xf>
    <xf numFmtId="166" fontId="1" fillId="7" borderId="125" xfId="0" applyNumberFormat="1" applyFont="1" applyFill="1" applyBorder="1" applyAlignment="1"/>
    <xf numFmtId="194" fontId="1" fillId="7" borderId="125" xfId="0" applyNumberFormat="1" applyFont="1" applyFill="1" applyBorder="1" applyAlignment="1">
      <alignment wrapText="1"/>
    </xf>
    <xf numFmtId="194" fontId="1" fillId="7" borderId="130" xfId="0" applyNumberFormat="1" applyFont="1" applyFill="1" applyBorder="1" applyAlignment="1">
      <alignment wrapText="1"/>
    </xf>
    <xf numFmtId="0" fontId="2" fillId="0" borderId="114" xfId="0" applyFont="1" applyBorder="1" applyAlignment="1">
      <alignment wrapText="1"/>
    </xf>
    <xf numFmtId="192" fontId="2" fillId="0" borderId="115" xfId="0" applyNumberFormat="1" applyFont="1" applyBorder="1" applyAlignment="1">
      <alignment wrapText="1"/>
    </xf>
    <xf numFmtId="193" fontId="2" fillId="0" borderId="115" xfId="0" applyNumberFormat="1" applyFont="1" applyBorder="1" applyAlignment="1">
      <alignment wrapText="1"/>
    </xf>
    <xf numFmtId="194" fontId="2" fillId="0" borderId="115" xfId="0" applyNumberFormat="1" applyFont="1" applyBorder="1" applyAlignment="1">
      <alignment wrapText="1"/>
    </xf>
    <xf numFmtId="194" fontId="2" fillId="0" borderId="117" xfId="0" applyNumberFormat="1" applyFont="1" applyBorder="1" applyAlignment="1">
      <alignment wrapText="1"/>
    </xf>
    <xf numFmtId="0" fontId="1" fillId="3" borderId="101" xfId="0" applyFont="1" applyFill="1" applyBorder="1" applyAlignment="1">
      <alignment horizontal="left" wrapText="1"/>
    </xf>
    <xf numFmtId="192" fontId="2" fillId="3" borderId="62" xfId="0" applyNumberFormat="1" applyFont="1" applyFill="1" applyBorder="1" applyAlignment="1">
      <alignment wrapText="1"/>
    </xf>
    <xf numFmtId="193" fontId="2" fillId="3" borderId="62" xfId="0" applyNumberFormat="1" applyFont="1" applyFill="1" applyBorder="1" applyAlignment="1">
      <alignment wrapText="1"/>
    </xf>
    <xf numFmtId="192" fontId="1" fillId="3" borderId="62" xfId="0" applyNumberFormat="1" applyFont="1" applyFill="1" applyBorder="1" applyAlignment="1">
      <alignment wrapText="1"/>
    </xf>
    <xf numFmtId="194" fontId="2" fillId="3" borderId="62" xfId="0" applyNumberFormat="1" applyFont="1" applyFill="1" applyBorder="1" applyAlignment="1">
      <alignment wrapText="1"/>
    </xf>
    <xf numFmtId="194" fontId="2" fillId="3" borderId="63" xfId="0" applyNumberFormat="1" applyFont="1" applyFill="1" applyBorder="1" applyAlignment="1">
      <alignment wrapText="1"/>
    </xf>
    <xf numFmtId="195" fontId="2" fillId="0" borderId="115" xfId="0" applyNumberFormat="1" applyFont="1" applyBorder="1" applyAlignment="1">
      <alignment wrapText="1"/>
    </xf>
    <xf numFmtId="193" fontId="2" fillId="0" borderId="117" xfId="0" applyNumberFormat="1" applyFont="1" applyBorder="1" applyAlignment="1">
      <alignment wrapText="1"/>
    </xf>
    <xf numFmtId="0" fontId="1" fillId="20" borderId="101" xfId="0" applyFont="1" applyFill="1" applyBorder="1" applyAlignment="1">
      <alignment horizontal="left"/>
    </xf>
    <xf numFmtId="192" fontId="1" fillId="20" borderId="62" xfId="0" applyNumberFormat="1" applyFont="1" applyFill="1" applyBorder="1" applyAlignment="1">
      <alignment wrapText="1"/>
    </xf>
    <xf numFmtId="193" fontId="1" fillId="20" borderId="62" xfId="0" applyNumberFormat="1" applyFont="1" applyFill="1" applyBorder="1" applyAlignment="1">
      <alignment wrapText="1"/>
    </xf>
    <xf numFmtId="195" fontId="2" fillId="20" borderId="62" xfId="0" applyNumberFormat="1" applyFont="1" applyFill="1" applyBorder="1" applyAlignment="1">
      <alignment wrapText="1"/>
    </xf>
    <xf numFmtId="193" fontId="2" fillId="20" borderId="63" xfId="0" applyNumberFormat="1" applyFont="1" applyFill="1" applyBorder="1" applyAlignment="1">
      <alignment wrapText="1"/>
    </xf>
    <xf numFmtId="0" fontId="1" fillId="0" borderId="177" xfId="0" applyFont="1" applyBorder="1" applyAlignment="1">
      <alignment horizontal="center" wrapText="1"/>
    </xf>
    <xf numFmtId="192" fontId="1" fillId="0" borderId="178" xfId="0" applyNumberFormat="1" applyFont="1" applyBorder="1" applyAlignment="1">
      <alignment wrapText="1"/>
    </xf>
    <xf numFmtId="193" fontId="1" fillId="0" borderId="178" xfId="0" applyNumberFormat="1" applyFont="1" applyBorder="1" applyAlignment="1">
      <alignment wrapText="1"/>
    </xf>
    <xf numFmtId="195" fontId="2" fillId="0" borderId="178" xfId="0" applyNumberFormat="1" applyFont="1" applyBorder="1" applyAlignment="1">
      <alignment wrapText="1"/>
    </xf>
    <xf numFmtId="193" fontId="2" fillId="0" borderId="179" xfId="0" applyNumberFormat="1" applyFont="1" applyBorder="1" applyAlignment="1">
      <alignment wrapText="1"/>
    </xf>
    <xf numFmtId="0" fontId="1" fillId="6" borderId="275" xfId="0" applyFont="1" applyFill="1" applyBorder="1" applyAlignment="1">
      <alignment horizontal="left" wrapText="1"/>
    </xf>
    <xf numFmtId="192" fontId="1" fillId="6" borderId="205" xfId="0" applyNumberFormat="1" applyFont="1" applyFill="1" applyBorder="1" applyAlignment="1">
      <alignment wrapText="1"/>
    </xf>
    <xf numFmtId="193" fontId="1" fillId="6" borderId="205" xfId="0" applyNumberFormat="1" applyFont="1" applyFill="1" applyBorder="1" applyAlignment="1">
      <alignment wrapText="1"/>
    </xf>
    <xf numFmtId="195" fontId="2" fillId="6" borderId="205" xfId="0" applyNumberFormat="1" applyFont="1" applyFill="1" applyBorder="1" applyAlignment="1">
      <alignment wrapText="1"/>
    </xf>
    <xf numFmtId="193" fontId="2" fillId="6" borderId="276" xfId="0" applyNumberFormat="1" applyFont="1" applyFill="1" applyBorder="1" applyAlignment="1">
      <alignment wrapText="1"/>
    </xf>
    <xf numFmtId="0" fontId="1" fillId="0" borderId="101" xfId="0" applyFont="1" applyBorder="1" applyAlignment="1">
      <alignment wrapText="1"/>
    </xf>
    <xf numFmtId="192" fontId="2" fillId="0" borderId="62" xfId="0" applyNumberFormat="1" applyFont="1" applyBorder="1" applyAlignment="1">
      <alignment wrapText="1"/>
    </xf>
    <xf numFmtId="194" fontId="2" fillId="0" borderId="62" xfId="0" applyNumberFormat="1" applyFont="1" applyBorder="1" applyAlignment="1">
      <alignment wrapText="1"/>
    </xf>
    <xf numFmtId="194" fontId="1" fillId="0" borderId="62" xfId="0" applyNumberFormat="1" applyFont="1" applyBorder="1" applyAlignment="1">
      <alignment wrapText="1"/>
    </xf>
    <xf numFmtId="168" fontId="1" fillId="0" borderId="62" xfId="0" applyNumberFormat="1" applyFont="1" applyBorder="1" applyAlignment="1"/>
    <xf numFmtId="195" fontId="1" fillId="0" borderId="63" xfId="0" applyNumberFormat="1" applyFont="1" applyBorder="1" applyAlignment="1">
      <alignment wrapText="1"/>
    </xf>
    <xf numFmtId="0" fontId="1" fillId="0" borderId="114" xfId="0" applyFont="1" applyBorder="1" applyAlignment="1">
      <alignment wrapText="1"/>
    </xf>
    <xf numFmtId="193" fontId="1" fillId="0" borderId="115" xfId="0" applyNumberFormat="1" applyFont="1" applyBorder="1" applyAlignment="1">
      <alignment wrapText="1"/>
    </xf>
    <xf numFmtId="0" fontId="1" fillId="24" borderId="101" xfId="0" applyFont="1" applyFill="1" applyBorder="1" applyAlignment="1">
      <alignment horizontal="left" wrapText="1"/>
    </xf>
    <xf numFmtId="192" fontId="2" fillId="24" borderId="62" xfId="0" applyNumberFormat="1" applyFont="1" applyFill="1" applyBorder="1" applyAlignment="1">
      <alignment wrapText="1"/>
    </xf>
    <xf numFmtId="193" fontId="1" fillId="24" borderId="62" xfId="0" applyNumberFormat="1" applyFont="1" applyFill="1" applyBorder="1" applyAlignment="1">
      <alignment wrapText="1"/>
    </xf>
    <xf numFmtId="195" fontId="2" fillId="24" borderId="62" xfId="0" applyNumberFormat="1" applyFont="1" applyFill="1" applyBorder="1" applyAlignment="1">
      <alignment wrapText="1"/>
    </xf>
    <xf numFmtId="193" fontId="2" fillId="24" borderId="63" xfId="0" applyNumberFormat="1" applyFont="1" applyFill="1" applyBorder="1" applyAlignment="1">
      <alignment wrapText="1"/>
    </xf>
    <xf numFmtId="0" fontId="1" fillId="0" borderId="114" xfId="0" applyFont="1" applyBorder="1" applyAlignment="1">
      <alignment horizontal="left" wrapText="1"/>
    </xf>
    <xf numFmtId="0" fontId="1" fillId="12" borderId="128" xfId="0" applyFont="1" applyFill="1" applyBorder="1" applyAlignment="1">
      <alignment horizontal="left" wrapText="1"/>
    </xf>
    <xf numFmtId="192" fontId="2" fillId="12" borderId="116" xfId="0" applyNumberFormat="1" applyFont="1" applyFill="1" applyBorder="1" applyAlignment="1">
      <alignment wrapText="1"/>
    </xf>
    <xf numFmtId="192" fontId="1" fillId="12" borderId="116" xfId="0" applyNumberFormat="1" applyFont="1" applyFill="1" applyBorder="1" applyAlignment="1">
      <alignment wrapText="1"/>
    </xf>
    <xf numFmtId="193" fontId="1" fillId="12" borderId="116" xfId="0" applyNumberFormat="1" applyFont="1" applyFill="1" applyBorder="1" applyAlignment="1">
      <alignment wrapText="1"/>
    </xf>
    <xf numFmtId="195" fontId="2" fillId="12" borderId="116" xfId="0" applyNumberFormat="1" applyFont="1" applyFill="1" applyBorder="1" applyAlignment="1">
      <alignment wrapText="1"/>
    </xf>
    <xf numFmtId="193" fontId="2" fillId="12" borderId="277" xfId="0" applyNumberFormat="1" applyFont="1" applyFill="1" applyBorder="1" applyAlignment="1">
      <alignment wrapText="1"/>
    </xf>
    <xf numFmtId="0" fontId="2" fillId="0" borderId="177" xfId="0" applyFont="1" applyBorder="1" applyAlignment="1">
      <alignment wrapText="1"/>
    </xf>
    <xf numFmtId="0" fontId="1" fillId="3" borderId="151" xfId="0" applyFont="1" applyFill="1" applyBorder="1" applyAlignment="1">
      <alignment horizontal="left" wrapText="1"/>
    </xf>
    <xf numFmtId="0" fontId="1" fillId="20" borderId="101" xfId="0" applyFont="1" applyFill="1" applyBorder="1" applyAlignment="1">
      <alignment horizontal="left" wrapText="1"/>
    </xf>
    <xf numFmtId="0" fontId="1" fillId="0" borderId="114" xfId="0" applyFont="1" applyBorder="1" applyAlignment="1">
      <alignment horizontal="center" wrapText="1"/>
    </xf>
    <xf numFmtId="192" fontId="1" fillId="0" borderId="115" xfId="0" applyNumberFormat="1" applyFont="1" applyBorder="1" applyAlignment="1">
      <alignment wrapText="1"/>
    </xf>
    <xf numFmtId="0" fontId="2" fillId="0" borderId="278" xfId="0" applyFont="1" applyBorder="1" applyAlignment="1"/>
    <xf numFmtId="0" fontId="1" fillId="14" borderId="272" xfId="0" applyFont="1" applyFill="1" applyBorder="1" applyAlignment="1"/>
    <xf numFmtId="0" fontId="1" fillId="14" borderId="273" xfId="0" applyFont="1" applyFill="1" applyBorder="1" applyAlignment="1">
      <alignment horizontal="center" vertical="top" wrapText="1"/>
    </xf>
    <xf numFmtId="0" fontId="2" fillId="14" borderId="279" xfId="0" applyFont="1" applyFill="1" applyBorder="1" applyAlignment="1"/>
    <xf numFmtId="0" fontId="1" fillId="14" borderId="274" xfId="0" applyFont="1" applyFill="1" applyBorder="1" applyAlignment="1">
      <alignment horizontal="center" vertical="top" wrapText="1"/>
    </xf>
    <xf numFmtId="0" fontId="2" fillId="0" borderId="97" xfId="0" applyFont="1" applyBorder="1" applyAlignment="1">
      <alignment horizontal="center" vertical="top" wrapText="1"/>
    </xf>
    <xf numFmtId="0" fontId="1" fillId="0" borderId="2" xfId="0" applyFont="1" applyBorder="1" applyAlignment="1">
      <alignment horizontal="center" vertical="top" wrapText="1"/>
    </xf>
    <xf numFmtId="0" fontId="1" fillId="0" borderId="146" xfId="0" applyFont="1" applyBorder="1" applyAlignment="1">
      <alignment horizontal="center" vertical="top" wrapText="1"/>
    </xf>
    <xf numFmtId="0" fontId="1" fillId="6" borderId="97" xfId="0" applyFont="1" applyFill="1" applyBorder="1" applyAlignment="1">
      <alignment wrapText="1"/>
    </xf>
    <xf numFmtId="0" fontId="2" fillId="6" borderId="2" xfId="0" applyFont="1" applyFill="1" applyBorder="1" applyAlignment="1">
      <alignment wrapText="1"/>
    </xf>
    <xf numFmtId="0" fontId="2" fillId="6" borderId="146" xfId="0" applyFont="1" applyFill="1" applyBorder="1" applyAlignment="1">
      <alignment wrapText="1"/>
    </xf>
    <xf numFmtId="195" fontId="2" fillId="0" borderId="146" xfId="0" applyNumberFormat="1" applyFont="1" applyBorder="1" applyAlignment="1">
      <alignment wrapText="1"/>
    </xf>
    <xf numFmtId="0" fontId="1" fillId="7" borderId="101" xfId="0" applyFont="1" applyFill="1" applyBorder="1" applyAlignment="1">
      <alignment horizontal="left" wrapText="1"/>
    </xf>
    <xf numFmtId="0" fontId="2" fillId="7" borderId="62" xfId="0" applyFont="1" applyFill="1" applyBorder="1" applyAlignment="1"/>
    <xf numFmtId="193" fontId="1" fillId="7" borderId="125" xfId="0" applyNumberFormat="1" applyFont="1" applyFill="1" applyBorder="1" applyAlignment="1">
      <alignment wrapText="1"/>
    </xf>
    <xf numFmtId="0" fontId="2" fillId="0" borderId="178" xfId="0" applyFont="1" applyBorder="1" applyAlignment="1"/>
    <xf numFmtId="192" fontId="1" fillId="0" borderId="2" xfId="0" applyNumberFormat="1" applyFont="1" applyBorder="1" applyAlignment="1">
      <alignment wrapText="1"/>
    </xf>
    <xf numFmtId="193" fontId="1" fillId="0" borderId="146" xfId="0" applyNumberFormat="1" applyFont="1" applyBorder="1" applyAlignment="1">
      <alignment wrapText="1"/>
    </xf>
    <xf numFmtId="0" fontId="1" fillId="6" borderId="275" xfId="0" applyFont="1" applyFill="1" applyBorder="1" applyAlignment="1">
      <alignment wrapText="1"/>
    </xf>
    <xf numFmtId="192" fontId="2" fillId="6" borderId="205" xfId="0" applyNumberFormat="1" applyFont="1" applyFill="1" applyBorder="1" applyAlignment="1">
      <alignment wrapText="1"/>
    </xf>
    <xf numFmtId="194" fontId="1" fillId="6" borderId="205" xfId="0" applyNumberFormat="1" applyFont="1" applyFill="1" applyBorder="1" applyAlignment="1">
      <alignment wrapText="1"/>
    </xf>
    <xf numFmtId="193" fontId="1" fillId="6" borderId="276" xfId="0" applyNumberFormat="1" applyFont="1" applyFill="1" applyBorder="1" applyAlignment="1">
      <alignment wrapText="1"/>
    </xf>
    <xf numFmtId="0" fontId="2" fillId="0" borderId="101" xfId="0" applyFont="1" applyBorder="1" applyAlignment="1">
      <alignment horizontal="left" wrapText="1"/>
    </xf>
    <xf numFmtId="0" fontId="2" fillId="0" borderId="62" xfId="0" applyFont="1" applyBorder="1" applyAlignment="1"/>
    <xf numFmtId="196" fontId="1" fillId="0" borderId="62" xfId="0" applyNumberFormat="1" applyFont="1" applyBorder="1" applyAlignment="1">
      <alignment wrapText="1"/>
    </xf>
    <xf numFmtId="196" fontId="1" fillId="0" borderId="63" xfId="0" applyNumberFormat="1" applyFont="1" applyBorder="1" applyAlignment="1">
      <alignment wrapText="1"/>
    </xf>
    <xf numFmtId="194" fontId="1" fillId="0" borderId="115" xfId="0" applyNumberFormat="1" applyFont="1" applyBorder="1" applyAlignment="1">
      <alignment wrapText="1"/>
    </xf>
    <xf numFmtId="193" fontId="1" fillId="0" borderId="117" xfId="0" applyNumberFormat="1" applyFont="1" applyBorder="1" applyAlignment="1">
      <alignment wrapText="1"/>
    </xf>
    <xf numFmtId="0" fontId="1" fillId="3" borderId="101" xfId="0" applyFont="1" applyFill="1" applyBorder="1" applyAlignment="1">
      <alignment horizontal="left"/>
    </xf>
    <xf numFmtId="0" fontId="2" fillId="5" borderId="62" xfId="0" applyFont="1" applyFill="1" applyBorder="1" applyAlignment="1"/>
    <xf numFmtId="193" fontId="1" fillId="3" borderId="62" xfId="0" applyNumberFormat="1" applyFont="1" applyFill="1" applyBorder="1" applyAlignment="1">
      <alignment wrapText="1"/>
    </xf>
    <xf numFmtId="194" fontId="1" fillId="3" borderId="62" xfId="0" applyNumberFormat="1" applyFont="1" applyFill="1" applyBorder="1" applyAlignment="1">
      <alignment wrapText="1"/>
    </xf>
    <xf numFmtId="194" fontId="1" fillId="3" borderId="63" xfId="0" applyNumberFormat="1" applyFont="1" applyFill="1" applyBorder="1" applyAlignment="1">
      <alignment wrapText="1"/>
    </xf>
    <xf numFmtId="0" fontId="1" fillId="0" borderId="114" xfId="0" applyFont="1" applyBorder="1" applyAlignment="1">
      <alignment horizontal="left"/>
    </xf>
    <xf numFmtId="0" fontId="1" fillId="7" borderId="101" xfId="0" applyFont="1" applyFill="1" applyBorder="1" applyAlignment="1">
      <alignment horizontal="center" wrapText="1"/>
    </xf>
    <xf numFmtId="192" fontId="2" fillId="7" borderId="62" xfId="0" applyNumberFormat="1" applyFont="1" applyFill="1" applyBorder="1" applyAlignment="1">
      <alignment wrapText="1"/>
    </xf>
    <xf numFmtId="194" fontId="1" fillId="7" borderId="62" xfId="0" applyNumberFormat="1" applyFont="1" applyFill="1" applyBorder="1" applyAlignment="1">
      <alignment wrapText="1"/>
    </xf>
    <xf numFmtId="192" fontId="1" fillId="7" borderId="62" xfId="0" applyNumberFormat="1" applyFont="1" applyFill="1" applyBorder="1" applyAlignment="1">
      <alignment wrapText="1"/>
    </xf>
    <xf numFmtId="193" fontId="1" fillId="7" borderId="63" xfId="0" applyNumberFormat="1" applyFont="1" applyFill="1" applyBorder="1" applyAlignment="1">
      <alignment wrapText="1"/>
    </xf>
    <xf numFmtId="0" fontId="1" fillId="20" borderId="101" xfId="0" applyFont="1" applyFill="1" applyBorder="1" applyAlignment="1"/>
    <xf numFmtId="192" fontId="2" fillId="20" borderId="62" xfId="0" applyNumberFormat="1" applyFont="1" applyFill="1" applyBorder="1" applyAlignment="1">
      <alignment wrapText="1"/>
    </xf>
    <xf numFmtId="0" fontId="2" fillId="20" borderId="62" xfId="0" applyFont="1" applyFill="1" applyBorder="1" applyAlignment="1"/>
    <xf numFmtId="193" fontId="1" fillId="20" borderId="63" xfId="0" applyNumberFormat="1" applyFont="1" applyFill="1" applyBorder="1" applyAlignment="1">
      <alignment wrapText="1"/>
    </xf>
    <xf numFmtId="0" fontId="1" fillId="24" borderId="101" xfId="0" applyFont="1" applyFill="1" applyBorder="1" applyAlignment="1"/>
    <xf numFmtId="0" fontId="2" fillId="24" borderId="62" xfId="0" applyFont="1" applyFill="1" applyBorder="1" applyAlignment="1"/>
    <xf numFmtId="194" fontId="1" fillId="24" borderId="62" xfId="0" applyNumberFormat="1" applyFont="1" applyFill="1" applyBorder="1" applyAlignment="1">
      <alignment wrapText="1"/>
    </xf>
    <xf numFmtId="194" fontId="1" fillId="24" borderId="63" xfId="0" applyNumberFormat="1" applyFont="1" applyFill="1" applyBorder="1" applyAlignment="1">
      <alignment wrapText="1"/>
    </xf>
    <xf numFmtId="194" fontId="1" fillId="0" borderId="117" xfId="0" applyNumberFormat="1" applyFont="1" applyBorder="1" applyAlignment="1">
      <alignment wrapText="1"/>
    </xf>
    <xf numFmtId="0" fontId="1" fillId="12" borderId="128" xfId="0" applyFont="1" applyFill="1" applyBorder="1" applyAlignment="1"/>
    <xf numFmtId="194" fontId="1" fillId="12" borderId="116" xfId="0" applyNumberFormat="1" applyFont="1" applyFill="1" applyBorder="1" applyAlignment="1">
      <alignment wrapText="1"/>
    </xf>
    <xf numFmtId="194" fontId="1" fillId="12" borderId="277" xfId="0" applyNumberFormat="1" applyFont="1" applyFill="1" applyBorder="1" applyAlignment="1">
      <alignment wrapText="1"/>
    </xf>
    <xf numFmtId="192" fontId="2" fillId="5" borderId="62" xfId="0" applyNumberFormat="1" applyFont="1" applyFill="1" applyBorder="1" applyAlignment="1">
      <alignment wrapText="1"/>
    </xf>
    <xf numFmtId="192" fontId="1" fillId="5" borderId="62" xfId="0" applyNumberFormat="1" applyFont="1" applyFill="1" applyBorder="1" applyAlignment="1">
      <alignment wrapText="1"/>
    </xf>
    <xf numFmtId="194" fontId="1" fillId="5" borderId="62" xfId="0" applyNumberFormat="1" applyFont="1" applyFill="1" applyBorder="1" applyAlignment="1">
      <alignment wrapText="1"/>
    </xf>
    <xf numFmtId="194" fontId="1" fillId="5" borderId="63" xfId="0" applyNumberFormat="1" applyFont="1" applyFill="1" applyBorder="1" applyAlignment="1">
      <alignment wrapText="1"/>
    </xf>
    <xf numFmtId="194" fontId="1" fillId="20" borderId="62" xfId="0" applyNumberFormat="1" applyFont="1" applyFill="1" applyBorder="1" applyAlignment="1">
      <alignment wrapText="1"/>
    </xf>
    <xf numFmtId="0" fontId="2" fillId="0" borderId="280" xfId="0" applyFont="1" applyBorder="1" applyAlignment="1"/>
    <xf numFmtId="0" fontId="2" fillId="0" borderId="200" xfId="0" applyFont="1" applyBorder="1" applyAlignment="1"/>
    <xf numFmtId="0" fontId="2" fillId="0" borderId="281" xfId="0" applyFont="1" applyBorder="1" applyAlignment="1"/>
    <xf numFmtId="0" fontId="2" fillId="0" borderId="282" xfId="0" applyFont="1" applyBorder="1" applyAlignment="1"/>
    <xf numFmtId="0" fontId="1" fillId="14" borderId="156" xfId="0" applyFont="1" applyFill="1" applyBorder="1" applyAlignment="1"/>
    <xf numFmtId="0" fontId="2" fillId="14" borderId="157" xfId="0" applyFont="1" applyFill="1" applyBorder="1" applyAlignment="1"/>
    <xf numFmtId="166" fontId="1" fillId="14" borderId="283" xfId="0" applyNumberFormat="1" applyFont="1" applyFill="1" applyBorder="1" applyAlignment="1"/>
    <xf numFmtId="165" fontId="1" fillId="0" borderId="0" xfId="0" applyNumberFormat="1" applyFont="1" applyAlignment="1"/>
    <xf numFmtId="0" fontId="18" fillId="0" borderId="0" xfId="0" applyFont="1" applyAlignment="1">
      <alignment wrapText="1"/>
    </xf>
    <xf numFmtId="0" fontId="2" fillId="0" borderId="0" xfId="0" applyFont="1" applyAlignment="1">
      <alignment horizontal="left" wrapText="1"/>
    </xf>
    <xf numFmtId="0" fontId="2" fillId="0" borderId="284" xfId="0" applyFont="1" applyBorder="1" applyAlignment="1"/>
    <xf numFmtId="0" fontId="2" fillId="0" borderId="273" xfId="0" applyFont="1" applyBorder="1" applyAlignment="1"/>
    <xf numFmtId="0" fontId="1" fillId="0" borderId="273" xfId="0" applyFont="1" applyBorder="1" applyAlignment="1">
      <alignment horizontal="center"/>
    </xf>
    <xf numFmtId="0" fontId="1" fillId="0" borderId="285" xfId="0" applyFont="1" applyBorder="1" applyAlignment="1">
      <alignment horizontal="center"/>
    </xf>
    <xf numFmtId="0" fontId="1" fillId="0" borderId="286" xfId="0" applyFont="1" applyBorder="1" applyAlignment="1"/>
    <xf numFmtId="0" fontId="1" fillId="0" borderId="287" xfId="0" applyFont="1" applyBorder="1" applyAlignment="1">
      <alignment horizontal="center"/>
    </xf>
    <xf numFmtId="0" fontId="2" fillId="0" borderId="287" xfId="0" applyFont="1" applyBorder="1" applyAlignment="1"/>
    <xf numFmtId="0" fontId="2" fillId="0" borderId="286" xfId="0" applyFont="1" applyBorder="1" applyAlignment="1">
      <alignment horizontal="center"/>
    </xf>
    <xf numFmtId="9" fontId="2" fillId="0" borderId="2" xfId="0" applyNumberFormat="1" applyFont="1" applyBorder="1" applyAlignment="1"/>
    <xf numFmtId="0" fontId="1" fillId="0" borderId="286" xfId="0" applyFont="1" applyBorder="1" applyAlignment="1">
      <alignment horizontal="center"/>
    </xf>
    <xf numFmtId="0" fontId="2" fillId="0" borderId="2" xfId="0" applyFont="1" applyBorder="1" applyAlignment="1">
      <alignment horizontal="left"/>
    </xf>
    <xf numFmtId="166" fontId="2" fillId="22" borderId="2" xfId="0" applyNumberFormat="1" applyFont="1" applyFill="1" applyBorder="1" applyAlignment="1"/>
    <xf numFmtId="166" fontId="2" fillId="0" borderId="287" xfId="0" applyNumberFormat="1" applyFont="1" applyBorder="1" applyAlignment="1"/>
    <xf numFmtId="0" fontId="7" fillId="0" borderId="286" xfId="0" applyFont="1" applyBorder="1" applyAlignment="1">
      <alignment horizontal="center"/>
    </xf>
    <xf numFmtId="180" fontId="2" fillId="0" borderId="287" xfId="0" applyNumberFormat="1" applyFont="1" applyBorder="1" applyAlignment="1">
      <alignment horizontal="center"/>
    </xf>
    <xf numFmtId="0" fontId="2" fillId="0" borderId="288" xfId="0" applyFont="1" applyBorder="1" applyAlignment="1">
      <alignment horizontal="center"/>
    </xf>
    <xf numFmtId="0" fontId="2" fillId="0" borderId="200" xfId="0" applyFont="1" applyBorder="1" applyAlignment="1">
      <alignment horizontal="center"/>
    </xf>
    <xf numFmtId="9" fontId="2" fillId="0" borderId="200" xfId="0" applyNumberFormat="1" applyFont="1" applyBorder="1" applyAlignment="1"/>
    <xf numFmtId="0" fontId="2" fillId="0" borderId="203" xfId="0" applyFont="1" applyBorder="1" applyAlignment="1"/>
    <xf numFmtId="0" fontId="2" fillId="0" borderId="289" xfId="0" applyFont="1" applyBorder="1" applyAlignment="1"/>
    <xf numFmtId="165" fontId="2" fillId="0" borderId="37" xfId="0" applyNumberFormat="1" applyFont="1" applyBorder="1" applyAlignment="1"/>
    <xf numFmtId="166" fontId="2" fillId="0" borderId="38" xfId="0" applyNumberFormat="1" applyFont="1" applyBorder="1" applyAlignment="1"/>
    <xf numFmtId="0" fontId="1" fillId="6" borderId="39" xfId="0" applyFont="1" applyFill="1" applyBorder="1" applyAlignment="1"/>
    <xf numFmtId="165" fontId="2" fillId="0" borderId="40" xfId="0" applyNumberFormat="1" applyFont="1" applyBorder="1" applyAlignment="1"/>
    <xf numFmtId="0" fontId="1" fillId="0" borderId="41" xfId="0" applyFont="1" applyBorder="1" applyAlignment="1"/>
    <xf numFmtId="165" fontId="2" fillId="0" borderId="42" xfId="0" applyNumberFormat="1" applyFont="1" applyBorder="1" applyAlignment="1"/>
    <xf numFmtId="165" fontId="2" fillId="0" borderId="43" xfId="0" applyNumberFormat="1" applyFont="1" applyBorder="1" applyAlignment="1"/>
    <xf numFmtId="0" fontId="1" fillId="0" borderId="290" xfId="0" applyFont="1" applyBorder="1" applyAlignment="1"/>
    <xf numFmtId="166" fontId="2" fillId="0" borderId="291" xfId="0" applyNumberFormat="1" applyFont="1" applyBorder="1" applyAlignment="1"/>
    <xf numFmtId="165" fontId="2" fillId="0" borderId="291" xfId="0" applyNumberFormat="1" applyFont="1" applyBorder="1" applyAlignment="1"/>
    <xf numFmtId="0" fontId="1" fillId="6" borderId="199" xfId="0" applyFont="1" applyFill="1" applyBorder="1" applyAlignment="1"/>
    <xf numFmtId="165" fontId="2" fillId="0" borderId="62" xfId="0" applyNumberFormat="1" applyFont="1" applyBorder="1" applyAlignment="1"/>
    <xf numFmtId="166" fontId="2" fillId="0" borderId="201" xfId="0" applyNumberFormat="1" applyFont="1" applyBorder="1" applyAlignment="1"/>
    <xf numFmtId="0" fontId="2" fillId="19" borderId="292" xfId="0" applyFont="1" applyFill="1" applyBorder="1" applyAlignment="1"/>
    <xf numFmtId="0" fontId="2" fillId="19" borderId="273" xfId="0" applyFont="1" applyFill="1" applyBorder="1" applyAlignment="1"/>
    <xf numFmtId="165" fontId="2" fillId="19" borderId="273" xfId="0" applyNumberFormat="1" applyFont="1" applyFill="1" applyBorder="1" applyAlignment="1"/>
    <xf numFmtId="166" fontId="2" fillId="19" borderId="293" xfId="0" applyNumberFormat="1" applyFont="1" applyFill="1" applyBorder="1" applyAlignment="1"/>
    <xf numFmtId="0" fontId="1" fillId="19" borderId="39" xfId="0" applyFont="1" applyFill="1" applyBorder="1" applyAlignment="1"/>
    <xf numFmtId="0" fontId="2" fillId="19" borderId="2" xfId="0" applyFont="1" applyFill="1" applyBorder="1" applyAlignment="1"/>
    <xf numFmtId="165" fontId="2" fillId="19" borderId="2" xfId="0" applyNumberFormat="1" applyFont="1" applyFill="1" applyBorder="1" applyAlignment="1"/>
    <xf numFmtId="165" fontId="2" fillId="19" borderId="40" xfId="0" applyNumberFormat="1" applyFont="1" applyFill="1" applyBorder="1" applyAlignment="1"/>
    <xf numFmtId="0" fontId="2" fillId="19" borderId="294" xfId="0" applyFont="1" applyFill="1" applyBorder="1" applyAlignment="1"/>
    <xf numFmtId="0" fontId="2" fillId="19" borderId="200" xfId="0" applyFont="1" applyFill="1" applyBorder="1" applyAlignment="1"/>
    <xf numFmtId="165" fontId="2" fillId="19" borderId="200" xfId="0" applyNumberFormat="1" applyFont="1" applyFill="1" applyBorder="1" applyAlignment="1"/>
    <xf numFmtId="165" fontId="2" fillId="19" borderId="295" xfId="0" applyNumberFormat="1" applyFont="1" applyFill="1" applyBorder="1" applyAlignment="1"/>
    <xf numFmtId="0" fontId="2" fillId="0" borderId="296" xfId="0" applyFont="1" applyBorder="1" applyAlignment="1"/>
    <xf numFmtId="0" fontId="2" fillId="0" borderId="297" xfId="0" applyFont="1" applyBorder="1" applyAlignment="1"/>
    <xf numFmtId="49" fontId="2" fillId="0" borderId="0" xfId="0" applyNumberFormat="1" applyFont="1" applyAlignment="1"/>
    <xf numFmtId="49" fontId="2" fillId="0" borderId="0" xfId="0" applyNumberFormat="1" applyFont="1" applyAlignment="1">
      <alignment horizontal="center"/>
    </xf>
    <xf numFmtId="49" fontId="16" fillId="0" borderId="0" xfId="0" applyNumberFormat="1" applyFont="1" applyAlignment="1">
      <alignment horizontal="center"/>
    </xf>
    <xf numFmtId="4" fontId="2" fillId="0" borderId="2" xfId="0" applyNumberFormat="1" applyFont="1" applyBorder="1" applyAlignment="1"/>
    <xf numFmtId="0" fontId="2" fillId="26" borderId="2" xfId="0" applyFont="1" applyFill="1" applyBorder="1" applyAlignment="1"/>
    <xf numFmtId="165" fontId="2" fillId="11" borderId="2" xfId="0" applyNumberFormat="1" applyFont="1" applyFill="1" applyBorder="1" applyAlignment="1"/>
    <xf numFmtId="3" fontId="2" fillId="0" borderId="2" xfId="0" applyNumberFormat="1" applyFont="1" applyBorder="1" applyAlignment="1">
      <alignment horizontal="center"/>
    </xf>
    <xf numFmtId="0" fontId="16" fillId="0" borderId="2" xfId="0" applyFont="1" applyBorder="1" applyAlignment="1">
      <alignment horizontal="center"/>
    </xf>
    <xf numFmtId="4" fontId="22" fillId="0" borderId="122" xfId="0" applyNumberFormat="1" applyFont="1" applyBorder="1" applyAlignment="1"/>
    <xf numFmtId="167" fontId="2" fillId="0" borderId="0" xfId="0" applyNumberFormat="1" applyFont="1" applyAlignment="1"/>
    <xf numFmtId="0" fontId="1" fillId="0" borderId="271" xfId="0" applyFont="1" applyBorder="1" applyAlignment="1"/>
    <xf numFmtId="165" fontId="2" fillId="0" borderId="271" xfId="0" applyNumberFormat="1" applyFont="1" applyBorder="1" applyAlignment="1"/>
    <xf numFmtId="3" fontId="2" fillId="0" borderId="271" xfId="0" applyNumberFormat="1" applyFont="1" applyBorder="1" applyAlignment="1"/>
    <xf numFmtId="0" fontId="2" fillId="0" borderId="271" xfId="0" applyFont="1" applyBorder="1" applyAlignment="1"/>
    <xf numFmtId="3" fontId="1" fillId="27" borderId="271" xfId="0" applyNumberFormat="1" applyFont="1" applyFill="1" applyBorder="1" applyAlignment="1"/>
    <xf numFmtId="0" fontId="2" fillId="27" borderId="271" xfId="0" applyFont="1" applyFill="1" applyBorder="1" applyAlignment="1"/>
    <xf numFmtId="3" fontId="2" fillId="27" borderId="271" xfId="0" applyNumberFormat="1" applyFont="1" applyFill="1" applyBorder="1" applyAlignment="1"/>
    <xf numFmtId="0" fontId="2" fillId="25" borderId="271" xfId="0" applyFont="1" applyFill="1" applyBorder="1" applyAlignment="1"/>
    <xf numFmtId="0" fontId="1" fillId="24" borderId="2" xfId="0" applyFont="1" applyFill="1" applyBorder="1" applyAlignment="1"/>
    <xf numFmtId="166" fontId="1" fillId="24" borderId="2" xfId="0" applyNumberFormat="1" applyFont="1" applyFill="1" applyBorder="1" applyAlignment="1"/>
    <xf numFmtId="166" fontId="2" fillId="27" borderId="2" xfId="0" applyNumberFormat="1" applyFont="1" applyFill="1" applyBorder="1" applyAlignment="1"/>
    <xf numFmtId="0" fontId="1" fillId="25" borderId="2" xfId="0" applyFont="1" applyFill="1" applyBorder="1" applyAlignment="1"/>
    <xf numFmtId="166" fontId="1" fillId="25" borderId="146" xfId="0" applyNumberFormat="1" applyFont="1" applyFill="1" applyBorder="1" applyAlignment="1"/>
    <xf numFmtId="0" fontId="1" fillId="15" borderId="2" xfId="0" applyFont="1" applyFill="1" applyBorder="1" applyAlignment="1"/>
    <xf numFmtId="166" fontId="1" fillId="15" borderId="2" xfId="0" applyNumberFormat="1" applyFont="1" applyFill="1" applyBorder="1" applyAlignment="1"/>
    <xf numFmtId="166" fontId="1" fillId="0" borderId="146" xfId="0" applyNumberFormat="1" applyFont="1" applyBorder="1" applyAlignment="1"/>
    <xf numFmtId="166" fontId="1" fillId="0" borderId="2" xfId="0" applyNumberFormat="1" applyFont="1" applyBorder="1" applyAlignment="1"/>
    <xf numFmtId="0" fontId="2" fillId="10" borderId="2" xfId="0" applyFont="1" applyFill="1" applyBorder="1" applyAlignment="1"/>
    <xf numFmtId="0" fontId="2" fillId="28" borderId="2" xfId="0" applyFont="1" applyFill="1" applyBorder="1" applyAlignment="1"/>
    <xf numFmtId="0" fontId="1" fillId="10" borderId="2" xfId="0" applyFont="1" applyFill="1" applyBorder="1" applyAlignment="1"/>
    <xf numFmtId="0" fontId="1" fillId="14" borderId="2" xfId="0" applyFont="1" applyFill="1" applyBorder="1" applyAlignment="1"/>
    <xf numFmtId="166" fontId="1" fillId="14" borderId="146" xfId="0" applyNumberFormat="1" applyFont="1" applyFill="1" applyBorder="1" applyAlignment="1"/>
    <xf numFmtId="0" fontId="1" fillId="26" borderId="2" xfId="0" applyFont="1" applyFill="1" applyBorder="1" applyAlignment="1"/>
    <xf numFmtId="166" fontId="1" fillId="26" borderId="146" xfId="0" applyNumberFormat="1" applyFont="1" applyFill="1" applyBorder="1" applyAlignment="1"/>
    <xf numFmtId="0" fontId="23" fillId="0" borderId="2" xfId="0" applyFont="1" applyBorder="1" applyAlignment="1"/>
    <xf numFmtId="0" fontId="24" fillId="0" borderId="2" xfId="0" applyFont="1" applyBorder="1" applyAlignment="1"/>
    <xf numFmtId="166" fontId="23" fillId="0" borderId="146" xfId="0" applyNumberFormat="1" applyFont="1" applyBorder="1" applyAlignment="1"/>
    <xf numFmtId="0" fontId="2" fillId="0" borderId="38" xfId="0" applyFont="1" applyBorder="1" applyAlignment="1"/>
    <xf numFmtId="0" fontId="2" fillId="0" borderId="270" xfId="0" applyFont="1" applyBorder="1" applyAlignment="1"/>
    <xf numFmtId="0" fontId="2" fillId="6" borderId="39" xfId="0" applyFont="1" applyFill="1" applyBorder="1" applyAlignment="1"/>
    <xf numFmtId="0" fontId="1" fillId="6" borderId="97" xfId="0" applyFont="1" applyFill="1" applyBorder="1" applyAlignment="1"/>
    <xf numFmtId="167" fontId="2" fillId="0" borderId="2" xfId="0" applyNumberFormat="1" applyFont="1" applyBorder="1" applyAlignment="1"/>
    <xf numFmtId="0" fontId="2" fillId="6" borderId="40" xfId="0" applyFont="1" applyFill="1" applyBorder="1" applyAlignment="1"/>
    <xf numFmtId="165" fontId="2" fillId="6" borderId="2" xfId="0" applyNumberFormat="1" applyFont="1" applyFill="1" applyBorder="1" applyAlignment="1"/>
    <xf numFmtId="165" fontId="1" fillId="6" borderId="2" xfId="0" applyNumberFormat="1" applyFont="1" applyFill="1" applyBorder="1" applyAlignment="1"/>
    <xf numFmtId="166" fontId="2" fillId="6" borderId="2" xfId="0" applyNumberFormat="1" applyFont="1" applyFill="1" applyBorder="1" applyAlignment="1"/>
    <xf numFmtId="166" fontId="1" fillId="6" borderId="2" xfId="0" applyNumberFormat="1" applyFont="1" applyFill="1" applyBorder="1" applyAlignment="1"/>
    <xf numFmtId="167" fontId="1" fillId="6" borderId="2" xfId="0" applyNumberFormat="1" applyFont="1" applyFill="1" applyBorder="1" applyAlignment="1"/>
    <xf numFmtId="0" fontId="2" fillId="6" borderId="97" xfId="0" applyFont="1" applyFill="1" applyBorder="1" applyAlignment="1"/>
    <xf numFmtId="0" fontId="2" fillId="24" borderId="39" xfId="0" applyFont="1" applyFill="1" applyBorder="1" applyAlignment="1"/>
    <xf numFmtId="165" fontId="2" fillId="24" borderId="2" xfId="0" applyNumberFormat="1" applyFont="1" applyFill="1" applyBorder="1" applyAlignment="1"/>
    <xf numFmtId="165" fontId="1" fillId="24" borderId="2" xfId="0" applyNumberFormat="1" applyFont="1" applyFill="1" applyBorder="1" applyAlignment="1"/>
    <xf numFmtId="0" fontId="2" fillId="24" borderId="40" xfId="0" applyFont="1" applyFill="1" applyBorder="1" applyAlignment="1"/>
    <xf numFmtId="172" fontId="2" fillId="24" borderId="2" xfId="0" applyNumberFormat="1" applyFont="1" applyFill="1" applyBorder="1" applyAlignment="1"/>
    <xf numFmtId="11" fontId="2" fillId="24" borderId="2" xfId="0" applyNumberFormat="1" applyFont="1" applyFill="1" applyBorder="1" applyAlignment="1"/>
    <xf numFmtId="2" fontId="1" fillId="24" borderId="2" xfId="0" applyNumberFormat="1" applyFont="1" applyFill="1" applyBorder="1" applyAlignment="1"/>
    <xf numFmtId="167" fontId="2" fillId="24" borderId="2" xfId="0" applyNumberFormat="1" applyFont="1" applyFill="1" applyBorder="1" applyAlignment="1"/>
    <xf numFmtId="0" fontId="2" fillId="24" borderId="97" xfId="0" applyFont="1" applyFill="1" applyBorder="1" applyAlignment="1"/>
    <xf numFmtId="0" fontId="2" fillId="0" borderId="180" xfId="0" applyFont="1" applyBorder="1" applyAlignment="1"/>
    <xf numFmtId="0" fontId="2" fillId="11" borderId="301" xfId="0" applyFont="1" applyFill="1" applyBorder="1" applyAlignment="1"/>
    <xf numFmtId="0" fontId="2" fillId="11" borderId="26" xfId="0" applyFont="1" applyFill="1" applyBorder="1" applyAlignment="1"/>
    <xf numFmtId="0" fontId="1" fillId="11" borderId="26" xfId="0" applyFont="1" applyFill="1" applyBorder="1" applyAlignment="1"/>
    <xf numFmtId="0" fontId="2" fillId="11" borderId="302" xfId="0" applyFont="1" applyFill="1" applyBorder="1" applyAlignment="1"/>
    <xf numFmtId="0" fontId="2" fillId="11" borderId="39" xfId="0" applyFont="1" applyFill="1" applyBorder="1" applyAlignment="1"/>
    <xf numFmtId="165" fontId="1" fillId="11" borderId="2" xfId="0" applyNumberFormat="1" applyFont="1" applyFill="1" applyBorder="1" applyAlignment="1"/>
    <xf numFmtId="0" fontId="2" fillId="11" borderId="40" xfId="0" applyFont="1" applyFill="1" applyBorder="1" applyAlignment="1"/>
    <xf numFmtId="2" fontId="2" fillId="11" borderId="2" xfId="0" applyNumberFormat="1" applyFont="1" applyFill="1" applyBorder="1" applyAlignment="1"/>
    <xf numFmtId="2" fontId="1" fillId="11" borderId="2" xfId="0" applyNumberFormat="1" applyFont="1" applyFill="1" applyBorder="1" applyAlignment="1"/>
    <xf numFmtId="167" fontId="1" fillId="11" borderId="2" xfId="0" applyNumberFormat="1" applyFont="1" applyFill="1" applyBorder="1" applyAlignment="1"/>
    <xf numFmtId="0" fontId="2" fillId="11" borderId="97" xfId="0" applyFont="1" applyFill="1" applyBorder="1" applyAlignment="1"/>
    <xf numFmtId="0" fontId="2" fillId="0" borderId="303" xfId="0" applyFont="1" applyBorder="1" applyAlignment="1"/>
    <xf numFmtId="0" fontId="2" fillId="0" borderId="88" xfId="0" applyFont="1" applyBorder="1" applyAlignment="1"/>
    <xf numFmtId="0" fontId="2" fillId="0" borderId="197" xfId="0" applyFont="1" applyBorder="1" applyAlignment="1"/>
    <xf numFmtId="175" fontId="1" fillId="0" borderId="0" xfId="0" applyNumberFormat="1" applyFont="1" applyAlignment="1"/>
    <xf numFmtId="0" fontId="14" fillId="7" borderId="26" xfId="0" applyFont="1" applyFill="1" applyBorder="1" applyAlignment="1"/>
    <xf numFmtId="0" fontId="2" fillId="7" borderId="26" xfId="0" applyFont="1" applyFill="1" applyBorder="1" applyAlignment="1"/>
    <xf numFmtId="0" fontId="2" fillId="7" borderId="26" xfId="0" applyFont="1" applyFill="1" applyBorder="1" applyAlignment="1">
      <alignment horizontal="center"/>
    </xf>
    <xf numFmtId="0" fontId="2" fillId="0" borderId="0" xfId="0" applyFont="1" applyAlignment="1">
      <alignment horizontal="center" wrapText="1"/>
    </xf>
    <xf numFmtId="175" fontId="2" fillId="0" borderId="146" xfId="0" applyNumberFormat="1" applyFont="1" applyBorder="1" applyAlignment="1"/>
    <xf numFmtId="0" fontId="2" fillId="0" borderId="298" xfId="0" applyFont="1" applyBorder="1" applyAlignment="1"/>
    <xf numFmtId="175" fontId="1" fillId="0" borderId="146" xfId="0" applyNumberFormat="1" applyFont="1" applyBorder="1" applyAlignment="1"/>
    <xf numFmtId="0" fontId="25" fillId="0" borderId="0" xfId="0" applyFont="1" applyAlignment="1"/>
    <xf numFmtId="0" fontId="14" fillId="9" borderId="26" xfId="0" applyFont="1" applyFill="1" applyBorder="1" applyAlignment="1"/>
    <xf numFmtId="0" fontId="2" fillId="9" borderId="26" xfId="0" applyFont="1" applyFill="1" applyBorder="1" applyAlignment="1"/>
    <xf numFmtId="0" fontId="1" fillId="0" borderId="47" xfId="0" applyFont="1" applyBorder="1" applyAlignment="1">
      <alignment horizontal="left"/>
    </xf>
    <xf numFmtId="0" fontId="17" fillId="0" borderId="164" xfId="0" applyFont="1" applyBorder="1" applyAlignment="1"/>
    <xf numFmtId="0" fontId="16" fillId="0" borderId="164" xfId="0" applyFont="1" applyBorder="1" applyAlignment="1"/>
    <xf numFmtId="0" fontId="2" fillId="0" borderId="97" xfId="0" applyFont="1" applyBorder="1" applyAlignment="1">
      <alignment horizontal="left" vertical="top" wrapText="1"/>
    </xf>
    <xf numFmtId="168" fontId="14" fillId="0" borderId="146" xfId="0" applyNumberFormat="1" applyFont="1" applyBorder="1" applyAlignment="1"/>
    <xf numFmtId="168" fontId="14" fillId="0" borderId="47" xfId="0" applyNumberFormat="1" applyFont="1" applyBorder="1" applyAlignment="1"/>
    <xf numFmtId="168" fontId="14" fillId="0" borderId="164" xfId="0" applyNumberFormat="1" applyFont="1" applyBorder="1" applyAlignment="1"/>
    <xf numFmtId="0" fontId="1" fillId="0" borderId="71" xfId="0" applyFont="1" applyBorder="1" applyAlignment="1"/>
    <xf numFmtId="166" fontId="9" fillId="0" borderId="182" xfId="0" applyNumberFormat="1" applyFont="1" applyBorder="1" applyAlignment="1"/>
    <xf numFmtId="168" fontId="9" fillId="0" borderId="183" xfId="0" applyNumberFormat="1" applyFont="1" applyBorder="1" applyAlignment="1"/>
    <xf numFmtId="168" fontId="9" fillId="0" borderId="47" xfId="0" applyNumberFormat="1" applyFont="1" applyBorder="1" applyAlignment="1"/>
    <xf numFmtId="0" fontId="14" fillId="22" borderId="26" xfId="0" applyFont="1" applyFill="1" applyBorder="1" applyAlignment="1"/>
    <xf numFmtId="0" fontId="2" fillId="22" borderId="26" xfId="0" applyFont="1" applyFill="1" applyBorder="1" applyAlignment="1">
      <alignment horizontal="center"/>
    </xf>
    <xf numFmtId="0" fontId="2" fillId="22" borderId="26" xfId="0" applyFont="1" applyFill="1" applyBorder="1" applyAlignment="1"/>
    <xf numFmtId="166" fontId="2" fillId="0" borderId="164" xfId="0" applyNumberFormat="1" applyFont="1" applyBorder="1" applyAlignment="1"/>
    <xf numFmtId="170" fontId="2" fillId="0" borderId="178" xfId="0" applyNumberFormat="1" applyFont="1" applyBorder="1" applyAlignment="1"/>
    <xf numFmtId="166" fontId="1" fillId="0" borderId="0" xfId="0" applyNumberFormat="1" applyFont="1" applyAlignment="1">
      <alignment horizontal="center"/>
    </xf>
    <xf numFmtId="0" fontId="1" fillId="0" borderId="4" xfId="0" applyFont="1" applyBorder="1" applyAlignment="1"/>
    <xf numFmtId="0" fontId="1" fillId="0" borderId="27" xfId="0" applyFont="1" applyBorder="1" applyAlignment="1">
      <alignment horizontal="center"/>
    </xf>
    <xf numFmtId="0" fontId="1" fillId="0" borderId="28" xfId="0" applyFont="1" applyBorder="1" applyAlignment="1"/>
    <xf numFmtId="0" fontId="1" fillId="0" borderId="30" xfId="0" applyFont="1" applyBorder="1" applyAlignment="1">
      <alignment horizontal="left"/>
    </xf>
    <xf numFmtId="0" fontId="2" fillId="0" borderId="24" xfId="0" applyFont="1" applyBorder="1" applyAlignment="1">
      <alignment horizontal="center"/>
    </xf>
    <xf numFmtId="171" fontId="2" fillId="0" borderId="61" xfId="0" applyNumberFormat="1" applyFont="1" applyBorder="1" applyAlignment="1"/>
    <xf numFmtId="9" fontId="2" fillId="0" borderId="95" xfId="0" applyNumberFormat="1" applyFont="1" applyBorder="1" applyAlignment="1">
      <alignment horizontal="center"/>
    </xf>
    <xf numFmtId="176" fontId="2" fillId="0" borderId="25" xfId="0" applyNumberFormat="1" applyFont="1" applyBorder="1" applyAlignment="1"/>
    <xf numFmtId="197" fontId="2" fillId="0" borderId="24" xfId="0" applyNumberFormat="1" applyFont="1" applyBorder="1" applyAlignment="1"/>
    <xf numFmtId="176" fontId="2" fillId="0" borderId="24" xfId="0" applyNumberFormat="1" applyFont="1" applyBorder="1" applyAlignment="1"/>
    <xf numFmtId="176" fontId="1" fillId="0" borderId="77" xfId="0" applyNumberFormat="1" applyFont="1" applyBorder="1" applyAlignment="1"/>
    <xf numFmtId="0" fontId="1" fillId="0" borderId="304" xfId="0" applyFont="1" applyBorder="1" applyAlignment="1"/>
    <xf numFmtId="0" fontId="2" fillId="0" borderId="305" xfId="0" applyFont="1" applyBorder="1" applyAlignment="1"/>
    <xf numFmtId="0" fontId="1" fillId="0" borderId="208" xfId="0" applyFont="1" applyBorder="1" applyAlignment="1"/>
    <xf numFmtId="0" fontId="1" fillId="0" borderId="267" xfId="0" applyFont="1" applyBorder="1" applyAlignment="1"/>
    <xf numFmtId="172" fontId="1" fillId="0" borderId="164" xfId="0" applyNumberFormat="1" applyFont="1" applyBorder="1" applyAlignment="1"/>
    <xf numFmtId="0" fontId="2" fillId="0" borderId="47" xfId="0" applyFont="1" applyBorder="1" applyAlignment="1">
      <alignment horizontal="left"/>
    </xf>
    <xf numFmtId="172" fontId="2" fillId="0" borderId="164" xfId="0" applyNumberFormat="1" applyFont="1" applyBorder="1" applyAlignment="1"/>
    <xf numFmtId="0" fontId="2" fillId="0" borderId="0" xfId="0" applyFont="1" applyAlignment="1">
      <alignment horizontal="left" vertical="top" wrapText="1"/>
    </xf>
    <xf numFmtId="0" fontId="20" fillId="0" borderId="0" xfId="0" applyFont="1" applyAlignment="1"/>
    <xf numFmtId="0" fontId="1" fillId="0" borderId="36" xfId="0" applyFont="1" applyBorder="1" applyAlignment="1">
      <alignment horizontal="left"/>
    </xf>
    <xf numFmtId="0" fontId="1" fillId="0" borderId="37" xfId="0" applyFont="1" applyBorder="1" applyAlignment="1">
      <alignment horizontal="center" wrapText="1"/>
    </xf>
    <xf numFmtId="0" fontId="1" fillId="0" borderId="38" xfId="0" applyFont="1" applyBorder="1" applyAlignment="1">
      <alignment horizontal="center" wrapText="1"/>
    </xf>
    <xf numFmtId="0" fontId="1" fillId="0" borderId="39" xfId="0" applyFont="1" applyBorder="1" applyAlignment="1">
      <alignment horizontal="left"/>
    </xf>
    <xf numFmtId="0" fontId="26" fillId="0" borderId="39" xfId="0" applyFont="1" applyBorder="1" applyAlignment="1">
      <alignment horizontal="left"/>
    </xf>
    <xf numFmtId="0" fontId="1" fillId="0" borderId="2" xfId="0" applyFont="1" applyBorder="1" applyAlignment="1">
      <alignment horizontal="left"/>
    </xf>
    <xf numFmtId="3" fontId="2" fillId="8" borderId="2" xfId="0" applyNumberFormat="1" applyFont="1" applyFill="1" applyBorder="1" applyAlignment="1">
      <alignment horizontal="center"/>
    </xf>
    <xf numFmtId="4" fontId="2" fillId="0" borderId="2" xfId="0" applyNumberFormat="1" applyFont="1" applyBorder="1" applyAlignment="1">
      <alignment horizontal="center"/>
    </xf>
    <xf numFmtId="3" fontId="1" fillId="0" borderId="2" xfId="0" applyNumberFormat="1" applyFont="1" applyBorder="1" applyAlignment="1">
      <alignment horizontal="center" wrapText="1"/>
    </xf>
    <xf numFmtId="0" fontId="1" fillId="0" borderId="2" xfId="0" applyFont="1" applyBorder="1" applyAlignment="1">
      <alignment horizontal="center" wrapText="1"/>
    </xf>
    <xf numFmtId="177" fontId="2" fillId="0" borderId="2" xfId="0" applyNumberFormat="1" applyFont="1" applyBorder="1" applyAlignment="1">
      <alignment horizontal="center"/>
    </xf>
    <xf numFmtId="37" fontId="2" fillId="8" borderId="2" xfId="0" applyNumberFormat="1" applyFont="1" applyFill="1" applyBorder="1" applyAlignment="1">
      <alignment horizontal="center"/>
    </xf>
    <xf numFmtId="166" fontId="2" fillId="0" borderId="2" xfId="0" applyNumberFormat="1" applyFont="1" applyBorder="1" applyAlignment="1">
      <alignment horizontal="center"/>
    </xf>
    <xf numFmtId="177" fontId="1" fillId="0" borderId="2" xfId="0" applyNumberFormat="1" applyFont="1" applyBorder="1" applyAlignment="1">
      <alignment horizontal="center" wrapText="1"/>
    </xf>
    <xf numFmtId="0" fontId="1" fillId="0" borderId="40" xfId="0" applyFont="1" applyBorder="1" applyAlignment="1">
      <alignment horizontal="center" wrapText="1"/>
    </xf>
    <xf numFmtId="0" fontId="1" fillId="0" borderId="2" xfId="0" applyFont="1" applyBorder="1" applyAlignment="1">
      <alignment vertical="center"/>
    </xf>
    <xf numFmtId="166" fontId="1" fillId="0" borderId="2" xfId="0" applyNumberFormat="1" applyFont="1" applyBorder="1" applyAlignment="1">
      <alignment horizontal="center"/>
    </xf>
    <xf numFmtId="0" fontId="26" fillId="0" borderId="2" xfId="0" applyFont="1" applyBorder="1" applyAlignment="1">
      <alignment horizontal="left"/>
    </xf>
    <xf numFmtId="0" fontId="27" fillId="0" borderId="0" xfId="0" applyFont="1" applyAlignment="1"/>
    <xf numFmtId="0" fontId="2" fillId="0" borderId="284" xfId="0" applyFont="1" applyBorder="1" applyAlignment="1">
      <alignment horizontal="left" vertical="top" wrapText="1"/>
    </xf>
    <xf numFmtId="0" fontId="1" fillId="0" borderId="273" xfId="0" applyFont="1" applyBorder="1" applyAlignment="1">
      <alignment horizontal="center" vertical="center" wrapText="1"/>
    </xf>
    <xf numFmtId="0" fontId="1" fillId="0" borderId="273" xfId="0" applyFont="1" applyBorder="1" applyAlignment="1"/>
    <xf numFmtId="0" fontId="1" fillId="0" borderId="273" xfId="0" applyFont="1" applyBorder="1" applyAlignment="1">
      <alignment horizontal="center" wrapText="1"/>
    </xf>
    <xf numFmtId="0" fontId="2" fillId="0" borderId="273" xfId="0" applyFont="1" applyBorder="1" applyAlignment="1">
      <alignment vertical="center"/>
    </xf>
    <xf numFmtId="0" fontId="2" fillId="0" borderId="285" xfId="0" applyFont="1" applyBorder="1" applyAlignment="1"/>
    <xf numFmtId="0" fontId="2" fillId="0" borderId="286" xfId="0" applyFont="1" applyBorder="1" applyAlignment="1"/>
    <xf numFmtId="0" fontId="1" fillId="0" borderId="2" xfId="0" applyFont="1" applyBorder="1" applyAlignment="1">
      <alignment horizontal="center" vertical="center" wrapText="1"/>
    </xf>
    <xf numFmtId="10" fontId="2" fillId="0" borderId="2" xfId="0" applyNumberFormat="1" applyFont="1" applyBorder="1" applyAlignment="1"/>
    <xf numFmtId="0" fontId="2" fillId="0" borderId="288" xfId="0" applyFont="1" applyBorder="1" applyAlignment="1"/>
    <xf numFmtId="0" fontId="1" fillId="0" borderId="200" xfId="0" applyFont="1" applyBorder="1" applyAlignment="1">
      <alignment horizontal="center" vertical="center" wrapText="1"/>
    </xf>
    <xf numFmtId="10" fontId="2" fillId="0" borderId="200" xfId="0" applyNumberFormat="1" applyFont="1" applyBorder="1" applyAlignment="1"/>
    <xf numFmtId="4" fontId="2" fillId="0" borderId="200" xfId="0" applyNumberFormat="1" applyFont="1" applyBorder="1" applyAlignment="1"/>
    <xf numFmtId="0" fontId="1" fillId="0" borderId="3" xfId="0" applyFont="1" applyBorder="1" applyAlignment="1"/>
    <xf numFmtId="0" fontId="1" fillId="0" borderId="95" xfId="0" applyFont="1" applyBorder="1" applyAlignment="1"/>
    <xf numFmtId="175" fontId="2" fillId="0" borderId="31" xfId="0" applyNumberFormat="1" applyFont="1" applyBorder="1" applyAlignment="1"/>
    <xf numFmtId="178" fontId="2" fillId="0" borderId="0" xfId="0" applyNumberFormat="1" applyFont="1" applyAlignment="1"/>
    <xf numFmtId="171" fontId="2" fillId="0" borderId="0" xfId="0" applyNumberFormat="1" applyFont="1" applyAlignment="1"/>
    <xf numFmtId="0" fontId="3" fillId="0" borderId="30" xfId="0" applyFont="1" applyBorder="1" applyAlignment="1">
      <alignment horizontal="left"/>
    </xf>
    <xf numFmtId="0" fontId="2" fillId="0" borderId="76" xfId="0" applyFont="1" applyBorder="1" applyAlignment="1">
      <alignment horizontal="left" vertical="top" wrapText="1"/>
    </xf>
    <xf numFmtId="166" fontId="2" fillId="0" borderId="77" xfId="0" applyNumberFormat="1" applyFont="1" applyBorder="1" applyAlignment="1"/>
    <xf numFmtId="0" fontId="1" fillId="0" borderId="77" xfId="0" applyFont="1" applyBorder="1" applyAlignment="1"/>
    <xf numFmtId="0" fontId="3" fillId="0" borderId="76" xfId="0" applyFont="1" applyBorder="1" applyAlignment="1">
      <alignment horizontal="left"/>
    </xf>
    <xf numFmtId="0" fontId="27" fillId="0" borderId="0" xfId="0" applyFont="1" applyAlignment="1">
      <alignment vertical="center"/>
    </xf>
    <xf numFmtId="0" fontId="1" fillId="0" borderId="221" xfId="0" applyFont="1" applyBorder="1" applyAlignment="1">
      <alignment horizontal="center" wrapText="1"/>
    </xf>
    <xf numFmtId="0" fontId="1" fillId="0" borderId="220" xfId="0" applyFont="1" applyBorder="1" applyAlignment="1">
      <alignment horizontal="center" wrapText="1"/>
    </xf>
    <xf numFmtId="0" fontId="1" fillId="0" borderId="221" xfId="0" applyFont="1" applyBorder="1" applyAlignment="1">
      <alignment horizontal="center"/>
    </xf>
    <xf numFmtId="1" fontId="1" fillId="0" borderId="0" xfId="0" applyNumberFormat="1" applyFont="1" applyAlignment="1"/>
    <xf numFmtId="168" fontId="1" fillId="0" borderId="0" xfId="0" applyNumberFormat="1" applyFont="1" applyAlignment="1"/>
    <xf numFmtId="10" fontId="1" fillId="0" borderId="0" xfId="0" applyNumberFormat="1" applyFont="1" applyAlignment="1"/>
    <xf numFmtId="176" fontId="1" fillId="0" borderId="0" xfId="0" applyNumberFormat="1" applyFont="1" applyAlignment="1"/>
    <xf numFmtId="173" fontId="1" fillId="0" borderId="220" xfId="0" applyNumberFormat="1" applyFont="1" applyBorder="1" applyAlignment="1"/>
    <xf numFmtId="0" fontId="9" fillId="6" borderId="242" xfId="0" applyFont="1" applyFill="1" applyBorder="1" applyAlignment="1">
      <alignment vertical="center"/>
    </xf>
    <xf numFmtId="0" fontId="2" fillId="6" borderId="243" xfId="0" applyFont="1" applyFill="1" applyBorder="1" applyAlignment="1"/>
    <xf numFmtId="9" fontId="1" fillId="0" borderId="0" xfId="0" applyNumberFormat="1" applyFont="1" applyAlignment="1"/>
    <xf numFmtId="167" fontId="1" fillId="0" borderId="0" xfId="0" applyNumberFormat="1" applyFont="1" applyAlignment="1"/>
    <xf numFmtId="198" fontId="1" fillId="0" borderId="0" xfId="0" applyNumberFormat="1" applyFont="1" applyAlignment="1"/>
    <xf numFmtId="2" fontId="1" fillId="0" borderId="0" xfId="0" applyNumberFormat="1" applyFont="1" applyAlignment="1"/>
    <xf numFmtId="0" fontId="1" fillId="0" borderId="220" xfId="0" applyFont="1" applyBorder="1" applyAlignment="1"/>
    <xf numFmtId="0" fontId="2" fillId="0" borderId="0" xfId="0" applyFont="1" applyAlignment="1">
      <alignment horizontal="center" vertical="top" wrapText="1"/>
    </xf>
    <xf numFmtId="0" fontId="2" fillId="0" borderId="0" xfId="0" applyFont="1" applyAlignment="1">
      <alignment horizontal="center" vertical="top"/>
    </xf>
    <xf numFmtId="0" fontId="2" fillId="0" borderId="220" xfId="0" applyFont="1" applyBorder="1" applyAlignment="1">
      <alignment horizontal="center" vertical="top"/>
    </xf>
    <xf numFmtId="173" fontId="1" fillId="0" borderId="0" xfId="0" applyNumberFormat="1" applyFont="1" applyAlignment="1">
      <alignment horizontal="center"/>
    </xf>
    <xf numFmtId="180" fontId="1" fillId="0" borderId="220" xfId="0" applyNumberFormat="1" applyFont="1" applyBorder="1" applyAlignment="1"/>
    <xf numFmtId="0" fontId="1" fillId="0" borderId="240" xfId="0" applyFont="1" applyBorder="1" applyAlignment="1">
      <alignment horizontal="center"/>
    </xf>
    <xf numFmtId="166" fontId="1" fillId="0" borderId="155" xfId="0" applyNumberFormat="1" applyFont="1" applyBorder="1" applyAlignment="1"/>
    <xf numFmtId="0" fontId="1" fillId="0" borderId="155" xfId="0" applyFont="1" applyBorder="1" applyAlignment="1">
      <alignment horizontal="center"/>
    </xf>
    <xf numFmtId="165" fontId="1" fillId="0" borderId="155" xfId="0" applyNumberFormat="1" applyFont="1" applyBorder="1" applyAlignment="1"/>
    <xf numFmtId="9" fontId="1" fillId="0" borderId="155" xfId="0" applyNumberFormat="1" applyFont="1" applyBorder="1" applyAlignment="1"/>
    <xf numFmtId="2" fontId="1" fillId="0" borderId="155" xfId="0" applyNumberFormat="1" applyFont="1" applyBorder="1" applyAlignment="1"/>
    <xf numFmtId="168" fontId="1" fillId="0" borderId="155" xfId="0" applyNumberFormat="1" applyFont="1" applyBorder="1" applyAlignment="1"/>
    <xf numFmtId="166" fontId="1" fillId="0" borderId="155" xfId="0" applyNumberFormat="1" applyFont="1" applyBorder="1" applyAlignment="1">
      <alignment horizontal="center"/>
    </xf>
    <xf numFmtId="173" fontId="1" fillId="0" borderId="155" xfId="0" applyNumberFormat="1" applyFont="1" applyBorder="1" applyAlignment="1"/>
    <xf numFmtId="176" fontId="1" fillId="0" borderId="155" xfId="0" applyNumberFormat="1" applyFont="1" applyBorder="1" applyAlignment="1"/>
    <xf numFmtId="173" fontId="1" fillId="0" borderId="155" xfId="0" applyNumberFormat="1" applyFont="1" applyBorder="1" applyAlignment="1">
      <alignment horizontal="center"/>
    </xf>
    <xf numFmtId="180" fontId="1" fillId="0" borderId="241" xfId="0" applyNumberFormat="1" applyFont="1" applyBorder="1" applyAlignment="1"/>
    <xf numFmtId="0" fontId="2" fillId="0" borderId="220" xfId="0" applyFont="1" applyBorder="1" applyAlignment="1">
      <alignment horizontal="center"/>
    </xf>
    <xf numFmtId="177" fontId="1" fillId="0" borderId="0" xfId="0" applyNumberFormat="1" applyFont="1" applyAlignment="1"/>
    <xf numFmtId="166" fontId="1" fillId="0" borderId="0" xfId="0" applyNumberFormat="1" applyFont="1" applyAlignment="1">
      <alignment horizontal="left"/>
    </xf>
    <xf numFmtId="0" fontId="1" fillId="0" borderId="0" xfId="0" applyFont="1" applyAlignment="1">
      <alignment horizontal="right"/>
    </xf>
    <xf numFmtId="164" fontId="1" fillId="0" borderId="220" xfId="0" applyNumberFormat="1" applyFont="1" applyBorder="1" applyAlignment="1"/>
    <xf numFmtId="0" fontId="1" fillId="0" borderId="24" xfId="0" applyFont="1" applyBorder="1" applyAlignment="1"/>
    <xf numFmtId="180" fontId="14" fillId="0" borderId="0" xfId="0" applyNumberFormat="1" applyFont="1" applyAlignment="1"/>
    <xf numFmtId="0" fontId="3" fillId="0" borderId="0" xfId="0" applyFont="1" applyAlignment="1">
      <alignment horizontal="left"/>
    </xf>
    <xf numFmtId="180" fontId="1" fillId="0" borderId="4" xfId="0" applyNumberFormat="1" applyFont="1" applyBorder="1" applyAlignment="1"/>
    <xf numFmtId="199" fontId="2" fillId="0" borderId="0" xfId="0" applyNumberFormat="1" applyFont="1" applyAlignment="1"/>
    <xf numFmtId="0" fontId="2" fillId="7" borderId="36" xfId="0" applyFont="1" applyFill="1" applyBorder="1" applyAlignment="1"/>
    <xf numFmtId="0" fontId="2" fillId="7" borderId="37" xfId="0" applyFont="1" applyFill="1" applyBorder="1" applyAlignment="1"/>
    <xf numFmtId="0" fontId="2" fillId="7" borderId="38" xfId="0" applyFont="1" applyFill="1" applyBorder="1" applyAlignment="1"/>
    <xf numFmtId="0" fontId="1" fillId="6" borderId="2" xfId="0" applyFont="1" applyFill="1" applyBorder="1" applyAlignment="1">
      <alignment horizontal="center" wrapText="1"/>
    </xf>
    <xf numFmtId="0" fontId="1" fillId="6" borderId="2" xfId="0" applyFont="1" applyFill="1" applyBorder="1" applyAlignment="1"/>
    <xf numFmtId="0" fontId="1" fillId="6" borderId="40" xfId="0" applyFont="1" applyFill="1" applyBorder="1" applyAlignment="1">
      <alignment horizontal="center" wrapText="1"/>
    </xf>
    <xf numFmtId="0" fontId="28" fillId="2" borderId="2" xfId="0" applyFont="1" applyFill="1" applyBorder="1" applyAlignment="1"/>
    <xf numFmtId="200" fontId="2" fillId="7" borderId="2" xfId="0" applyNumberFormat="1" applyFont="1" applyFill="1" applyBorder="1" applyAlignment="1">
      <alignment horizontal="center"/>
    </xf>
    <xf numFmtId="0" fontId="6" fillId="2" borderId="2" xfId="0" applyFont="1" applyFill="1" applyBorder="1" applyAlignment="1"/>
    <xf numFmtId="200" fontId="2" fillId="24" borderId="2" xfId="0" applyNumberFormat="1" applyFont="1" applyFill="1" applyBorder="1" applyAlignment="1">
      <alignment horizontal="center"/>
    </xf>
    <xf numFmtId="200" fontId="2" fillId="0" borderId="2" xfId="0" applyNumberFormat="1" applyFont="1" applyBorder="1" applyAlignment="1">
      <alignment horizontal="center"/>
    </xf>
    <xf numFmtId="0" fontId="1" fillId="6" borderId="41" xfId="0" applyFont="1" applyFill="1" applyBorder="1" applyAlignment="1"/>
    <xf numFmtId="0" fontId="2" fillId="6" borderId="42" xfId="0" applyFont="1" applyFill="1" applyBorder="1" applyAlignment="1">
      <alignment horizontal="center"/>
    </xf>
    <xf numFmtId="166" fontId="1" fillId="6" borderId="42" xfId="0" applyNumberFormat="1" applyFont="1" applyFill="1" applyBorder="1" applyAlignment="1"/>
    <xf numFmtId="0" fontId="1" fillId="6" borderId="42" xfId="0" applyFont="1" applyFill="1" applyBorder="1" applyAlignment="1">
      <alignment horizontal="center"/>
    </xf>
    <xf numFmtId="170" fontId="1" fillId="6" borderId="42" xfId="0" applyNumberFormat="1" applyFont="1" applyFill="1" applyBorder="1" applyAlignment="1"/>
    <xf numFmtId="173" fontId="1" fillId="6" borderId="42" xfId="0" applyNumberFormat="1" applyFont="1" applyFill="1" applyBorder="1" applyAlignment="1"/>
    <xf numFmtId="0" fontId="2" fillId="6" borderId="42" xfId="0" applyFont="1" applyFill="1" applyBorder="1" applyAlignment="1"/>
    <xf numFmtId="173" fontId="1" fillId="6" borderId="43" xfId="0" applyNumberFormat="1" applyFont="1" applyFill="1" applyBorder="1" applyAlignment="1"/>
    <xf numFmtId="166" fontId="1" fillId="0" borderId="24" xfId="0" applyNumberFormat="1" applyFont="1" applyBorder="1" applyAlignment="1"/>
    <xf numFmtId="170" fontId="1" fillId="0" borderId="24" xfId="0" applyNumberFormat="1" applyFont="1" applyBorder="1" applyAlignment="1"/>
    <xf numFmtId="173" fontId="1" fillId="0" borderId="24" xfId="0" applyNumberFormat="1" applyFont="1" applyBorder="1" applyAlignment="1"/>
    <xf numFmtId="0" fontId="2" fillId="7" borderId="37" xfId="0" applyFont="1" applyFill="1" applyBorder="1" applyAlignment="1">
      <alignment horizontal="center"/>
    </xf>
    <xf numFmtId="166" fontId="1" fillId="7" borderId="37" xfId="0" applyNumberFormat="1" applyFont="1" applyFill="1" applyBorder="1" applyAlignment="1"/>
    <xf numFmtId="0" fontId="1" fillId="7" borderId="37" xfId="0" applyFont="1" applyFill="1" applyBorder="1" applyAlignment="1">
      <alignment horizontal="center"/>
    </xf>
    <xf numFmtId="170" fontId="1" fillId="7" borderId="37" xfId="0" applyNumberFormat="1" applyFont="1" applyFill="1" applyBorder="1" applyAlignment="1"/>
    <xf numFmtId="173" fontId="1" fillId="7" borderId="37" xfId="0" applyNumberFormat="1" applyFont="1" applyFill="1" applyBorder="1" applyAlignment="1"/>
    <xf numFmtId="0" fontId="1" fillId="6" borderId="42" xfId="0" applyFont="1" applyFill="1" applyBorder="1" applyAlignment="1">
      <alignment horizontal="center" vertical="center" wrapText="1"/>
    </xf>
    <xf numFmtId="0" fontId="1" fillId="6" borderId="42" xfId="0" applyFont="1" applyFill="1" applyBorder="1" applyAlignment="1">
      <alignment vertical="center"/>
    </xf>
    <xf numFmtId="0" fontId="1" fillId="6" borderId="42" xfId="0" applyFont="1" applyFill="1" applyBorder="1" applyAlignment="1">
      <alignment horizontal="center" wrapText="1"/>
    </xf>
    <xf numFmtId="0" fontId="1" fillId="6" borderId="43" xfId="0" applyFont="1" applyFill="1" applyBorder="1" applyAlignment="1">
      <alignment horizontal="center" vertical="center" wrapText="1"/>
    </xf>
    <xf numFmtId="0" fontId="1" fillId="0" borderId="308" xfId="0" applyFont="1" applyBorder="1" applyAlignment="1"/>
    <xf numFmtId="0" fontId="1" fillId="0" borderId="178" xfId="0" applyFont="1" applyBorder="1" applyAlignment="1">
      <alignment horizontal="center" vertical="center" wrapText="1"/>
    </xf>
    <xf numFmtId="0" fontId="2" fillId="0" borderId="178" xfId="0" applyFont="1" applyBorder="1" applyAlignment="1">
      <alignment vertical="center"/>
    </xf>
    <xf numFmtId="0" fontId="2" fillId="0" borderId="178" xfId="0" applyFont="1" applyBorder="1" applyAlignment="1">
      <alignment horizontal="center" vertical="center"/>
    </xf>
    <xf numFmtId="0" fontId="2" fillId="0" borderId="178" xfId="0" applyFont="1" applyBorder="1" applyAlignment="1">
      <alignment horizontal="center"/>
    </xf>
    <xf numFmtId="173" fontId="17" fillId="0" borderId="178" xfId="0" applyNumberFormat="1" applyFont="1" applyBorder="1" applyAlignment="1">
      <alignment horizontal="center" vertical="center" wrapText="1"/>
    </xf>
    <xf numFmtId="0" fontId="2" fillId="0" borderId="178" xfId="0" applyFont="1" applyBorder="1" applyAlignment="1">
      <alignment horizontal="center" vertical="center" wrapText="1"/>
    </xf>
    <xf numFmtId="0" fontId="1" fillId="0" borderId="309" xfId="0" applyFont="1" applyBorder="1" applyAlignment="1">
      <alignment horizontal="center" vertical="center" wrapText="1"/>
    </xf>
    <xf numFmtId="0" fontId="2" fillId="0" borderId="2" xfId="0" applyFont="1" applyBorder="1" applyAlignment="1">
      <alignment horizontal="center" vertical="center"/>
    </xf>
    <xf numFmtId="173" fontId="2" fillId="0" borderId="2" xfId="0" applyNumberFormat="1" applyFont="1" applyBorder="1" applyAlignment="1">
      <alignment horizontal="center" vertical="center"/>
    </xf>
    <xf numFmtId="173" fontId="2" fillId="0" borderId="2" xfId="0" applyNumberFormat="1" applyFont="1" applyBorder="1" applyAlignment="1">
      <alignment horizontal="right"/>
    </xf>
    <xf numFmtId="173" fontId="2" fillId="0" borderId="40" xfId="0" applyNumberFormat="1" applyFont="1" applyBorder="1" applyAlignment="1">
      <alignment horizontal="right"/>
    </xf>
    <xf numFmtId="3" fontId="2" fillId="7" borderId="2" xfId="0" applyNumberFormat="1" applyFont="1" applyFill="1" applyBorder="1" applyAlignment="1">
      <alignment horizontal="center"/>
    </xf>
    <xf numFmtId="186" fontId="2" fillId="0" borderId="2" xfId="0" applyNumberFormat="1" applyFont="1" applyBorder="1" applyAlignment="1">
      <alignment horizontal="center"/>
    </xf>
    <xf numFmtId="173" fontId="2" fillId="0" borderId="2" xfId="0" applyNumberFormat="1" applyFont="1" applyBorder="1" applyAlignment="1">
      <alignment horizontal="center"/>
    </xf>
    <xf numFmtId="3" fontId="20" fillId="7" borderId="2" xfId="0" applyNumberFormat="1" applyFont="1" applyFill="1" applyBorder="1" applyAlignment="1">
      <alignment horizontal="center"/>
    </xf>
    <xf numFmtId="0" fontId="20" fillId="2" borderId="2" xfId="0" applyFont="1" applyFill="1" applyBorder="1" applyAlignment="1">
      <alignment horizontal="center"/>
    </xf>
    <xf numFmtId="3" fontId="20" fillId="2" borderId="2" xfId="0" applyNumberFormat="1" applyFont="1" applyFill="1" applyBorder="1" applyAlignment="1">
      <alignment horizontal="center"/>
    </xf>
    <xf numFmtId="166" fontId="20" fillId="2" borderId="2" xfId="0" applyNumberFormat="1" applyFont="1" applyFill="1" applyBorder="1" applyAlignment="1">
      <alignment horizontal="center"/>
    </xf>
    <xf numFmtId="2" fontId="20" fillId="2" borderId="2" xfId="0" applyNumberFormat="1" applyFont="1" applyFill="1" applyBorder="1" applyAlignment="1">
      <alignment horizontal="center"/>
    </xf>
    <xf numFmtId="173" fontId="20" fillId="2" borderId="2" xfId="0" applyNumberFormat="1" applyFont="1" applyFill="1" applyBorder="1" applyAlignment="1">
      <alignment horizontal="center" vertical="center"/>
    </xf>
    <xf numFmtId="173" fontId="20" fillId="2" borderId="2" xfId="0" applyNumberFormat="1" applyFont="1" applyFill="1" applyBorder="1" applyAlignment="1">
      <alignment horizontal="right"/>
    </xf>
    <xf numFmtId="173" fontId="20" fillId="2" borderId="40" xfId="0" applyNumberFormat="1" applyFont="1" applyFill="1" applyBorder="1" applyAlignment="1">
      <alignment horizontal="right"/>
    </xf>
    <xf numFmtId="166" fontId="1" fillId="6" borderId="42" xfId="0" applyNumberFormat="1" applyFont="1" applyFill="1" applyBorder="1" applyAlignment="1">
      <alignment horizontal="center"/>
    </xf>
    <xf numFmtId="173" fontId="1" fillId="6" borderId="42" xfId="0" applyNumberFormat="1" applyFont="1" applyFill="1" applyBorder="1" applyAlignment="1">
      <alignment horizontal="right"/>
    </xf>
    <xf numFmtId="173" fontId="1" fillId="6" borderId="43" xfId="0" applyNumberFormat="1" applyFont="1" applyFill="1" applyBorder="1" applyAlignment="1">
      <alignment horizontal="right"/>
    </xf>
    <xf numFmtId="173" fontId="1" fillId="0" borderId="0" xfId="0" applyNumberFormat="1" applyFont="1" applyAlignment="1">
      <alignment horizontal="right"/>
    </xf>
    <xf numFmtId="200" fontId="1" fillId="6" borderId="2" xfId="0" applyNumberFormat="1" applyFont="1" applyFill="1" applyBorder="1" applyAlignment="1">
      <alignment horizontal="center" wrapText="1"/>
    </xf>
    <xf numFmtId="0" fontId="1" fillId="6" borderId="2" xfId="0" applyFont="1" applyFill="1" applyBorder="1" applyAlignment="1">
      <alignment vertical="center"/>
    </xf>
    <xf numFmtId="0" fontId="1" fillId="6" borderId="2" xfId="0" applyFont="1" applyFill="1" applyBorder="1" applyAlignment="1">
      <alignment horizontal="center"/>
    </xf>
    <xf numFmtId="200" fontId="1" fillId="0" borderId="2" xfId="0" applyNumberFormat="1" applyFont="1" applyBorder="1" applyAlignment="1">
      <alignment horizontal="center" vertical="center" wrapText="1"/>
    </xf>
    <xf numFmtId="0" fontId="2" fillId="0" borderId="2" xfId="0" applyFont="1" applyBorder="1" applyAlignment="1">
      <alignment vertical="center"/>
    </xf>
    <xf numFmtId="175" fontId="2" fillId="0" borderId="2" xfId="0" applyNumberFormat="1" applyFont="1" applyBorder="1" applyAlignment="1">
      <alignment horizontal="center"/>
    </xf>
    <xf numFmtId="175" fontId="2" fillId="0" borderId="40" xfId="0" applyNumberFormat="1" applyFont="1" applyBorder="1" applyAlignment="1">
      <alignment horizontal="center"/>
    </xf>
    <xf numFmtId="166" fontId="2" fillId="0" borderId="40" xfId="0" applyNumberFormat="1" applyFont="1" applyBorder="1" applyAlignment="1">
      <alignment horizontal="center"/>
    </xf>
    <xf numFmtId="200" fontId="20" fillId="2" borderId="2" xfId="0" applyNumberFormat="1" applyFont="1" applyFill="1" applyBorder="1" applyAlignment="1">
      <alignment horizontal="center"/>
    </xf>
    <xf numFmtId="0" fontId="20" fillId="2" borderId="2" xfId="0" applyFont="1" applyFill="1" applyBorder="1" applyAlignment="1"/>
    <xf numFmtId="166" fontId="20" fillId="2" borderId="2" xfId="0" applyNumberFormat="1" applyFont="1" applyFill="1" applyBorder="1" applyAlignment="1"/>
    <xf numFmtId="166" fontId="20" fillId="2" borderId="40" xfId="0" applyNumberFormat="1" applyFont="1" applyFill="1" applyBorder="1" applyAlignment="1">
      <alignment horizontal="center"/>
    </xf>
    <xf numFmtId="3" fontId="2" fillId="6" borderId="2" xfId="0" applyNumberFormat="1" applyFont="1" applyFill="1" applyBorder="1" applyAlignment="1">
      <alignment horizontal="center"/>
    </xf>
    <xf numFmtId="166" fontId="1" fillId="6" borderId="2" xfId="0" applyNumberFormat="1" applyFont="1" applyFill="1" applyBorder="1" applyAlignment="1">
      <alignment horizontal="center"/>
    </xf>
    <xf numFmtId="166" fontId="2" fillId="6" borderId="2" xfId="0" applyNumberFormat="1" applyFont="1" applyFill="1" applyBorder="1" applyAlignment="1">
      <alignment horizontal="center"/>
    </xf>
    <xf numFmtId="175" fontId="1" fillId="6" borderId="2" xfId="0" applyNumberFormat="1" applyFont="1" applyFill="1" applyBorder="1" applyAlignment="1">
      <alignment horizontal="center"/>
    </xf>
    <xf numFmtId="175" fontId="1" fillId="6" borderId="40" xfId="0" applyNumberFormat="1" applyFont="1" applyFill="1" applyBorder="1" applyAlignment="1">
      <alignment horizontal="center"/>
    </xf>
    <xf numFmtId="0" fontId="2" fillId="0" borderId="42" xfId="0" applyFont="1" applyBorder="1" applyAlignment="1">
      <alignment horizontal="center"/>
    </xf>
    <xf numFmtId="166" fontId="1" fillId="0" borderId="42" xfId="0" applyNumberFormat="1" applyFont="1" applyBorder="1" applyAlignment="1"/>
    <xf numFmtId="170" fontId="1" fillId="0" borderId="42" xfId="0" applyNumberFormat="1" applyFont="1" applyBorder="1" applyAlignment="1"/>
    <xf numFmtId="173" fontId="1" fillId="0" borderId="42" xfId="0" applyNumberFormat="1" applyFont="1" applyBorder="1" applyAlignment="1"/>
    <xf numFmtId="0" fontId="2" fillId="7" borderId="193" xfId="0" applyFont="1" applyFill="1" applyBorder="1" applyAlignment="1">
      <alignment horizontal="left"/>
    </xf>
    <xf numFmtId="0" fontId="2" fillId="7" borderId="165" xfId="0" applyFont="1" applyFill="1" applyBorder="1" applyAlignment="1">
      <alignment horizontal="center"/>
    </xf>
    <xf numFmtId="0" fontId="2" fillId="7" borderId="190" xfId="0" applyFont="1" applyFill="1" applyBorder="1" applyAlignment="1">
      <alignment horizontal="center"/>
    </xf>
    <xf numFmtId="166" fontId="1" fillId="7" borderId="165" xfId="0" applyNumberFormat="1" applyFont="1" applyFill="1" applyBorder="1" applyAlignment="1"/>
    <xf numFmtId="0" fontId="1" fillId="7" borderId="165" xfId="0" applyFont="1" applyFill="1" applyBorder="1" applyAlignment="1">
      <alignment horizontal="center"/>
    </xf>
    <xf numFmtId="170" fontId="1" fillId="7" borderId="165" xfId="0" applyNumberFormat="1" applyFont="1" applyFill="1" applyBorder="1" applyAlignment="1"/>
    <xf numFmtId="173" fontId="1" fillId="7" borderId="165" xfId="0" applyNumberFormat="1" applyFont="1" applyFill="1" applyBorder="1" applyAlignment="1"/>
    <xf numFmtId="0" fontId="2" fillId="7" borderId="165" xfId="0" applyFont="1" applyFill="1" applyBorder="1" applyAlignment="1"/>
    <xf numFmtId="0" fontId="2" fillId="7" borderId="190" xfId="0" applyFont="1" applyFill="1" applyBorder="1" applyAlignment="1"/>
    <xf numFmtId="167" fontId="2" fillId="0" borderId="24" xfId="0" applyNumberFormat="1" applyFont="1" applyBorder="1" applyAlignment="1"/>
    <xf numFmtId="0" fontId="17" fillId="6" borderId="199" xfId="0" applyFont="1" applyFill="1" applyBorder="1" applyAlignment="1">
      <alignment wrapText="1"/>
    </xf>
    <xf numFmtId="0" fontId="1" fillId="6" borderId="62" xfId="0" applyFont="1" applyFill="1" applyBorder="1" applyAlignment="1">
      <alignment horizontal="center" wrapText="1"/>
    </xf>
    <xf numFmtId="0" fontId="1" fillId="6" borderId="62" xfId="0" applyFont="1" applyFill="1" applyBorder="1" applyAlignment="1"/>
    <xf numFmtId="0" fontId="1" fillId="6" borderId="62" xfId="0" applyFont="1" applyFill="1" applyBorder="1" applyAlignment="1">
      <alignment horizontal="center"/>
    </xf>
    <xf numFmtId="0" fontId="2" fillId="6" borderId="62" xfId="0" applyFont="1" applyFill="1" applyBorder="1" applyAlignment="1">
      <alignment horizontal="center"/>
    </xf>
    <xf numFmtId="167" fontId="1" fillId="6" borderId="62" xfId="0" applyNumberFormat="1" applyFont="1" applyFill="1" applyBorder="1" applyAlignment="1">
      <alignment horizontal="center" wrapText="1"/>
    </xf>
    <xf numFmtId="0" fontId="1" fillId="6" borderId="201" xfId="0" applyFont="1" applyFill="1" applyBorder="1" applyAlignment="1">
      <alignment horizontal="center" wrapText="1"/>
    </xf>
    <xf numFmtId="0" fontId="2" fillId="0" borderId="36" xfId="0" applyFont="1" applyBorder="1" applyAlignment="1">
      <alignment vertical="center" wrapText="1"/>
    </xf>
    <xf numFmtId="0" fontId="2" fillId="0" borderId="37" xfId="0" applyFont="1" applyBorder="1" applyAlignment="1">
      <alignment horizontal="left" wrapText="1"/>
    </xf>
    <xf numFmtId="166" fontId="2" fillId="20" borderId="37" xfId="0" applyNumberFormat="1" applyFont="1" applyFill="1" applyBorder="1" applyAlignment="1">
      <alignment horizontal="center" vertical="center" wrapText="1"/>
    </xf>
    <xf numFmtId="0" fontId="1" fillId="0" borderId="37" xfId="0" applyFont="1" applyBorder="1" applyAlignment="1">
      <alignment wrapText="1"/>
    </xf>
    <xf numFmtId="170" fontId="2" fillId="0" borderId="37" xfId="0" applyNumberFormat="1" applyFont="1" applyBorder="1" applyAlignment="1"/>
    <xf numFmtId="166" fontId="2" fillId="0" borderId="37" xfId="0" applyNumberFormat="1" applyFont="1" applyBorder="1" applyAlignment="1">
      <alignment horizontal="center"/>
    </xf>
    <xf numFmtId="166" fontId="1" fillId="0" borderId="37" xfId="0" applyNumberFormat="1" applyFont="1" applyBorder="1" applyAlignment="1">
      <alignment horizontal="center" wrapText="1"/>
    </xf>
    <xf numFmtId="0" fontId="1" fillId="6" borderId="37" xfId="0" applyFont="1" applyFill="1" applyBorder="1" applyAlignment="1">
      <alignment horizontal="right"/>
    </xf>
    <xf numFmtId="167" fontId="1" fillId="0" borderId="37" xfId="0" applyNumberFormat="1" applyFont="1" applyBorder="1" applyAlignment="1">
      <alignment horizontal="center"/>
    </xf>
    <xf numFmtId="172" fontId="1" fillId="0" borderId="37" xfId="0" applyNumberFormat="1" applyFont="1" applyBorder="1" applyAlignment="1">
      <alignment horizontal="center"/>
    </xf>
    <xf numFmtId="172" fontId="1" fillId="6" borderId="38" xfId="0" applyNumberFormat="1" applyFont="1" applyFill="1" applyBorder="1" applyAlignment="1">
      <alignment horizontal="center"/>
    </xf>
    <xf numFmtId="0" fontId="2" fillId="0" borderId="2" xfId="0" applyFont="1" applyBorder="1" applyAlignment="1">
      <alignment horizontal="left" wrapText="1"/>
    </xf>
    <xf numFmtId="166" fontId="2" fillId="20" borderId="2" xfId="0" applyNumberFormat="1" applyFont="1" applyFill="1" applyBorder="1" applyAlignment="1">
      <alignment horizontal="center" vertical="center"/>
    </xf>
    <xf numFmtId="0" fontId="1" fillId="6" borderId="2" xfId="0" applyFont="1" applyFill="1" applyBorder="1" applyAlignment="1">
      <alignment horizontal="right"/>
    </xf>
    <xf numFmtId="167" fontId="1" fillId="0" borderId="2" xfId="0" applyNumberFormat="1" applyFont="1" applyBorder="1" applyAlignment="1">
      <alignment horizontal="center"/>
    </xf>
    <xf numFmtId="172" fontId="1" fillId="0" borderId="2" xfId="0" applyNumberFormat="1" applyFont="1" applyBorder="1" applyAlignment="1">
      <alignment horizontal="center"/>
    </xf>
    <xf numFmtId="172" fontId="1" fillId="6" borderId="40" xfId="0" applyNumberFormat="1" applyFont="1" applyFill="1" applyBorder="1" applyAlignment="1">
      <alignment horizontal="center"/>
    </xf>
    <xf numFmtId="166" fontId="2" fillId="20" borderId="2" xfId="0" applyNumberFormat="1" applyFont="1" applyFill="1" applyBorder="1" applyAlignment="1">
      <alignment horizontal="center" vertical="center" wrapText="1"/>
    </xf>
    <xf numFmtId="0" fontId="2" fillId="0" borderId="39" xfId="0" applyFont="1" applyBorder="1" applyAlignment="1">
      <alignment wrapText="1"/>
    </xf>
    <xf numFmtId="0" fontId="2" fillId="0" borderId="2" xfId="0" applyFont="1" applyBorder="1" applyAlignment="1">
      <alignment vertical="top" wrapText="1"/>
    </xf>
    <xf numFmtId="0" fontId="1" fillId="6" borderId="42" xfId="0" applyFont="1" applyFill="1" applyBorder="1" applyAlignment="1"/>
    <xf numFmtId="166" fontId="1" fillId="6" borderId="42" xfId="0" applyNumberFormat="1" applyFont="1" applyFill="1" applyBorder="1" applyAlignment="1">
      <alignment horizontal="center" vertical="center"/>
    </xf>
    <xf numFmtId="0" fontId="1" fillId="6" borderId="42" xfId="0" applyFont="1" applyFill="1" applyBorder="1" applyAlignment="1">
      <alignment horizontal="center" vertical="center"/>
    </xf>
    <xf numFmtId="166" fontId="1" fillId="6" borderId="42" xfId="0" applyNumberFormat="1" applyFont="1" applyFill="1" applyBorder="1" applyAlignment="1">
      <alignment horizontal="center" vertical="center" wrapText="1"/>
    </xf>
    <xf numFmtId="167" fontId="2" fillId="6" borderId="42" xfId="0" applyNumberFormat="1" applyFont="1" applyFill="1" applyBorder="1" applyAlignment="1"/>
    <xf numFmtId="0" fontId="2" fillId="6" borderId="43" xfId="0" applyFont="1" applyFill="1" applyBorder="1" applyAlignment="1"/>
    <xf numFmtId="166" fontId="1" fillId="0" borderId="0" xfId="0" applyNumberFormat="1" applyFont="1" applyAlignment="1">
      <alignment horizontal="center" vertical="center"/>
    </xf>
    <xf numFmtId="166" fontId="1" fillId="0" borderId="0" xfId="0" applyNumberFormat="1" applyFont="1" applyAlignment="1">
      <alignment horizontal="center" vertical="center" wrapText="1"/>
    </xf>
    <xf numFmtId="0" fontId="1" fillId="5" borderId="69" xfId="0" applyFont="1" applyFill="1" applyBorder="1" applyAlignment="1">
      <alignment vertical="center"/>
    </xf>
    <xf numFmtId="1" fontId="1" fillId="5" borderId="94" xfId="0" applyNumberFormat="1" applyFont="1" applyFill="1" applyBorder="1" applyAlignment="1">
      <alignment horizontal="center"/>
    </xf>
    <xf numFmtId="0" fontId="1" fillId="6" borderId="36" xfId="0" applyFont="1" applyFill="1" applyBorder="1" applyAlignment="1">
      <alignment horizontal="left" vertical="center"/>
    </xf>
    <xf numFmtId="166" fontId="1" fillId="6" borderId="37" xfId="0" applyNumberFormat="1" applyFont="1" applyFill="1" applyBorder="1" applyAlignment="1">
      <alignment horizontal="center" vertical="center" wrapText="1"/>
    </xf>
    <xf numFmtId="166" fontId="1" fillId="6" borderId="38" xfId="0" applyNumberFormat="1" applyFont="1" applyFill="1" applyBorder="1" applyAlignment="1">
      <alignment horizontal="center" vertical="center" wrapText="1"/>
    </xf>
    <xf numFmtId="166" fontId="1" fillId="6" borderId="310" xfId="0" applyNumberFormat="1" applyFont="1" applyFill="1" applyBorder="1" applyAlignment="1">
      <alignment horizontal="center" vertical="center" wrapText="1"/>
    </xf>
    <xf numFmtId="0" fontId="1" fillId="6" borderId="37" xfId="0" applyFont="1" applyFill="1" applyBorder="1" applyAlignment="1">
      <alignment horizontal="center" vertical="center" wrapText="1"/>
    </xf>
    <xf numFmtId="0" fontId="2" fillId="6" borderId="37" xfId="0" applyFont="1" applyFill="1" applyBorder="1" applyAlignment="1">
      <alignment vertical="center"/>
    </xf>
    <xf numFmtId="0" fontId="2" fillId="6" borderId="37" xfId="0" applyFont="1" applyFill="1" applyBorder="1" applyAlignment="1">
      <alignment vertical="center" wrapText="1"/>
    </xf>
    <xf numFmtId="0" fontId="1" fillId="6" borderId="37" xfId="0" applyFont="1" applyFill="1" applyBorder="1" applyAlignment="1">
      <alignment horizontal="left" vertical="center" wrapText="1"/>
    </xf>
    <xf numFmtId="167" fontId="1" fillId="6" borderId="37" xfId="0" applyNumberFormat="1" applyFont="1" applyFill="1" applyBorder="1" applyAlignment="1">
      <alignment horizontal="center" vertical="center" wrapText="1"/>
    </xf>
    <xf numFmtId="0" fontId="1" fillId="6" borderId="38" xfId="0" applyFont="1" applyFill="1" applyBorder="1" applyAlignment="1">
      <alignment horizontal="center" vertical="center" wrapText="1"/>
    </xf>
    <xf numFmtId="0" fontId="1" fillId="0" borderId="39" xfId="0" applyFont="1" applyBorder="1" applyAlignment="1">
      <alignment horizontal="left" wrapText="1"/>
    </xf>
    <xf numFmtId="166" fontId="2" fillId="20" borderId="2" xfId="0" applyNumberFormat="1" applyFont="1" applyFill="1" applyBorder="1" applyAlignment="1"/>
    <xf numFmtId="166" fontId="14" fillId="0" borderId="40" xfId="0" applyNumberFormat="1" applyFont="1" applyBorder="1" applyAlignment="1">
      <alignment horizontal="center"/>
    </xf>
    <xf numFmtId="166" fontId="2" fillId="0" borderId="298" xfId="0" applyNumberFormat="1" applyFont="1" applyBorder="1" applyAlignment="1"/>
    <xf numFmtId="9" fontId="2" fillId="0" borderId="2" xfId="0" applyNumberFormat="1" applyFont="1" applyBorder="1" applyAlignment="1">
      <alignment horizontal="center"/>
    </xf>
    <xf numFmtId="166" fontId="2" fillId="0" borderId="2" xfId="0" applyNumberFormat="1" applyFont="1" applyBorder="1" applyAlignment="1">
      <alignment horizontal="center" wrapText="1"/>
    </xf>
    <xf numFmtId="0" fontId="2" fillId="0" borderId="2" xfId="0" applyFont="1" applyBorder="1" applyAlignment="1">
      <alignment horizontal="center" wrapText="1"/>
    </xf>
    <xf numFmtId="175" fontId="1" fillId="0" borderId="2" xfId="0" applyNumberFormat="1" applyFont="1" applyBorder="1" applyAlignment="1">
      <alignment horizontal="center"/>
    </xf>
    <xf numFmtId="175" fontId="2" fillId="0" borderId="2" xfId="0" applyNumberFormat="1" applyFont="1" applyBorder="1" applyAlignment="1">
      <alignment horizontal="center" wrapText="1"/>
    </xf>
    <xf numFmtId="172" fontId="1" fillId="6" borderId="2" xfId="0" applyNumberFormat="1" applyFont="1" applyFill="1" applyBorder="1" applyAlignment="1">
      <alignment horizontal="center"/>
    </xf>
    <xf numFmtId="166" fontId="2" fillId="0" borderId="311" xfId="0" applyNumberFormat="1" applyFont="1" applyBorder="1" applyAlignment="1">
      <alignment horizontal="center"/>
    </xf>
    <xf numFmtId="9" fontId="2" fillId="0" borderId="42" xfId="0" applyNumberFormat="1" applyFont="1" applyBorder="1" applyAlignment="1">
      <alignment horizontal="center"/>
    </xf>
    <xf numFmtId="166" fontId="2" fillId="0" borderId="42" xfId="0" applyNumberFormat="1" applyFont="1" applyBorder="1" applyAlignment="1">
      <alignment horizontal="center" wrapText="1"/>
    </xf>
    <xf numFmtId="0" fontId="2" fillId="0" borderId="42" xfId="0" applyFont="1" applyBorder="1" applyAlignment="1">
      <alignment horizontal="center" wrapText="1"/>
    </xf>
    <xf numFmtId="9" fontId="2" fillId="0" borderId="0" xfId="0" applyNumberFormat="1" applyFont="1" applyAlignment="1">
      <alignment horizontal="center"/>
    </xf>
    <xf numFmtId="0" fontId="3" fillId="0" borderId="39" xfId="0" applyFont="1" applyBorder="1" applyAlignment="1"/>
    <xf numFmtId="9" fontId="14" fillId="0" borderId="40" xfId="0" applyNumberFormat="1" applyFont="1" applyBorder="1" applyAlignment="1"/>
    <xf numFmtId="166" fontId="14" fillId="0" borderId="40" xfId="0" applyNumberFormat="1" applyFont="1" applyBorder="1" applyAlignment="1"/>
    <xf numFmtId="0" fontId="1" fillId="5" borderId="199" xfId="0" applyFont="1" applyFill="1" applyBorder="1" applyAlignment="1">
      <alignment vertical="center"/>
    </xf>
    <xf numFmtId="1" fontId="1" fillId="5" borderId="201" xfId="0" applyNumberFormat="1" applyFont="1" applyFill="1" applyBorder="1" applyAlignment="1">
      <alignment horizontal="center"/>
    </xf>
    <xf numFmtId="0" fontId="2" fillId="0" borderId="298" xfId="0" applyFont="1" applyBorder="1" applyAlignment="1">
      <alignment horizontal="center"/>
    </xf>
    <xf numFmtId="0" fontId="2" fillId="0" borderId="40" xfId="0" applyFont="1" applyBorder="1" applyAlignment="1">
      <alignment horizontal="center"/>
    </xf>
    <xf numFmtId="0" fontId="1" fillId="0" borderId="308" xfId="0" applyFont="1" applyBorder="1" applyAlignment="1">
      <alignment horizontal="left" vertical="center"/>
    </xf>
    <xf numFmtId="166" fontId="1" fillId="0" borderId="178" xfId="0" applyNumberFormat="1" applyFont="1" applyBorder="1" applyAlignment="1">
      <alignment horizontal="center" vertical="center" wrapText="1"/>
    </xf>
    <xf numFmtId="166" fontId="1" fillId="0" borderId="2" xfId="0" applyNumberFormat="1" applyFont="1" applyBorder="1" applyAlignment="1">
      <alignment horizontal="center" vertical="center" wrapText="1"/>
    </xf>
    <xf numFmtId="166" fontId="1" fillId="0" borderId="40" xfId="0" applyNumberFormat="1" applyFont="1" applyBorder="1" applyAlignment="1">
      <alignment horizontal="center" wrapText="1"/>
    </xf>
    <xf numFmtId="0" fontId="3" fillId="0" borderId="41" xfId="0" applyFont="1" applyBorder="1" applyAlignment="1"/>
    <xf numFmtId="0" fontId="2" fillId="7" borderId="79" xfId="0" applyFont="1" applyFill="1" applyBorder="1" applyAlignment="1">
      <alignment horizontal="left"/>
    </xf>
    <xf numFmtId="0" fontId="2" fillId="7" borderId="80" xfId="0" applyFont="1" applyFill="1" applyBorder="1" applyAlignment="1">
      <alignment horizontal="center"/>
    </xf>
    <xf numFmtId="166" fontId="1" fillId="7" borderId="80" xfId="0" applyNumberFormat="1" applyFont="1" applyFill="1" applyBorder="1" applyAlignment="1"/>
    <xf numFmtId="0" fontId="2" fillId="0" borderId="3" xfId="0" applyFont="1" applyBorder="1" applyAlignment="1">
      <alignment horizontal="left"/>
    </xf>
    <xf numFmtId="0" fontId="2" fillId="6" borderId="193" xfId="0" applyFont="1" applyFill="1" applyBorder="1" applyAlignment="1"/>
    <xf numFmtId="0" fontId="2" fillId="6" borderId="165" xfId="0" applyFont="1" applyFill="1" applyBorder="1" applyAlignment="1"/>
    <xf numFmtId="0" fontId="1" fillId="6" borderId="165" xfId="0" applyFont="1" applyFill="1" applyBorder="1" applyAlignment="1">
      <alignment horizontal="center"/>
    </xf>
    <xf numFmtId="0" fontId="1" fillId="6" borderId="190" xfId="0" applyFont="1" applyFill="1" applyBorder="1" applyAlignment="1">
      <alignment horizontal="center"/>
    </xf>
    <xf numFmtId="0" fontId="1" fillId="0" borderId="4" xfId="0" applyFont="1" applyBorder="1" applyAlignment="1">
      <alignment horizontal="center"/>
    </xf>
    <xf numFmtId="0" fontId="1" fillId="6" borderId="199" xfId="0" applyFont="1" applyFill="1" applyBorder="1" applyAlignment="1">
      <alignment horizontal="center"/>
    </xf>
    <xf numFmtId="0" fontId="2" fillId="6" borderId="201" xfId="0" applyFont="1" applyFill="1" applyBorder="1" applyAlignment="1"/>
    <xf numFmtId="0" fontId="2" fillId="0" borderId="95" xfId="0" applyFont="1" applyBorder="1" applyAlignment="1"/>
    <xf numFmtId="201" fontId="2" fillId="0" borderId="0" xfId="0" applyNumberFormat="1" applyFont="1" applyAlignment="1">
      <alignment horizontal="left"/>
    </xf>
    <xf numFmtId="0" fontId="2" fillId="0" borderId="312" xfId="0" applyFont="1" applyBorder="1" applyAlignment="1">
      <alignment horizontal="center" wrapText="1"/>
    </xf>
    <xf numFmtId="166" fontId="1" fillId="0" borderId="119" xfId="0" applyNumberFormat="1" applyFont="1" applyBorder="1" applyAlignment="1">
      <alignment horizontal="center" wrapText="1"/>
    </xf>
    <xf numFmtId="0" fontId="1" fillId="0" borderId="119" xfId="0" applyFont="1" applyBorder="1" applyAlignment="1">
      <alignment horizontal="center" wrapText="1"/>
    </xf>
    <xf numFmtId="0" fontId="2" fillId="0" borderId="313" xfId="0" applyFont="1" applyBorder="1" applyAlignment="1">
      <alignment horizontal="center" wrapText="1"/>
    </xf>
    <xf numFmtId="0" fontId="1" fillId="6" borderId="199" xfId="0" applyFont="1" applyFill="1" applyBorder="1" applyAlignment="1">
      <alignment horizontal="center" wrapText="1"/>
    </xf>
    <xf numFmtId="0" fontId="2" fillId="6" borderId="62" xfId="0" applyFont="1" applyFill="1" applyBorder="1" applyAlignment="1">
      <alignment horizontal="center" wrapText="1"/>
    </xf>
    <xf numFmtId="0" fontId="2" fillId="0" borderId="314" xfId="0" applyFont="1" applyBorder="1" applyAlignment="1">
      <alignment horizontal="center" wrapText="1"/>
    </xf>
    <xf numFmtId="0" fontId="2" fillId="0" borderId="119" xfId="0" applyFont="1" applyBorder="1" applyAlignment="1">
      <alignment horizontal="center" wrapText="1"/>
    </xf>
    <xf numFmtId="0" fontId="2" fillId="0" borderId="315" xfId="0" applyFont="1" applyBorder="1" applyAlignment="1"/>
    <xf numFmtId="0" fontId="1" fillId="0" borderId="0" xfId="0" applyFont="1" applyAlignment="1">
      <alignment horizontal="center" vertical="top" wrapText="1"/>
    </xf>
    <xf numFmtId="0" fontId="1" fillId="0" borderId="37" xfId="0" applyFont="1" applyBorder="1" applyAlignment="1">
      <alignment horizontal="center" vertical="center" wrapText="1"/>
    </xf>
    <xf numFmtId="0" fontId="2" fillId="0" borderId="37" xfId="0" applyFont="1" applyBorder="1" applyAlignment="1">
      <alignment horizontal="center" wrapText="1"/>
    </xf>
    <xf numFmtId="0" fontId="2" fillId="0" borderId="37" xfId="0" applyFont="1" applyBorder="1" applyAlignment="1">
      <alignment horizontal="left"/>
    </xf>
    <xf numFmtId="0" fontId="2" fillId="0" borderId="178" xfId="0" applyFont="1" applyBorder="1" applyAlignment="1">
      <alignment horizontal="center" wrapText="1"/>
    </xf>
    <xf numFmtId="0" fontId="2" fillId="0" borderId="178" xfId="0" applyFont="1" applyBorder="1" applyAlignment="1">
      <alignment horizontal="left"/>
    </xf>
    <xf numFmtId="0" fontId="2" fillId="0" borderId="309" xfId="0" applyFont="1" applyBorder="1" applyAlignment="1">
      <alignment horizontal="center" wrapText="1"/>
    </xf>
    <xf numFmtId="0" fontId="2" fillId="0" borderId="308" xfId="0" applyFont="1" applyBorder="1" applyAlignment="1">
      <alignment horizontal="center" wrapText="1"/>
    </xf>
    <xf numFmtId="9" fontId="1" fillId="0" borderId="263" xfId="0" applyNumberFormat="1" applyFont="1" applyBorder="1" applyAlignment="1">
      <alignment horizontal="left" wrapText="1"/>
    </xf>
    <xf numFmtId="9" fontId="1" fillId="0" borderId="264" xfId="0" applyNumberFormat="1" applyFont="1" applyBorder="1" applyAlignment="1">
      <alignment horizontal="center" wrapText="1"/>
    </xf>
    <xf numFmtId="9" fontId="1" fillId="0" borderId="318" xfId="0" applyNumberFormat="1" applyFont="1" applyBorder="1" applyAlignment="1">
      <alignment horizontal="center" wrapText="1"/>
    </xf>
    <xf numFmtId="0" fontId="1" fillId="0" borderId="263" xfId="0" applyFont="1" applyBorder="1" applyAlignment="1">
      <alignment horizontal="center" wrapText="1"/>
    </xf>
    <xf numFmtId="9" fontId="1" fillId="0" borderId="263" xfId="0" applyNumberFormat="1" applyFont="1" applyBorder="1" applyAlignment="1">
      <alignment horizontal="center" wrapText="1"/>
    </xf>
    <xf numFmtId="0" fontId="1" fillId="0" borderId="47" xfId="0" applyFont="1" applyBorder="1" applyAlignment="1">
      <alignment horizontal="center" wrapText="1"/>
    </xf>
    <xf numFmtId="0" fontId="1" fillId="0" borderId="264" xfId="0" applyFont="1" applyBorder="1" applyAlignment="1">
      <alignment horizontal="center" wrapText="1"/>
    </xf>
    <xf numFmtId="0" fontId="1" fillId="0" borderId="318" xfId="0" applyFont="1" applyBorder="1" applyAlignment="1">
      <alignment horizontal="center" wrapText="1"/>
    </xf>
    <xf numFmtId="0" fontId="1" fillId="0" borderId="264" xfId="0" applyFont="1" applyBorder="1" applyAlignment="1">
      <alignment horizontal="center" vertical="center" wrapText="1"/>
    </xf>
    <xf numFmtId="0" fontId="1" fillId="0" borderId="318" xfId="0" applyFont="1" applyBorder="1" applyAlignment="1">
      <alignment horizontal="center" vertical="center" wrapText="1"/>
    </xf>
    <xf numFmtId="0" fontId="1" fillId="0" borderId="164" xfId="0" applyFont="1" applyBorder="1" applyAlignment="1">
      <alignment horizontal="center" wrapText="1"/>
    </xf>
    <xf numFmtId="0" fontId="1" fillId="0" borderId="184" xfId="0" applyFont="1" applyBorder="1" applyAlignment="1">
      <alignment horizontal="center" wrapText="1"/>
    </xf>
    <xf numFmtId="0" fontId="1" fillId="0" borderId="185" xfId="0" applyFont="1" applyBorder="1" applyAlignment="1">
      <alignment horizontal="center" wrapText="1"/>
    </xf>
    <xf numFmtId="184" fontId="14" fillId="0" borderId="39" xfId="0" applyNumberFormat="1" applyFont="1" applyBorder="1" applyAlignment="1">
      <alignment horizontal="left"/>
    </xf>
    <xf numFmtId="9" fontId="2" fillId="0" borderId="249" xfId="0" applyNumberFormat="1" applyFont="1" applyBorder="1" applyAlignment="1">
      <alignment horizontal="left" vertical="top" wrapText="1"/>
    </xf>
    <xf numFmtId="9" fontId="2" fillId="0" borderId="248" xfId="0" applyNumberFormat="1" applyFont="1" applyBorder="1" applyAlignment="1">
      <alignment horizontal="center"/>
    </xf>
    <xf numFmtId="9" fontId="2" fillId="0" borderId="319" xfId="0" applyNumberFormat="1" applyFont="1" applyBorder="1" applyAlignment="1">
      <alignment horizontal="center"/>
    </xf>
    <xf numFmtId="10" fontId="2" fillId="0" borderId="319" xfId="0" applyNumberFormat="1" applyFont="1" applyBorder="1" applyAlignment="1">
      <alignment horizontal="center"/>
    </xf>
    <xf numFmtId="9" fontId="2" fillId="0" borderId="248" xfId="0" applyNumberFormat="1" applyFont="1" applyBorder="1" applyAlignment="1">
      <alignment horizontal="center" vertical="top" wrapText="1"/>
    </xf>
    <xf numFmtId="0" fontId="2" fillId="0" borderId="249" xfId="0" applyFont="1" applyBorder="1" applyAlignment="1">
      <alignment horizontal="center"/>
    </xf>
    <xf numFmtId="9" fontId="2" fillId="0" borderId="158" xfId="0" applyNumberFormat="1" applyFont="1" applyBorder="1" applyAlignment="1"/>
    <xf numFmtId="9" fontId="2" fillId="0" borderId="248" xfId="0" applyNumberFormat="1" applyFont="1" applyBorder="1" applyAlignment="1"/>
    <xf numFmtId="9" fontId="2" fillId="0" borderId="319" xfId="0" applyNumberFormat="1" applyFont="1" applyBorder="1" applyAlignment="1"/>
    <xf numFmtId="166" fontId="2" fillId="0" borderId="100" xfId="0" applyNumberFormat="1" applyFont="1" applyBorder="1" applyAlignment="1">
      <alignment horizontal="right"/>
    </xf>
    <xf numFmtId="167" fontId="2" fillId="0" borderId="2" xfId="0" applyNumberFormat="1" applyFont="1" applyBorder="1" applyAlignment="1">
      <alignment horizontal="center"/>
    </xf>
    <xf numFmtId="166" fontId="1" fillId="6" borderId="62" xfId="0" applyNumberFormat="1" applyFont="1" applyFill="1" applyBorder="1" applyAlignment="1">
      <alignment horizontal="right"/>
    </xf>
    <xf numFmtId="0" fontId="2" fillId="0" borderId="2" xfId="0" applyFont="1" applyBorder="1" applyAlignment="1">
      <alignment horizontal="right"/>
    </xf>
    <xf numFmtId="166" fontId="2" fillId="0" borderId="178" xfId="0" applyNumberFormat="1" applyFont="1" applyBorder="1" applyAlignment="1">
      <alignment horizontal="right"/>
    </xf>
    <xf numFmtId="0" fontId="2" fillId="0" borderId="309" xfId="0" applyFont="1" applyBorder="1" applyAlignment="1"/>
    <xf numFmtId="166" fontId="2" fillId="0" borderId="115" xfId="0" applyNumberFormat="1" applyFont="1" applyBorder="1" applyAlignment="1">
      <alignment horizontal="right"/>
    </xf>
    <xf numFmtId="0" fontId="2" fillId="0" borderId="291" xfId="0" applyFont="1" applyBorder="1" applyAlignment="1"/>
    <xf numFmtId="9" fontId="2" fillId="0" borderId="111" xfId="0" applyNumberFormat="1" applyFont="1" applyBorder="1" applyAlignment="1"/>
    <xf numFmtId="167" fontId="2" fillId="7" borderId="2" xfId="0" applyNumberFormat="1" applyFont="1" applyFill="1" applyBorder="1" applyAlignment="1">
      <alignment horizontal="center"/>
    </xf>
    <xf numFmtId="9" fontId="2" fillId="0" borderId="0" xfId="0" applyNumberFormat="1" applyFont="1" applyAlignment="1"/>
    <xf numFmtId="0" fontId="2" fillId="0" borderId="31" xfId="0" applyFont="1" applyBorder="1" applyAlignment="1">
      <alignment horizontal="left"/>
    </xf>
    <xf numFmtId="0" fontId="1" fillId="0" borderId="31" xfId="0" applyFont="1" applyBorder="1" applyAlignment="1">
      <alignment horizontal="left"/>
    </xf>
    <xf numFmtId="166" fontId="2" fillId="6" borderId="42" xfId="0" applyNumberFormat="1" applyFont="1" applyFill="1" applyBorder="1" applyAlignment="1">
      <alignment horizontal="center"/>
    </xf>
    <xf numFmtId="3" fontId="1" fillId="6" borderId="42" xfId="0" applyNumberFormat="1" applyFont="1" applyFill="1" applyBorder="1" applyAlignment="1">
      <alignment horizontal="center"/>
    </xf>
    <xf numFmtId="166" fontId="1" fillId="6" borderId="43" xfId="0" applyNumberFormat="1" applyFont="1" applyFill="1" applyBorder="1" applyAlignment="1">
      <alignment horizontal="center"/>
    </xf>
    <xf numFmtId="0" fontId="1" fillId="0" borderId="320" xfId="0" applyFont="1" applyBorder="1" applyAlignment="1"/>
    <xf numFmtId="166" fontId="2" fillId="0" borderId="115" xfId="0" applyNumberFormat="1" applyFont="1" applyBorder="1" applyAlignment="1">
      <alignment horizontal="center"/>
    </xf>
    <xf numFmtId="0" fontId="1" fillId="5" borderId="199" xfId="0" applyFont="1" applyFill="1" applyBorder="1" applyAlignment="1"/>
    <xf numFmtId="166" fontId="2" fillId="5" borderId="62" xfId="0" applyNumberFormat="1" applyFont="1" applyFill="1" applyBorder="1" applyAlignment="1"/>
    <xf numFmtId="0" fontId="1" fillId="5" borderId="62" xfId="0" applyFont="1" applyFill="1" applyBorder="1" applyAlignment="1">
      <alignment horizontal="center"/>
    </xf>
    <xf numFmtId="0" fontId="2" fillId="5" borderId="201" xfId="0" applyFont="1" applyFill="1" applyBorder="1" applyAlignment="1"/>
    <xf numFmtId="0" fontId="2" fillId="0" borderId="308" xfId="0" applyFont="1" applyBorder="1" applyAlignment="1"/>
    <xf numFmtId="166" fontId="1" fillId="0" borderId="178" xfId="0" applyNumberFormat="1" applyFont="1" applyBorder="1" applyAlignment="1">
      <alignment horizontal="center" vertical="center"/>
    </xf>
    <xf numFmtId="0" fontId="1" fillId="0" borderId="178" xfId="0" applyFont="1" applyBorder="1" applyAlignment="1">
      <alignment horizontal="center" vertical="center"/>
    </xf>
    <xf numFmtId="0" fontId="1" fillId="6" borderId="233" xfId="0" applyFont="1" applyFill="1" applyBorder="1" applyAlignment="1">
      <alignment horizontal="center" vertical="center" wrapText="1"/>
    </xf>
    <xf numFmtId="0" fontId="1" fillId="6" borderId="233" xfId="0" applyFont="1" applyFill="1" applyBorder="1" applyAlignment="1"/>
    <xf numFmtId="0" fontId="1" fillId="6" borderId="321" xfId="0" applyFont="1" applyFill="1" applyBorder="1" applyAlignment="1">
      <alignment horizontal="center"/>
    </xf>
    <xf numFmtId="0" fontId="1" fillId="6" borderId="120" xfId="0" applyFont="1" applyFill="1" applyBorder="1" applyAlignment="1">
      <alignment horizontal="center" vertical="center" wrapText="1"/>
    </xf>
    <xf numFmtId="0" fontId="1" fillId="6" borderId="26" xfId="0" applyFont="1" applyFill="1" applyBorder="1" applyAlignment="1">
      <alignment horizontal="center"/>
    </xf>
    <xf numFmtId="0" fontId="1" fillId="6" borderId="93" xfId="0" applyFont="1" applyFill="1" applyBorder="1" applyAlignment="1">
      <alignment horizontal="center" vertical="center" wrapText="1"/>
    </xf>
    <xf numFmtId="0" fontId="17" fillId="0" borderId="2" xfId="0" applyFont="1" applyBorder="1" applyAlignment="1">
      <alignment horizontal="center"/>
    </xf>
    <xf numFmtId="166" fontId="17" fillId="0" borderId="2" xfId="0" applyNumberFormat="1" applyFont="1" applyBorder="1" applyAlignment="1">
      <alignment horizontal="center"/>
    </xf>
    <xf numFmtId="0" fontId="17" fillId="0" borderId="2" xfId="0" applyFont="1" applyBorder="1" applyAlignment="1"/>
    <xf numFmtId="175" fontId="17" fillId="0" borderId="2" xfId="0" applyNumberFormat="1" applyFont="1" applyBorder="1" applyAlignment="1">
      <alignment horizontal="center"/>
    </xf>
    <xf numFmtId="0" fontId="17" fillId="0" borderId="98" xfId="0" applyFont="1" applyBorder="1" applyAlignment="1">
      <alignment horizontal="right" vertical="center"/>
    </xf>
    <xf numFmtId="0" fontId="1" fillId="0" borderId="2" xfId="0" applyFont="1" applyBorder="1" applyAlignment="1">
      <alignment horizontal="right"/>
    </xf>
    <xf numFmtId="0" fontId="2" fillId="0" borderId="98" xfId="0" applyFont="1" applyBorder="1" applyAlignment="1">
      <alignment horizontal="right"/>
    </xf>
    <xf numFmtId="0" fontId="1" fillId="0" borderId="41" xfId="0" applyFont="1" applyBorder="1" applyAlignment="1">
      <alignment horizontal="left" wrapText="1"/>
    </xf>
    <xf numFmtId="0" fontId="1" fillId="0" borderId="42" xfId="0" applyFont="1" applyBorder="1" applyAlignment="1">
      <alignment horizontal="right" wrapText="1"/>
    </xf>
    <xf numFmtId="166" fontId="1" fillId="0" borderId="42" xfId="0" applyNumberFormat="1" applyFont="1" applyBorder="1" applyAlignment="1">
      <alignment horizontal="center"/>
    </xf>
    <xf numFmtId="175" fontId="1" fillId="0" borderId="42" xfId="0" applyNumberFormat="1" applyFont="1" applyBorder="1" applyAlignment="1">
      <alignment horizontal="center"/>
    </xf>
    <xf numFmtId="0" fontId="2" fillId="0" borderId="196" xfId="0" applyFont="1" applyBorder="1" applyAlignment="1"/>
    <xf numFmtId="0" fontId="1" fillId="0" borderId="0" xfId="0" applyFont="1" applyAlignment="1">
      <alignment horizontal="left" wrapText="1"/>
    </xf>
    <xf numFmtId="0" fontId="1" fillId="0" borderId="0" xfId="0" applyFont="1" applyAlignment="1">
      <alignment horizontal="right" wrapText="1"/>
    </xf>
    <xf numFmtId="175" fontId="1" fillId="0" borderId="0" xfId="0" applyNumberFormat="1" applyFont="1" applyAlignment="1">
      <alignment horizontal="center"/>
    </xf>
    <xf numFmtId="0" fontId="2" fillId="7" borderId="204" xfId="0" applyFont="1" applyFill="1" applyBorder="1" applyAlignment="1"/>
    <xf numFmtId="0" fontId="1" fillId="6" borderId="39" xfId="0" applyFont="1" applyFill="1" applyBorder="1" applyAlignment="1">
      <alignment horizontal="left"/>
    </xf>
    <xf numFmtId="166" fontId="1" fillId="6" borderId="2" xfId="0" applyNumberFormat="1" applyFont="1" applyFill="1" applyBorder="1" applyAlignment="1">
      <alignment horizontal="center" wrapText="1"/>
    </xf>
    <xf numFmtId="0" fontId="1" fillId="6" borderId="322" xfId="0" applyFont="1" applyFill="1" applyBorder="1" applyAlignment="1">
      <alignment horizontal="center" wrapText="1"/>
    </xf>
    <xf numFmtId="172" fontId="2" fillId="0" borderId="2" xfId="0" applyNumberFormat="1" applyFont="1" applyBorder="1" applyAlignment="1">
      <alignment horizontal="center"/>
    </xf>
    <xf numFmtId="197" fontId="2" fillId="0" borderId="2" xfId="0" applyNumberFormat="1" applyFont="1" applyBorder="1" applyAlignment="1">
      <alignment horizontal="center"/>
    </xf>
    <xf numFmtId="197" fontId="2" fillId="0" borderId="98" xfId="0" applyNumberFormat="1" applyFont="1" applyBorder="1" applyAlignment="1">
      <alignment horizontal="center"/>
    </xf>
    <xf numFmtId="167" fontId="2" fillId="28" borderId="2" xfId="0" applyNumberFormat="1" applyFont="1" applyFill="1" applyBorder="1" applyAlignment="1"/>
    <xf numFmtId="165" fontId="2" fillId="28" borderId="2" xfId="0" applyNumberFormat="1" applyFont="1" applyFill="1" applyBorder="1" applyAlignment="1"/>
    <xf numFmtId="2" fontId="2" fillId="28" borderId="2" xfId="0" applyNumberFormat="1" applyFont="1" applyFill="1" applyBorder="1" applyAlignment="1">
      <alignment horizontal="center"/>
    </xf>
    <xf numFmtId="173" fontId="2" fillId="28" borderId="2" xfId="0" applyNumberFormat="1" applyFont="1" applyFill="1" applyBorder="1" applyAlignment="1"/>
    <xf numFmtId="168" fontId="2" fillId="28" borderId="2" xfId="0" applyNumberFormat="1" applyFont="1" applyFill="1" applyBorder="1" applyAlignment="1"/>
    <xf numFmtId="172" fontId="2" fillId="28" borderId="2" xfId="0" applyNumberFormat="1" applyFont="1" applyFill="1" applyBorder="1" applyAlignment="1">
      <alignment horizontal="center"/>
    </xf>
    <xf numFmtId="173" fontId="1" fillId="6" borderId="323" xfId="0" applyNumberFormat="1" applyFont="1" applyFill="1" applyBorder="1" applyAlignment="1"/>
    <xf numFmtId="0" fontId="2" fillId="7" borderId="310" xfId="0" applyFont="1" applyFill="1" applyBorder="1" applyAlignment="1"/>
    <xf numFmtId="0" fontId="20" fillId="0" borderId="31" xfId="0" applyFont="1" applyBorder="1" applyAlignment="1"/>
    <xf numFmtId="0" fontId="1" fillId="6" borderId="145" xfId="0" applyFont="1" applyFill="1" applyBorder="1" applyAlignment="1">
      <alignment horizontal="left"/>
    </xf>
    <xf numFmtId="0" fontId="2" fillId="0" borderId="298" xfId="0" applyFont="1" applyBorder="1" applyAlignment="1">
      <alignment horizontal="left"/>
    </xf>
    <xf numFmtId="166" fontId="2" fillId="7" borderId="2" xfId="0" applyNumberFormat="1" applyFont="1" applyFill="1" applyBorder="1" applyAlignment="1">
      <alignment horizontal="center"/>
    </xf>
    <xf numFmtId="174" fontId="2" fillId="0" borderId="2" xfId="0" applyNumberFormat="1" applyFont="1" applyBorder="1" applyAlignment="1"/>
    <xf numFmtId="166" fontId="2" fillId="2" borderId="2" xfId="0" applyNumberFormat="1" applyFont="1" applyFill="1" applyBorder="1" applyAlignment="1">
      <alignment horizontal="center"/>
    </xf>
    <xf numFmtId="0" fontId="1" fillId="0" borderId="298" xfId="0" applyFont="1" applyBorder="1" applyAlignment="1"/>
    <xf numFmtId="0" fontId="1" fillId="6" borderId="145" xfId="0" applyFont="1" applyFill="1" applyBorder="1" applyAlignment="1"/>
    <xf numFmtId="0" fontId="2" fillId="6" borderId="2" xfId="0" applyFont="1" applyFill="1" applyBorder="1" applyAlignment="1">
      <alignment horizontal="center"/>
    </xf>
    <xf numFmtId="168" fontId="1" fillId="6" borderId="2" xfId="0" applyNumberFormat="1" applyFont="1" applyFill="1" applyBorder="1" applyAlignment="1"/>
    <xf numFmtId="171" fontId="1" fillId="6" borderId="2" xfId="0" applyNumberFormat="1" applyFont="1" applyFill="1" applyBorder="1" applyAlignment="1"/>
    <xf numFmtId="171" fontId="1" fillId="6" borderId="40" xfId="0" applyNumberFormat="1" applyFont="1" applyFill="1" applyBorder="1" applyAlignment="1"/>
    <xf numFmtId="0" fontId="1" fillId="0" borderId="311" xfId="0" applyFont="1" applyBorder="1" applyAlignment="1"/>
    <xf numFmtId="0" fontId="1" fillId="6" borderId="284" xfId="0" applyFont="1" applyFill="1" applyBorder="1" applyAlignment="1"/>
    <xf numFmtId="0" fontId="1" fillId="6" borderId="273" xfId="0" applyFont="1" applyFill="1" applyBorder="1" applyAlignment="1">
      <alignment horizontal="center" wrapText="1"/>
    </xf>
    <xf numFmtId="0" fontId="2" fillId="6" borderId="273" xfId="0" applyFont="1" applyFill="1" applyBorder="1" applyAlignment="1"/>
    <xf numFmtId="0" fontId="1" fillId="6" borderId="293" xfId="0" applyFont="1" applyFill="1" applyBorder="1" applyAlignment="1">
      <alignment horizontal="center" vertical="center" wrapText="1"/>
    </xf>
    <xf numFmtId="173" fontId="2" fillId="0" borderId="40" xfId="0" applyNumberFormat="1" applyFont="1" applyBorder="1" applyAlignment="1">
      <alignment horizontal="center"/>
    </xf>
    <xf numFmtId="0" fontId="1" fillId="6" borderId="286" xfId="0" applyFont="1" applyFill="1" applyBorder="1" applyAlignment="1"/>
    <xf numFmtId="173" fontId="1" fillId="6" borderId="40" xfId="0" applyNumberFormat="1" applyFont="1" applyFill="1" applyBorder="1" applyAlignment="1">
      <alignment horizontal="center"/>
    </xf>
    <xf numFmtId="0" fontId="1" fillId="6" borderId="286" xfId="0" applyFont="1" applyFill="1" applyBorder="1" applyAlignment="1">
      <alignment wrapText="1"/>
    </xf>
    <xf numFmtId="0" fontId="1" fillId="6" borderId="40" xfId="0" applyFont="1" applyFill="1" applyBorder="1" applyAlignment="1">
      <alignment horizontal="center" vertical="center" wrapText="1"/>
    </xf>
    <xf numFmtId="168" fontId="1" fillId="0" borderId="2" xfId="0" applyNumberFormat="1" applyFont="1" applyBorder="1" applyAlignment="1"/>
    <xf numFmtId="173" fontId="1" fillId="0" borderId="40" xfId="0" applyNumberFormat="1" applyFont="1" applyBorder="1" applyAlignment="1">
      <alignment horizontal="center"/>
    </xf>
    <xf numFmtId="0" fontId="2" fillId="0" borderId="286" xfId="0" applyFont="1" applyBorder="1" applyAlignment="1">
      <alignment horizontal="left"/>
    </xf>
    <xf numFmtId="0" fontId="1" fillId="0" borderId="286" xfId="0" applyFont="1" applyBorder="1" applyAlignment="1">
      <alignment horizontal="left"/>
    </xf>
    <xf numFmtId="0" fontId="1" fillId="6" borderId="40" xfId="0" applyFont="1" applyFill="1" applyBorder="1" applyAlignment="1"/>
    <xf numFmtId="166" fontId="1" fillId="0" borderId="40" xfId="0" applyNumberFormat="1" applyFont="1" applyBorder="1" applyAlignment="1"/>
    <xf numFmtId="167" fontId="2" fillId="0" borderId="40" xfId="0" applyNumberFormat="1" applyFont="1" applyBorder="1" applyAlignment="1"/>
    <xf numFmtId="0" fontId="3" fillId="0" borderId="286" xfId="0" applyFont="1" applyBorder="1" applyAlignment="1">
      <alignment horizontal="left"/>
    </xf>
    <xf numFmtId="0" fontId="1" fillId="6" borderId="324" xfId="0" applyFont="1" applyFill="1" applyBorder="1" applyAlignment="1"/>
    <xf numFmtId="166" fontId="1" fillId="0" borderId="43" xfId="0" applyNumberFormat="1" applyFont="1" applyBorder="1" applyAlignment="1"/>
    <xf numFmtId="0" fontId="29" fillId="0" borderId="0" xfId="0" applyFont="1" applyAlignment="1">
      <alignment horizontal="left"/>
    </xf>
    <xf numFmtId="0" fontId="1" fillId="0" borderId="325" xfId="0" applyFont="1" applyBorder="1" applyAlignment="1"/>
    <xf numFmtId="0" fontId="2" fillId="0" borderId="326" xfId="0" applyFont="1" applyBorder="1" applyAlignment="1"/>
    <xf numFmtId="0" fontId="1" fillId="0" borderId="327" xfId="0" applyFont="1" applyBorder="1" applyAlignment="1"/>
    <xf numFmtId="0" fontId="1" fillId="0" borderId="24" xfId="0" applyFont="1" applyBorder="1" applyAlignment="1">
      <alignment horizontal="right"/>
    </xf>
    <xf numFmtId="0" fontId="1" fillId="0" borderId="328" xfId="0" applyFont="1" applyBorder="1" applyAlignment="1"/>
    <xf numFmtId="0" fontId="1" fillId="10" borderId="329" xfId="0" applyFont="1" applyFill="1" applyBorder="1" applyAlignment="1"/>
    <xf numFmtId="165" fontId="2" fillId="10" borderId="330" xfId="0" applyNumberFormat="1" applyFont="1" applyFill="1" applyBorder="1" applyAlignment="1"/>
    <xf numFmtId="168" fontId="1" fillId="10" borderId="331" xfId="0" applyNumberFormat="1" applyFont="1" applyFill="1" applyBorder="1" applyAlignment="1"/>
    <xf numFmtId="0" fontId="3" fillId="0" borderId="221" xfId="0" applyFont="1" applyBorder="1" applyAlignment="1">
      <alignment horizontal="left" wrapText="1"/>
    </xf>
    <xf numFmtId="168" fontId="2" fillId="0" borderId="220" xfId="0" applyNumberFormat="1" applyFont="1" applyBorder="1" applyAlignment="1"/>
    <xf numFmtId="0" fontId="26" fillId="7" borderId="332" xfId="0" applyFont="1" applyFill="1" applyBorder="1" applyAlignment="1">
      <alignment horizontal="left" wrapText="1"/>
    </xf>
    <xf numFmtId="165" fontId="2" fillId="7" borderId="333" xfId="0" applyNumberFormat="1" applyFont="1" applyFill="1" applyBorder="1" applyAlignment="1"/>
    <xf numFmtId="168" fontId="2" fillId="7" borderId="334" xfId="0" applyNumberFormat="1" applyFont="1" applyFill="1" applyBorder="1" applyAlignment="1"/>
    <xf numFmtId="202" fontId="2" fillId="0" borderId="0" xfId="0" applyNumberFormat="1" applyFont="1" applyAlignment="1"/>
    <xf numFmtId="0" fontId="3" fillId="0" borderId="221" xfId="0" applyFont="1" applyBorder="1" applyAlignment="1">
      <alignment horizontal="left"/>
    </xf>
    <xf numFmtId="0" fontId="1" fillId="19" borderId="332" xfId="0" applyFont="1" applyFill="1" applyBorder="1" applyAlignment="1"/>
    <xf numFmtId="165" fontId="2" fillId="19" borderId="333" xfId="0" applyNumberFormat="1" applyFont="1" applyFill="1" applyBorder="1" applyAlignment="1"/>
    <xf numFmtId="175" fontId="1" fillId="19" borderId="334" xfId="0" applyNumberFormat="1" applyFont="1" applyFill="1" applyBorder="1" applyAlignment="1"/>
    <xf numFmtId="0" fontId="2" fillId="0" borderId="221" xfId="0" applyFont="1" applyBorder="1" applyAlignment="1">
      <alignment horizontal="left"/>
    </xf>
    <xf numFmtId="175" fontId="2" fillId="0" borderId="220" xfId="0" applyNumberFormat="1" applyFont="1" applyBorder="1" applyAlignment="1"/>
    <xf numFmtId="165" fontId="2" fillId="0" borderId="220" xfId="0" applyNumberFormat="1" applyFont="1" applyBorder="1" applyAlignment="1"/>
    <xf numFmtId="0" fontId="2" fillId="12" borderId="332" xfId="0" applyFont="1" applyFill="1" applyBorder="1" applyAlignment="1"/>
    <xf numFmtId="165" fontId="2" fillId="12" borderId="333" xfId="0" applyNumberFormat="1" applyFont="1" applyFill="1" applyBorder="1" applyAlignment="1"/>
    <xf numFmtId="175" fontId="1" fillId="12" borderId="334" xfId="0" applyNumberFormat="1" applyFont="1" applyFill="1" applyBorder="1" applyAlignment="1"/>
    <xf numFmtId="0" fontId="1" fillId="9" borderId="332" xfId="0" applyFont="1" applyFill="1" applyBorder="1" applyAlignment="1"/>
    <xf numFmtId="165" fontId="2" fillId="0" borderId="195" xfId="0" applyNumberFormat="1" applyFont="1" applyBorder="1" applyAlignment="1"/>
    <xf numFmtId="172" fontId="1" fillId="0" borderId="335" xfId="0" applyNumberFormat="1" applyFont="1" applyBorder="1" applyAlignment="1"/>
    <xf numFmtId="0" fontId="1" fillId="8" borderId="332" xfId="0" applyFont="1" applyFill="1" applyBorder="1" applyAlignment="1"/>
    <xf numFmtId="165" fontId="2" fillId="8" borderId="333" xfId="0" applyNumberFormat="1" applyFont="1" applyFill="1" applyBorder="1" applyAlignment="1"/>
    <xf numFmtId="175" fontId="1" fillId="8" borderId="334" xfId="0" applyNumberFormat="1" applyFont="1" applyFill="1" applyBorder="1" applyAlignment="1"/>
    <xf numFmtId="172" fontId="2" fillId="0" borderId="220" xfId="0" applyNumberFormat="1" applyFont="1" applyBorder="1" applyAlignment="1"/>
    <xf numFmtId="0" fontId="1" fillId="17" borderId="332" xfId="0" applyFont="1" applyFill="1" applyBorder="1" applyAlignment="1"/>
    <xf numFmtId="165" fontId="2" fillId="17" borderId="333" xfId="0" applyNumberFormat="1" applyFont="1" applyFill="1" applyBorder="1" applyAlignment="1"/>
    <xf numFmtId="172" fontId="1" fillId="17" borderId="334" xfId="0" applyNumberFormat="1" applyFont="1" applyFill="1" applyBorder="1" applyAlignment="1"/>
    <xf numFmtId="0" fontId="1" fillId="15" borderId="336" xfId="0" applyFont="1" applyFill="1" applyBorder="1" applyAlignment="1"/>
    <xf numFmtId="165" fontId="2" fillId="15" borderId="337" xfId="0" applyNumberFormat="1" applyFont="1" applyFill="1" applyBorder="1" applyAlignment="1"/>
    <xf numFmtId="175" fontId="1" fillId="15" borderId="338" xfId="0" applyNumberFormat="1" applyFont="1" applyFill="1" applyBorder="1" applyAlignment="1"/>
    <xf numFmtId="0" fontId="1" fillId="0" borderId="327" xfId="0" applyFont="1" applyBorder="1" applyAlignment="1">
      <alignment horizontal="left" wrapText="1"/>
    </xf>
    <xf numFmtId="165" fontId="1" fillId="0" borderId="4" xfId="0" applyNumberFormat="1" applyFont="1" applyBorder="1" applyAlignment="1"/>
    <xf numFmtId="172" fontId="1" fillId="0" borderId="328" xfId="0" applyNumberFormat="1" applyFont="1" applyBorder="1" applyAlignment="1"/>
    <xf numFmtId="0" fontId="1" fillId="0" borderId="221" xfId="0" applyFont="1" applyBorder="1" applyAlignment="1"/>
    <xf numFmtId="0" fontId="1" fillId="0" borderId="339" xfId="0" applyFont="1" applyBorder="1" applyAlignment="1"/>
    <xf numFmtId="0" fontId="2" fillId="0" borderId="340" xfId="0" applyFont="1" applyBorder="1" applyAlignment="1"/>
    <xf numFmtId="0" fontId="1" fillId="0" borderId="340" xfId="0" applyFont="1" applyBorder="1" applyAlignment="1"/>
    <xf numFmtId="165" fontId="2" fillId="0" borderId="4" xfId="0" applyNumberFormat="1" applyFont="1" applyBorder="1" applyAlignment="1"/>
    <xf numFmtId="165" fontId="2" fillId="0" borderId="328" xfId="0" applyNumberFormat="1" applyFont="1" applyBorder="1" applyAlignment="1"/>
    <xf numFmtId="0" fontId="2" fillId="0" borderId="327" xfId="0" applyFont="1" applyBorder="1" applyAlignment="1"/>
    <xf numFmtId="165" fontId="1" fillId="0" borderId="328" xfId="0" applyNumberFormat="1" applyFont="1" applyBorder="1" applyAlignment="1"/>
    <xf numFmtId="0" fontId="16" fillId="0" borderId="240" xfId="0" applyFont="1" applyBorder="1" applyAlignment="1"/>
    <xf numFmtId="0" fontId="30" fillId="0" borderId="0" xfId="0" applyFont="1" applyAlignment="1"/>
    <xf numFmtId="0" fontId="1" fillId="5" borderId="92" xfId="0" applyFont="1" applyFill="1" applyBorder="1" applyAlignment="1"/>
    <xf numFmtId="0" fontId="2" fillId="5" borderId="8" xfId="0" applyFont="1" applyFill="1" applyBorder="1" applyAlignment="1"/>
    <xf numFmtId="0" fontId="2" fillId="5" borderId="93" xfId="0" applyFont="1" applyFill="1" applyBorder="1" applyAlignment="1"/>
    <xf numFmtId="164" fontId="31" fillId="0" borderId="0" xfId="0" applyNumberFormat="1" applyFont="1" applyAlignment="1"/>
    <xf numFmtId="0" fontId="2" fillId="5" borderId="11" xfId="0" applyFont="1" applyFill="1" applyBorder="1" applyAlignment="1"/>
    <xf numFmtId="0" fontId="2" fillId="5" borderId="74" xfId="0" applyFont="1" applyFill="1" applyBorder="1" applyAlignment="1"/>
    <xf numFmtId="0" fontId="1" fillId="5" borderId="11" xfId="0" applyFont="1" applyFill="1" applyBorder="1" applyAlignment="1"/>
    <xf numFmtId="0" fontId="1" fillId="5" borderId="74" xfId="0" applyFont="1" applyFill="1" applyBorder="1" applyAlignment="1"/>
    <xf numFmtId="0" fontId="32" fillId="0" borderId="0" xfId="0" applyFont="1" applyAlignment="1">
      <alignment horizontal="left"/>
    </xf>
    <xf numFmtId="0" fontId="1" fillId="5" borderId="93" xfId="0" applyFont="1" applyFill="1" applyBorder="1" applyAlignment="1"/>
    <xf numFmtId="0" fontId="17" fillId="5" borderId="11" xfId="0" applyFont="1" applyFill="1" applyBorder="1" applyAlignment="1"/>
    <xf numFmtId="164" fontId="17" fillId="5" borderId="11" xfId="0" applyNumberFormat="1" applyFont="1" applyFill="1" applyBorder="1" applyAlignment="1"/>
    <xf numFmtId="0" fontId="17" fillId="5" borderId="74" xfId="0" applyFont="1" applyFill="1" applyBorder="1" applyAlignment="1"/>
    <xf numFmtId="0" fontId="1" fillId="0" borderId="341" xfId="0" applyFont="1" applyBorder="1" applyAlignment="1"/>
    <xf numFmtId="0" fontId="3" fillId="0" borderId="342" xfId="0" applyFont="1" applyBorder="1" applyAlignment="1"/>
    <xf numFmtId="0" fontId="31" fillId="0" borderId="77" xfId="0" applyFont="1" applyBorder="1" applyAlignment="1"/>
    <xf numFmtId="0" fontId="31" fillId="0" borderId="31" xfId="0" applyFont="1" applyBorder="1" applyAlignment="1"/>
    <xf numFmtId="0" fontId="2" fillId="6" borderId="91" xfId="0" applyFont="1" applyFill="1" applyBorder="1" applyAlignment="1"/>
    <xf numFmtId="1" fontId="1" fillId="6" borderId="91" xfId="0" applyNumberFormat="1" applyFont="1" applyFill="1" applyBorder="1" applyAlignment="1">
      <alignment horizontal="center"/>
    </xf>
    <xf numFmtId="164" fontId="2" fillId="0" borderId="2" xfId="0" applyNumberFormat="1" applyFont="1" applyBorder="1" applyAlignment="1"/>
    <xf numFmtId="164" fontId="2" fillId="0" borderId="40" xfId="0" applyNumberFormat="1" applyFont="1" applyBorder="1" applyAlignment="1"/>
    <xf numFmtId="43" fontId="2" fillId="0" borderId="2" xfId="0" applyNumberFormat="1" applyFont="1" applyBorder="1" applyAlignment="1"/>
    <xf numFmtId="43" fontId="2" fillId="0" borderId="40" xfId="0" applyNumberFormat="1" applyFont="1" applyBorder="1" applyAlignment="1"/>
    <xf numFmtId="2" fontId="2" fillId="0" borderId="40" xfId="0" applyNumberFormat="1" applyFont="1" applyBorder="1" applyAlignment="1"/>
    <xf numFmtId="2" fontId="2" fillId="0" borderId="42" xfId="0" applyNumberFormat="1" applyFont="1" applyBorder="1" applyAlignment="1"/>
    <xf numFmtId="2" fontId="2" fillId="0" borderId="43" xfId="0" applyNumberFormat="1" applyFont="1" applyBorder="1" applyAlignment="1"/>
    <xf numFmtId="0" fontId="33" fillId="0" borderId="0" xfId="0" applyFont="1" applyAlignment="1"/>
    <xf numFmtId="3" fontId="2" fillId="0" borderId="43" xfId="0" applyNumberFormat="1" applyFont="1" applyBorder="1" applyAlignment="1"/>
    <xf numFmtId="0" fontId="18" fillId="3" borderId="61" xfId="0" applyFont="1" applyFill="1" applyBorder="1" applyAlignment="1"/>
    <xf numFmtId="0" fontId="34" fillId="0" borderId="0" xfId="0" applyFont="1" applyAlignment="1"/>
    <xf numFmtId="0" fontId="35" fillId="3" borderId="193" xfId="0" applyFont="1" applyFill="1" applyBorder="1" applyAlignment="1"/>
    <xf numFmtId="0" fontId="31" fillId="3" borderId="165" xfId="0" applyFont="1" applyFill="1" applyBorder="1" applyAlignment="1"/>
    <xf numFmtId="0" fontId="31" fillId="3" borderId="190" xfId="0" applyFont="1" applyFill="1" applyBorder="1" applyAlignment="1"/>
    <xf numFmtId="0" fontId="21" fillId="0" borderId="284" xfId="0" applyFont="1" applyBorder="1" applyAlignment="1"/>
    <xf numFmtId="0" fontId="21" fillId="0" borderId="273" xfId="0" applyFont="1" applyBorder="1" applyAlignment="1"/>
    <xf numFmtId="0" fontId="21" fillId="0" borderId="343" xfId="0" applyFont="1" applyBorder="1" applyAlignment="1"/>
    <xf numFmtId="0" fontId="21" fillId="0" borderId="285" xfId="0" applyFont="1" applyBorder="1" applyAlignment="1"/>
    <xf numFmtId="0" fontId="31" fillId="0" borderId="286" xfId="0" applyFont="1" applyBorder="1" applyAlignment="1"/>
    <xf numFmtId="0" fontId="31" fillId="0" borderId="2" xfId="0" applyFont="1" applyBorder="1" applyAlignment="1"/>
    <xf numFmtId="203" fontId="31" fillId="0" borderId="2" xfId="0" applyNumberFormat="1" applyFont="1" applyBorder="1" applyAlignment="1"/>
    <xf numFmtId="203" fontId="31" fillId="0" borderId="98" xfId="0" applyNumberFormat="1" applyFont="1" applyBorder="1" applyAlignment="1"/>
    <xf numFmtId="166" fontId="31" fillId="0" borderId="287" xfId="0" applyNumberFormat="1" applyFont="1" applyBorder="1" applyAlignment="1"/>
    <xf numFmtId="0" fontId="31" fillId="0" borderId="288" xfId="0" applyFont="1" applyBorder="1" applyAlignment="1"/>
    <xf numFmtId="0" fontId="31" fillId="0" borderId="200" xfId="0" applyFont="1" applyBorder="1" applyAlignment="1"/>
    <xf numFmtId="203" fontId="31" fillId="0" borderId="200" xfId="0" applyNumberFormat="1" applyFont="1" applyBorder="1" applyAlignment="1"/>
    <xf numFmtId="203" fontId="31" fillId="0" borderId="344" xfId="0" applyNumberFormat="1" applyFont="1" applyBorder="1" applyAlignment="1"/>
    <xf numFmtId="0" fontId="31" fillId="0" borderId="203" xfId="0" applyFont="1" applyBorder="1" applyAlignment="1"/>
    <xf numFmtId="0" fontId="2" fillId="0" borderId="0" xfId="0" applyFont="1" applyFill="1" applyAlignment="1"/>
    <xf numFmtId="0" fontId="103" fillId="0" borderId="0" xfId="0" applyFont="1"/>
    <xf numFmtId="0" fontId="104" fillId="0" borderId="1" xfId="0" applyFont="1" applyBorder="1"/>
    <xf numFmtId="0" fontId="105" fillId="0" borderId="0" xfId="0" applyFont="1" applyAlignment="1">
      <alignment horizontal="right"/>
    </xf>
    <xf numFmtId="0" fontId="108" fillId="0" borderId="39" xfId="0" applyFont="1" applyBorder="1" applyAlignment="1">
      <alignment horizontal="left"/>
    </xf>
    <xf numFmtId="0" fontId="108" fillId="30" borderId="2" xfId="0" applyFont="1" applyFill="1" applyBorder="1" applyAlignment="1">
      <alignment horizontal="left"/>
    </xf>
    <xf numFmtId="0" fontId="106" fillId="0" borderId="2" xfId="0" applyFont="1" applyBorder="1"/>
    <xf numFmtId="0" fontId="108" fillId="0" borderId="40" xfId="0" applyFont="1" applyBorder="1" applyAlignment="1">
      <alignment horizontal="left"/>
    </xf>
    <xf numFmtId="0" fontId="108" fillId="0" borderId="2" xfId="0" applyFont="1" applyBorder="1" applyAlignment="1">
      <alignment horizontal="right"/>
    </xf>
    <xf numFmtId="0" fontId="108" fillId="0" borderId="40" xfId="0" applyFont="1" applyBorder="1" applyAlignment="1">
      <alignment horizontal="right"/>
    </xf>
    <xf numFmtId="0" fontId="109" fillId="30" borderId="2" xfId="0" applyFont="1" applyFill="1" applyBorder="1" applyAlignment="1">
      <alignment horizontal="right"/>
    </xf>
    <xf numFmtId="3" fontId="109" fillId="30" borderId="2" xfId="0" applyNumberFormat="1" applyFont="1" applyFill="1" applyBorder="1" applyAlignment="1">
      <alignment horizontal="right"/>
    </xf>
    <xf numFmtId="3" fontId="108" fillId="0" borderId="2" xfId="0" applyNumberFormat="1" applyFont="1" applyBorder="1" applyAlignment="1">
      <alignment horizontal="right"/>
    </xf>
    <xf numFmtId="3" fontId="108" fillId="0" borderId="40" xfId="0" applyNumberFormat="1" applyFont="1" applyBorder="1" applyAlignment="1">
      <alignment horizontal="right"/>
    </xf>
    <xf numFmtId="0" fontId="108" fillId="0" borderId="41" xfId="0" applyFont="1" applyBorder="1" applyAlignment="1">
      <alignment horizontal="left"/>
    </xf>
    <xf numFmtId="3" fontId="108" fillId="30" borderId="42" xfId="0" applyNumberFormat="1" applyFont="1" applyFill="1" applyBorder="1" applyAlignment="1">
      <alignment horizontal="right"/>
    </xf>
    <xf numFmtId="3" fontId="108" fillId="0" borderId="42" xfId="0" applyNumberFormat="1" applyFont="1" applyBorder="1" applyAlignment="1">
      <alignment horizontal="right"/>
    </xf>
    <xf numFmtId="3" fontId="108" fillId="0" borderId="43" xfId="0" applyNumberFormat="1" applyFont="1" applyBorder="1" applyAlignment="1">
      <alignment horizontal="right"/>
    </xf>
    <xf numFmtId="1" fontId="1" fillId="5" borderId="347" xfId="0" applyNumberFormat="1" applyFont="1" applyFill="1" applyBorder="1" applyAlignment="1">
      <alignment horizontal="center"/>
    </xf>
    <xf numFmtId="164" fontId="1" fillId="5" borderId="349" xfId="0" applyNumberFormat="1" applyFont="1" applyFill="1" applyBorder="1" applyAlignment="1">
      <alignment horizontal="center"/>
    </xf>
    <xf numFmtId="0" fontId="1" fillId="0" borderId="350" xfId="0" applyFont="1" applyBorder="1" applyAlignment="1"/>
    <xf numFmtId="164" fontId="1" fillId="0" borderId="351" xfId="0" applyNumberFormat="1" applyFont="1" applyBorder="1" applyAlignment="1">
      <alignment horizontal="center"/>
    </xf>
    <xf numFmtId="0" fontId="2" fillId="0" borderId="352" xfId="0" applyFont="1" applyBorder="1" applyAlignment="1"/>
    <xf numFmtId="0" fontId="2" fillId="0" borderId="353" xfId="0" applyFont="1" applyBorder="1" applyAlignment="1"/>
    <xf numFmtId="164" fontId="2" fillId="0" borderId="349" xfId="0" applyNumberFormat="1" applyFont="1" applyBorder="1" applyAlignment="1"/>
    <xf numFmtId="164" fontId="2" fillId="5" borderId="349" xfId="0" applyNumberFormat="1" applyFont="1" applyFill="1" applyBorder="1" applyAlignment="1">
      <alignment horizontal="center"/>
    </xf>
    <xf numFmtId="0" fontId="2" fillId="0" borderId="354" xfId="0" applyFont="1" applyBorder="1" applyAlignment="1"/>
    <xf numFmtId="164" fontId="1" fillId="5" borderId="351" xfId="0" applyNumberFormat="1" applyFont="1" applyFill="1" applyBorder="1" applyAlignment="1">
      <alignment horizontal="center"/>
    </xf>
    <xf numFmtId="164" fontId="1" fillId="5" borderId="351" xfId="0" applyNumberFormat="1" applyFont="1" applyFill="1" applyBorder="1" applyAlignment="1">
      <alignment horizontal="center" wrapText="1"/>
    </xf>
    <xf numFmtId="0" fontId="9" fillId="0" borderId="350" xfId="0" applyFont="1" applyBorder="1" applyAlignment="1"/>
    <xf numFmtId="164" fontId="2" fillId="5" borderId="351" xfId="0" applyNumberFormat="1" applyFont="1" applyFill="1" applyBorder="1" applyAlignment="1">
      <alignment horizontal="center"/>
    </xf>
    <xf numFmtId="0" fontId="1" fillId="0" borderId="352" xfId="0" applyFont="1" applyBorder="1" applyAlignment="1"/>
    <xf numFmtId="164" fontId="2" fillId="0" borderId="349" xfId="0" applyNumberFormat="1" applyFont="1" applyBorder="1" applyAlignment="1">
      <alignment horizontal="center"/>
    </xf>
    <xf numFmtId="0" fontId="1" fillId="0" borderId="353" xfId="0" applyFont="1" applyBorder="1" applyAlignment="1"/>
    <xf numFmtId="0" fontId="1" fillId="0" borderId="354" xfId="0" applyFont="1" applyBorder="1" applyAlignment="1"/>
    <xf numFmtId="0" fontId="1" fillId="0" borderId="356" xfId="0" applyFont="1" applyBorder="1" applyAlignment="1"/>
    <xf numFmtId="0" fontId="3" fillId="0" borderId="357" xfId="0" applyFont="1" applyBorder="1" applyAlignment="1"/>
    <xf numFmtId="164" fontId="2" fillId="0" borderId="358" xfId="0" applyNumberFormat="1" applyFont="1" applyBorder="1" applyAlignment="1"/>
    <xf numFmtId="164" fontId="2" fillId="0" borderId="351" xfId="0" applyNumberFormat="1" applyFont="1" applyBorder="1" applyAlignment="1">
      <alignment horizontal="center"/>
    </xf>
    <xf numFmtId="164" fontId="2" fillId="0" borderId="358" xfId="0" applyNumberFormat="1" applyFont="1" applyBorder="1" applyAlignment="1">
      <alignment horizontal="center"/>
    </xf>
    <xf numFmtId="164" fontId="2" fillId="0" borderId="359" xfId="0" applyNumberFormat="1" applyFont="1" applyBorder="1" applyAlignment="1"/>
    <xf numFmtId="0" fontId="2" fillId="0" borderId="212" xfId="0" applyFont="1" applyBorder="1" applyAlignment="1"/>
    <xf numFmtId="164" fontId="2" fillId="0" borderId="212" xfId="0" applyNumberFormat="1" applyFont="1" applyBorder="1" applyAlignment="1"/>
    <xf numFmtId="0" fontId="2" fillId="0" borderId="360" xfId="0" applyFont="1" applyBorder="1" applyAlignment="1"/>
    <xf numFmtId="0" fontId="2" fillId="0" borderId="359" xfId="0" applyFont="1" applyBorder="1" applyAlignment="1"/>
    <xf numFmtId="1" fontId="1" fillId="6" borderId="361" xfId="0" applyNumberFormat="1" applyFont="1" applyFill="1" applyBorder="1" applyAlignment="1">
      <alignment horizontal="center"/>
    </xf>
    <xf numFmtId="0" fontId="2" fillId="0" borderId="362" xfId="0" applyFont="1" applyBorder="1" applyAlignment="1"/>
    <xf numFmtId="0" fontId="2" fillId="0" borderId="363" xfId="0" applyFont="1" applyBorder="1" applyAlignment="1"/>
    <xf numFmtId="0" fontId="2" fillId="0" borderId="364" xfId="0" applyFont="1" applyBorder="1" applyAlignment="1"/>
    <xf numFmtId="0" fontId="1" fillId="0" borderId="365" xfId="0" applyFont="1" applyBorder="1" applyAlignment="1"/>
    <xf numFmtId="0" fontId="3" fillId="0" borderId="75" xfId="0" applyFont="1" applyBorder="1" applyAlignment="1"/>
    <xf numFmtId="0" fontId="110" fillId="0" borderId="97" xfId="0" applyFont="1" applyBorder="1" applyAlignment="1"/>
    <xf numFmtId="0" fontId="110" fillId="0" borderId="2" xfId="0" applyFont="1" applyBorder="1" applyAlignment="1"/>
    <xf numFmtId="49" fontId="110" fillId="0" borderId="2" xfId="0" applyNumberFormat="1" applyFont="1" applyBorder="1" applyAlignment="1">
      <alignment horizontal="center"/>
    </xf>
    <xf numFmtId="0" fontId="110" fillId="0" borderId="2" xfId="0" applyFont="1" applyBorder="1" applyAlignment="1">
      <alignment horizontal="center"/>
    </xf>
    <xf numFmtId="0" fontId="111" fillId="0" borderId="97" xfId="0" applyFont="1" applyBorder="1" applyAlignment="1"/>
    <xf numFmtId="173" fontId="110" fillId="0" borderId="2" xfId="0" applyNumberFormat="1" applyFont="1" applyBorder="1" applyAlignment="1"/>
    <xf numFmtId="3" fontId="110" fillId="0" borderId="2" xfId="0" applyNumberFormat="1" applyFont="1" applyBorder="1" applyAlignment="1">
      <alignment horizontal="center"/>
    </xf>
    <xf numFmtId="1" fontId="110" fillId="0" borderId="2" xfId="0" applyNumberFormat="1" applyFont="1" applyBorder="1" applyAlignment="1">
      <alignment horizontal="center"/>
    </xf>
    <xf numFmtId="9" fontId="110" fillId="0" borderId="2" xfId="0" applyNumberFormat="1" applyFont="1" applyBorder="1" applyAlignment="1"/>
    <xf numFmtId="3" fontId="110" fillId="0" borderId="2" xfId="0" applyNumberFormat="1" applyFont="1" applyBorder="1" applyAlignment="1"/>
    <xf numFmtId="186" fontId="110" fillId="0" borderId="2" xfId="0" applyNumberFormat="1" applyFont="1" applyBorder="1" applyAlignment="1"/>
    <xf numFmtId="9" fontId="110" fillId="0" borderId="298" xfId="0" applyNumberFormat="1" applyFont="1" applyBorder="1" applyAlignment="1">
      <alignment horizontal="right"/>
    </xf>
    <xf numFmtId="0" fontId="110" fillId="0" borderId="181" xfId="0" applyFont="1" applyBorder="1" applyAlignment="1"/>
    <xf numFmtId="0" fontId="110" fillId="0" borderId="182" xfId="0" applyFont="1" applyBorder="1" applyAlignment="1"/>
    <xf numFmtId="3" fontId="110" fillId="0" borderId="182" xfId="0" applyNumberFormat="1" applyFont="1" applyBorder="1" applyAlignment="1"/>
    <xf numFmtId="186" fontId="110" fillId="0" borderId="182" xfId="0" applyNumberFormat="1" applyFont="1" applyBorder="1" applyAlignment="1"/>
    <xf numFmtId="0" fontId="110" fillId="0" borderId="2" xfId="0" applyFont="1" applyFill="1" applyBorder="1" applyAlignment="1"/>
    <xf numFmtId="0" fontId="110" fillId="0" borderId="182" xfId="0" applyFont="1" applyFill="1" applyBorder="1" applyAlignment="1"/>
    <xf numFmtId="0" fontId="110" fillId="0" borderId="2" xfId="0" applyFont="1" applyFill="1" applyBorder="1" applyAlignment="1">
      <alignment horizontal="center"/>
    </xf>
    <xf numFmtId="49" fontId="110" fillId="0" borderId="2" xfId="0" applyNumberFormat="1" applyFont="1" applyFill="1" applyBorder="1" applyAlignment="1"/>
    <xf numFmtId="3" fontId="110" fillId="0" borderId="2" xfId="0" applyNumberFormat="1" applyFont="1" applyFill="1" applyBorder="1" applyAlignment="1">
      <alignment horizontal="center"/>
    </xf>
    <xf numFmtId="1" fontId="110" fillId="0" borderId="2" xfId="0" applyNumberFormat="1" applyFont="1" applyFill="1" applyBorder="1" applyAlignment="1">
      <alignment horizontal="center"/>
    </xf>
    <xf numFmtId="49" fontId="111" fillId="0" borderId="271" xfId="0" applyNumberFormat="1" applyFont="1" applyBorder="1" applyAlignment="1">
      <alignment horizontal="center" textRotation="90" wrapText="1"/>
    </xf>
    <xf numFmtId="3" fontId="110" fillId="0" borderId="2" xfId="0" applyNumberFormat="1" applyFont="1" applyFill="1" applyBorder="1" applyAlignment="1"/>
    <xf numFmtId="3" fontId="111" fillId="0" borderId="182" xfId="0" applyNumberFormat="1" applyFont="1" applyBorder="1" applyAlignment="1"/>
    <xf numFmtId="3" fontId="110" fillId="0" borderId="298" xfId="0" applyNumberFormat="1" applyFont="1" applyBorder="1" applyAlignment="1">
      <alignment horizontal="right"/>
    </xf>
    <xf numFmtId="3" fontId="110" fillId="0" borderId="146" xfId="0" applyNumberFormat="1" applyFont="1" applyBorder="1" applyAlignment="1"/>
    <xf numFmtId="3" fontId="110" fillId="0" borderId="265" xfId="0" applyNumberFormat="1" applyFont="1" applyBorder="1" applyAlignment="1">
      <alignment horizontal="right"/>
    </xf>
    <xf numFmtId="3" fontId="110" fillId="0" borderId="183" xfId="0" applyNumberFormat="1" applyFont="1" applyBorder="1" applyAlignment="1"/>
    <xf numFmtId="0" fontId="112" fillId="0" borderId="269" xfId="0" applyFont="1" applyBorder="1" applyAlignment="1"/>
    <xf numFmtId="0" fontId="112" fillId="0" borderId="269" xfId="0" applyFont="1" applyBorder="1" applyAlignment="1">
      <alignment horizontal="center"/>
    </xf>
    <xf numFmtId="3" fontId="111" fillId="0" borderId="182" xfId="0" applyNumberFormat="1" applyFont="1" applyFill="1" applyBorder="1" applyAlignment="1"/>
    <xf numFmtId="3" fontId="110" fillId="0" borderId="298" xfId="0" applyNumberFormat="1" applyFont="1" applyFill="1" applyBorder="1" applyAlignment="1">
      <alignment horizontal="right"/>
    </xf>
    <xf numFmtId="49" fontId="112" fillId="0" borderId="271" xfId="0" applyNumberFormat="1" applyFont="1" applyFill="1" applyBorder="1" applyAlignment="1">
      <alignment horizontal="center" textRotation="90" wrapText="1"/>
    </xf>
    <xf numFmtId="0" fontId="112" fillId="0" borderId="271" xfId="0" applyFont="1" applyBorder="1" applyAlignment="1">
      <alignment horizontal="center"/>
    </xf>
    <xf numFmtId="49" fontId="112" fillId="0" borderId="271" xfId="0" applyNumberFormat="1" applyFont="1" applyFill="1" applyBorder="1" applyAlignment="1">
      <alignment horizontal="center" textRotation="90" shrinkToFit="1"/>
    </xf>
    <xf numFmtId="0" fontId="112" fillId="0" borderId="271" xfId="0" applyFont="1" applyBorder="1" applyAlignment="1">
      <alignment horizontal="center" textRotation="90" wrapText="1"/>
    </xf>
    <xf numFmtId="0" fontId="112" fillId="0" borderId="271" xfId="0" applyFont="1" applyFill="1" applyBorder="1" applyAlignment="1">
      <alignment horizontal="center" textRotation="90" wrapText="1"/>
    </xf>
    <xf numFmtId="3" fontId="110" fillId="0" borderId="298" xfId="0" applyNumberFormat="1" applyFont="1" applyBorder="1" applyAlignment="1"/>
    <xf numFmtId="186" fontId="110" fillId="0" borderId="298" xfId="0" applyNumberFormat="1" applyFont="1" applyBorder="1" applyAlignment="1"/>
    <xf numFmtId="3" fontId="110" fillId="0" borderId="298" xfId="0" applyNumberFormat="1" applyFont="1" applyFill="1" applyBorder="1" applyAlignment="1"/>
    <xf numFmtId="0" fontId="112" fillId="0" borderId="271" xfId="0" applyFont="1" applyBorder="1" applyAlignment="1">
      <alignment horizontal="center" textRotation="90" shrinkToFit="1"/>
    </xf>
    <xf numFmtId="0" fontId="112" fillId="0" borderId="271" xfId="0" applyFont="1" applyBorder="1" applyAlignment="1">
      <alignment horizontal="center" textRotation="90"/>
    </xf>
    <xf numFmtId="0" fontId="112" fillId="0" borderId="270" xfId="0" applyFont="1" applyBorder="1" applyAlignment="1">
      <alignment horizontal="center" textRotation="90" wrapText="1"/>
    </xf>
    <xf numFmtId="0" fontId="106" fillId="27" borderId="212" xfId="0" applyFont="1" applyFill="1" applyBorder="1"/>
    <xf numFmtId="0" fontId="106" fillId="8" borderId="212" xfId="0" applyFont="1" applyFill="1" applyBorder="1"/>
    <xf numFmtId="0" fontId="110" fillId="31" borderId="2" xfId="0" applyFont="1" applyFill="1" applyBorder="1" applyAlignment="1"/>
    <xf numFmtId="0" fontId="110" fillId="32" borderId="2" xfId="0" applyFont="1" applyFill="1" applyBorder="1" applyAlignment="1"/>
    <xf numFmtId="173" fontId="110" fillId="31" borderId="2" xfId="0" applyNumberFormat="1" applyFont="1" applyFill="1" applyBorder="1" applyAlignment="1"/>
    <xf numFmtId="3" fontId="110" fillId="32" borderId="2" xfId="0" applyNumberFormat="1" applyFont="1" applyFill="1" applyBorder="1" applyAlignment="1"/>
    <xf numFmtId="3" fontId="110" fillId="31" borderId="2" xfId="0" applyNumberFormat="1" applyFont="1" applyFill="1" applyBorder="1" applyAlignment="1">
      <alignment horizontal="center"/>
    </xf>
    <xf numFmtId="3" fontId="110" fillId="32" borderId="2" xfId="0" applyNumberFormat="1" applyFont="1" applyFill="1" applyBorder="1" applyAlignment="1">
      <alignment horizontal="center"/>
    </xf>
    <xf numFmtId="0" fontId="110" fillId="32" borderId="2" xfId="0" applyFont="1" applyFill="1" applyBorder="1" applyAlignment="1">
      <alignment horizontal="center"/>
    </xf>
    <xf numFmtId="1" fontId="110" fillId="31" borderId="2" xfId="0" applyNumberFormat="1" applyFont="1" applyFill="1" applyBorder="1" applyAlignment="1">
      <alignment horizontal="center"/>
    </xf>
    <xf numFmtId="3" fontId="110" fillId="31" borderId="2" xfId="0" applyNumberFormat="1" applyFont="1" applyFill="1" applyBorder="1" applyAlignment="1"/>
    <xf numFmtId="9" fontId="110" fillId="31" borderId="2" xfId="0" applyNumberFormat="1" applyFont="1" applyFill="1" applyBorder="1" applyAlignment="1"/>
    <xf numFmtId="186" fontId="110" fillId="31" borderId="2" xfId="0" applyNumberFormat="1" applyFont="1" applyFill="1" applyBorder="1" applyAlignment="1"/>
    <xf numFmtId="3" fontId="110" fillId="31" borderId="146" xfId="0" applyNumberFormat="1" applyFont="1" applyFill="1" applyBorder="1" applyAlignment="1"/>
    <xf numFmtId="1" fontId="110" fillId="32" borderId="2" xfId="0" applyNumberFormat="1" applyFont="1" applyFill="1" applyBorder="1" applyAlignment="1">
      <alignment horizontal="center"/>
    </xf>
    <xf numFmtId="10" fontId="110" fillId="33" borderId="2" xfId="0" applyNumberFormat="1" applyFont="1" applyFill="1" applyBorder="1" applyAlignment="1"/>
    <xf numFmtId="3" fontId="110" fillId="33" borderId="2" xfId="0" applyNumberFormat="1" applyFont="1" applyFill="1" applyBorder="1" applyAlignment="1"/>
    <xf numFmtId="186" fontId="110" fillId="33" borderId="2" xfId="0" applyNumberFormat="1" applyFont="1" applyFill="1" applyBorder="1" applyAlignment="1"/>
    <xf numFmtId="9" fontId="110" fillId="33" borderId="2" xfId="0" applyNumberFormat="1" applyFont="1" applyFill="1" applyBorder="1" applyAlignment="1"/>
    <xf numFmtId="173" fontId="110" fillId="34" borderId="2" xfId="0" applyNumberFormat="1" applyFont="1" applyFill="1" applyBorder="1" applyAlignment="1"/>
    <xf numFmtId="3" fontId="110" fillId="34" borderId="2" xfId="0" applyNumberFormat="1" applyFont="1" applyFill="1" applyBorder="1" applyAlignment="1">
      <alignment horizontal="center"/>
    </xf>
    <xf numFmtId="1" fontId="110" fillId="34" borderId="2" xfId="0" applyNumberFormat="1" applyFont="1" applyFill="1" applyBorder="1" applyAlignment="1">
      <alignment horizontal="center"/>
    </xf>
    <xf numFmtId="3" fontId="110" fillId="34" borderId="2" xfId="0" applyNumberFormat="1" applyFont="1" applyFill="1" applyBorder="1" applyAlignment="1"/>
    <xf numFmtId="9" fontId="110" fillId="34" borderId="2" xfId="0" applyNumberFormat="1" applyFont="1" applyFill="1" applyBorder="1" applyAlignment="1"/>
    <xf numFmtId="0" fontId="110" fillId="35" borderId="2" xfId="0" applyFont="1" applyFill="1" applyBorder="1" applyAlignment="1"/>
    <xf numFmtId="165" fontId="110" fillId="35" borderId="2" xfId="0" applyNumberFormat="1" applyFont="1" applyFill="1" applyBorder="1" applyAlignment="1"/>
    <xf numFmtId="3" fontId="110" fillId="36" borderId="2" xfId="0" applyNumberFormat="1" applyFont="1" applyFill="1" applyBorder="1" applyAlignment="1"/>
    <xf numFmtId="3" fontId="110" fillId="35" borderId="2" xfId="0" applyNumberFormat="1" applyFont="1" applyFill="1" applyBorder="1" applyAlignment="1">
      <alignment horizontal="center"/>
    </xf>
    <xf numFmtId="3" fontId="110" fillId="36" borderId="2" xfId="0" applyNumberFormat="1" applyFont="1" applyFill="1" applyBorder="1" applyAlignment="1">
      <alignment horizontal="center"/>
    </xf>
    <xf numFmtId="0" fontId="110" fillId="36" borderId="2" xfId="0" applyFont="1" applyFill="1" applyBorder="1" applyAlignment="1">
      <alignment horizontal="center"/>
    </xf>
    <xf numFmtId="1" fontId="110" fillId="35" borderId="2" xfId="0" applyNumberFormat="1" applyFont="1" applyFill="1" applyBorder="1" applyAlignment="1">
      <alignment horizontal="center"/>
    </xf>
    <xf numFmtId="3" fontId="110" fillId="35" borderId="2" xfId="0" applyNumberFormat="1" applyFont="1" applyFill="1" applyBorder="1" applyAlignment="1"/>
    <xf numFmtId="9" fontId="110" fillId="35" borderId="2" xfId="0" applyNumberFormat="1" applyFont="1" applyFill="1" applyBorder="1" applyAlignment="1"/>
    <xf numFmtId="186" fontId="110" fillId="35" borderId="2" xfId="0" applyNumberFormat="1" applyFont="1" applyFill="1" applyBorder="1" applyAlignment="1"/>
    <xf numFmtId="3" fontId="110" fillId="35" borderId="146" xfId="0" applyNumberFormat="1" applyFont="1" applyFill="1" applyBorder="1" applyAlignment="1"/>
    <xf numFmtId="173" fontId="110" fillId="35" borderId="2" xfId="0" applyNumberFormat="1" applyFont="1" applyFill="1" applyBorder="1" applyAlignment="1"/>
    <xf numFmtId="166" fontId="1" fillId="28" borderId="2" xfId="0" applyNumberFormat="1" applyFont="1" applyFill="1" applyBorder="1" applyAlignment="1"/>
    <xf numFmtId="3" fontId="2" fillId="25" borderId="270" xfId="0" applyNumberFormat="1" applyFont="1" applyFill="1" applyBorder="1" applyAlignment="1"/>
    <xf numFmtId="3" fontId="2" fillId="0" borderId="146" xfId="0" applyNumberFormat="1" applyFont="1" applyBorder="1" applyAlignment="1"/>
    <xf numFmtId="0" fontId="1" fillId="0" borderId="355" xfId="0" applyFont="1" applyBorder="1" applyAlignment="1"/>
    <xf numFmtId="0" fontId="8" fillId="0" borderId="21" xfId="0" applyFont="1" applyBorder="1"/>
    <xf numFmtId="0" fontId="106" fillId="2" borderId="6" xfId="0" applyFont="1" applyFill="1" applyBorder="1" applyAlignment="1">
      <alignment horizontal="center"/>
    </xf>
    <xf numFmtId="0" fontId="107" fillId="0" borderId="330" xfId="0" applyFont="1" applyBorder="1"/>
    <xf numFmtId="0" fontId="107" fillId="0" borderId="81" xfId="0" applyFont="1" applyBorder="1"/>
    <xf numFmtId="0" fontId="7" fillId="4" borderId="345" xfId="0" applyFont="1" applyFill="1" applyBorder="1" applyAlignment="1"/>
    <xf numFmtId="0" fontId="8" fillId="0" borderId="346" xfId="0" applyFont="1" applyBorder="1"/>
    <xf numFmtId="0" fontId="1" fillId="0" borderId="348" xfId="0" applyFont="1" applyBorder="1" applyAlignment="1"/>
    <xf numFmtId="0" fontId="8" fillId="0" borderId="330" xfId="0" applyFont="1" applyBorder="1"/>
    <xf numFmtId="0" fontId="1" fillId="0" borderId="6" xfId="0" applyFont="1" applyBorder="1" applyAlignment="1">
      <alignment horizontal="center"/>
    </xf>
    <xf numFmtId="0" fontId="8" fillId="0" borderId="7" xfId="0" applyFont="1" applyBorder="1"/>
    <xf numFmtId="0" fontId="8" fillId="0" borderId="29" xfId="0" applyFont="1" applyBorder="1"/>
    <xf numFmtId="0" fontId="4" fillId="2" borderId="48" xfId="0" applyFont="1" applyFill="1" applyBorder="1" applyAlignment="1">
      <alignment horizontal="center"/>
    </xf>
    <xf numFmtId="0" fontId="8" fillId="0" borderId="49" xfId="0" applyFont="1" applyBorder="1"/>
    <xf numFmtId="0" fontId="1" fillId="0" borderId="0" xfId="0" applyFont="1" applyAlignment="1">
      <alignment horizontal="center"/>
    </xf>
    <xf numFmtId="0" fontId="0" fillId="0" borderId="0" xfId="0" applyFont="1" applyAlignment="1"/>
    <xf numFmtId="0" fontId="19" fillId="10" borderId="168" xfId="0" applyFont="1" applyFill="1" applyBorder="1" applyAlignment="1"/>
    <xf numFmtId="0" fontId="8" fillId="0" borderId="169" xfId="0" applyFont="1" applyBorder="1"/>
    <xf numFmtId="0" fontId="1" fillId="0" borderId="0" xfId="0" applyFont="1" applyAlignment="1"/>
    <xf numFmtId="0" fontId="16" fillId="0" borderId="0" xfId="0" applyFont="1" applyAlignment="1">
      <alignment horizontal="left" wrapText="1"/>
    </xf>
    <xf numFmtId="0" fontId="2" fillId="0" borderId="24" xfId="0" applyFont="1" applyBorder="1" applyAlignment="1"/>
    <xf numFmtId="0" fontId="8" fillId="0" borderId="77" xfId="0" applyFont="1" applyBorder="1"/>
    <xf numFmtId="183" fontId="1" fillId="0" borderId="76" xfId="0" applyNumberFormat="1" applyFont="1" applyBorder="1" applyAlignment="1"/>
    <xf numFmtId="0" fontId="2" fillId="0" borderId="30" xfId="0" applyFont="1" applyBorder="1" applyAlignment="1"/>
    <xf numFmtId="0" fontId="8" fillId="0" borderId="31" xfId="0" applyFont="1" applyBorder="1"/>
    <xf numFmtId="183" fontId="2" fillId="0" borderId="30" xfId="0" applyNumberFormat="1" applyFont="1" applyBorder="1" applyAlignment="1">
      <alignment horizontal="left"/>
    </xf>
    <xf numFmtId="0" fontId="2" fillId="0" borderId="20" xfId="0" applyFont="1" applyBorder="1" applyAlignment="1"/>
    <xf numFmtId="0" fontId="8" fillId="0" borderId="86" xfId="0" applyFont="1" applyBorder="1"/>
    <xf numFmtId="183" fontId="2" fillId="0" borderId="20" xfId="0" applyNumberFormat="1" applyFont="1" applyBorder="1" applyAlignment="1">
      <alignment horizontal="left"/>
    </xf>
    <xf numFmtId="0" fontId="16" fillId="6" borderId="209" xfId="0" applyFont="1" applyFill="1" applyBorder="1" applyAlignment="1"/>
    <xf numFmtId="0" fontId="8" fillId="0" borderId="210" xfId="0" applyFont="1" applyBorder="1"/>
    <xf numFmtId="183" fontId="16" fillId="0" borderId="76" xfId="0" applyNumberFormat="1" applyFont="1" applyBorder="1" applyAlignment="1">
      <alignment horizontal="left"/>
    </xf>
    <xf numFmtId="0" fontId="2" fillId="0" borderId="3" xfId="0" applyFont="1" applyBorder="1" applyAlignment="1"/>
    <xf numFmtId="0" fontId="8" fillId="0" borderId="95" xfId="0" applyFont="1" applyBorder="1"/>
    <xf numFmtId="183" fontId="2" fillId="0" borderId="3" xfId="0" applyNumberFormat="1" applyFont="1" applyBorder="1" applyAlignment="1">
      <alignment horizontal="left"/>
    </xf>
    <xf numFmtId="0" fontId="1" fillId="20" borderId="211" xfId="0" applyFont="1" applyFill="1" applyBorder="1" applyAlignment="1"/>
    <xf numFmtId="0" fontId="8" fillId="0" borderId="212" xfId="0" applyFont="1" applyBorder="1"/>
    <xf numFmtId="0" fontId="1" fillId="9" borderId="209" xfId="0" applyFont="1" applyFill="1" applyBorder="1" applyAlignment="1"/>
    <xf numFmtId="0" fontId="8" fillId="0" borderId="215" xfId="0" applyFont="1" applyBorder="1"/>
    <xf numFmtId="0" fontId="2" fillId="0" borderId="27" xfId="0" applyFont="1" applyBorder="1" applyAlignment="1"/>
    <xf numFmtId="0" fontId="8" fillId="0" borderId="28" xfId="0" applyFont="1" applyBorder="1"/>
    <xf numFmtId="183" fontId="2" fillId="0" borderId="27" xfId="0" applyNumberFormat="1" applyFont="1" applyBorder="1" applyAlignment="1">
      <alignment horizontal="left"/>
    </xf>
    <xf numFmtId="0" fontId="2" fillId="0" borderId="47" xfId="0" applyFont="1" applyBorder="1" applyAlignment="1"/>
    <xf numFmtId="0" fontId="1" fillId="0" borderId="142" xfId="0" applyFont="1" applyBorder="1" applyAlignment="1"/>
    <xf numFmtId="166" fontId="2" fillId="0" borderId="30" xfId="0" applyNumberFormat="1" applyFont="1" applyBorder="1" applyAlignment="1"/>
    <xf numFmtId="166" fontId="2" fillId="0" borderId="3" xfId="0" applyNumberFormat="1" applyFont="1" applyBorder="1" applyAlignment="1"/>
    <xf numFmtId="183" fontId="1" fillId="6" borderId="213" xfId="0" applyNumberFormat="1" applyFont="1" applyFill="1" applyBorder="1" applyAlignment="1">
      <alignment horizontal="left"/>
    </xf>
    <xf numFmtId="0" fontId="8" fillId="0" borderId="214" xfId="0" applyFont="1" applyBorder="1"/>
    <xf numFmtId="0" fontId="8" fillId="0" borderId="24" xfId="0" applyFont="1" applyBorder="1"/>
    <xf numFmtId="0" fontId="2" fillId="6" borderId="213" xfId="0" applyFont="1" applyFill="1" applyBorder="1" applyAlignment="1"/>
    <xf numFmtId="0" fontId="1" fillId="0" borderId="47" xfId="0" applyFont="1" applyBorder="1" applyAlignment="1"/>
    <xf numFmtId="0" fontId="2" fillId="0" borderId="0" xfId="0" applyFont="1" applyAlignment="1">
      <alignment wrapText="1"/>
    </xf>
    <xf numFmtId="3" fontId="1" fillId="29" borderId="322" xfId="0" applyNumberFormat="1" applyFont="1" applyFill="1" applyBorder="1" applyAlignment="1"/>
    <xf numFmtId="3" fontId="1" fillId="29" borderId="298" xfId="0" applyNumberFormat="1" applyFont="1" applyFill="1" applyBorder="1" applyAlignment="1"/>
    <xf numFmtId="0" fontId="1" fillId="25" borderId="299" xfId="0" applyFont="1" applyFill="1" applyBorder="1" applyAlignment="1"/>
    <xf numFmtId="0" fontId="8" fillId="0" borderId="264" xfId="0" applyFont="1" applyBorder="1"/>
    <xf numFmtId="0" fontId="8" fillId="0" borderId="300" xfId="0" applyFont="1" applyBorder="1"/>
    <xf numFmtId="0" fontId="112" fillId="24" borderId="55" xfId="0" applyFont="1" applyFill="1" applyBorder="1" applyAlignment="1"/>
    <xf numFmtId="0" fontId="8" fillId="0" borderId="195" xfId="0" applyFont="1" applyBorder="1"/>
    <xf numFmtId="0" fontId="8" fillId="0" borderId="298" xfId="0" applyFont="1" applyBorder="1"/>
    <xf numFmtId="3" fontId="1" fillId="27" borderId="98" xfId="0" applyNumberFormat="1" applyFont="1" applyFill="1" applyBorder="1" applyAlignment="1"/>
    <xf numFmtId="0" fontId="1" fillId="15" borderId="55" xfId="0" applyFont="1" applyFill="1" applyBorder="1" applyAlignment="1"/>
    <xf numFmtId="0" fontId="1" fillId="28" borderId="55" xfId="0" applyFont="1" applyFill="1" applyBorder="1" applyAlignment="1"/>
    <xf numFmtId="0" fontId="1" fillId="28" borderId="333" xfId="0" applyFont="1" applyFill="1" applyBorder="1" applyAlignment="1"/>
    <xf numFmtId="0" fontId="1" fillId="28" borderId="298" xfId="0" applyFont="1" applyFill="1" applyBorder="1" applyAlignment="1"/>
    <xf numFmtId="0" fontId="1" fillId="0" borderId="4" xfId="0" applyFont="1" applyBorder="1" applyAlignment="1"/>
    <xf numFmtId="0" fontId="8" fillId="0" borderId="4" xfId="0" applyFont="1" applyBorder="1"/>
    <xf numFmtId="0" fontId="2" fillId="0" borderId="16" xfId="0" applyFont="1" applyBorder="1" applyAlignment="1">
      <alignment horizontal="center" wrapText="1"/>
    </xf>
    <xf numFmtId="0" fontId="8" fillId="0" borderId="25" xfId="0" applyFont="1" applyBorder="1"/>
    <xf numFmtId="0" fontId="9" fillId="6" borderId="306" xfId="0" applyFont="1" applyFill="1" applyBorder="1" applyAlignment="1">
      <alignment vertical="center"/>
    </xf>
    <xf numFmtId="0" fontId="8" fillId="0" borderId="307" xfId="0" applyFont="1" applyBorder="1"/>
    <xf numFmtId="0" fontId="2" fillId="0" borderId="0" xfId="0" applyFont="1" applyAlignment="1">
      <alignment horizontal="left" wrapText="1"/>
    </xf>
    <xf numFmtId="0" fontId="1" fillId="0" borderId="105" xfId="0" applyFont="1" applyBorder="1" applyAlignment="1">
      <alignment horizontal="center" vertical="top" wrapText="1"/>
    </xf>
    <xf numFmtId="0" fontId="8" fillId="0" borderId="105" xfId="0" applyFont="1" applyBorder="1"/>
    <xf numFmtId="0" fontId="1" fillId="0" borderId="0" xfId="0" applyFont="1" applyAlignment="1">
      <alignment horizontal="center" vertical="top" wrapText="1"/>
    </xf>
    <xf numFmtId="0" fontId="1" fillId="2" borderId="316" xfId="0" applyFont="1" applyFill="1" applyBorder="1" applyAlignment="1">
      <alignment horizontal="center" vertical="top" wrapText="1"/>
    </xf>
    <xf numFmtId="0" fontId="8" fillId="0" borderId="317" xfId="0" applyFont="1" applyBorder="1"/>
    <xf numFmtId="0" fontId="17" fillId="0" borderId="98" xfId="0" applyFont="1" applyBorder="1" applyAlignment="1">
      <alignment horizontal="right" wrapText="1"/>
    </xf>
    <xf numFmtId="0" fontId="2" fillId="0" borderId="0" xfId="0" applyFont="1" applyAlignment="1"/>
    <xf numFmtId="9" fontId="1" fillId="0" borderId="105" xfId="0" applyNumberFormat="1" applyFont="1" applyBorder="1" applyAlignment="1">
      <alignment horizontal="center"/>
    </xf>
    <xf numFmtId="0" fontId="7" fillId="4" borderId="3" xfId="0" applyFont="1" applyFill="1" applyBorder="1" applyAlignment="1"/>
    <xf numFmtId="0" fontId="1" fillId="0" borderId="6" xfId="0" applyFont="1" applyBorder="1" applyAlignment="1"/>
    <xf numFmtId="0" fontId="1" fillId="0" borderId="20" xfId="0" applyFont="1" applyBorder="1" applyAlignment="1"/>
  </cellXfs>
  <cellStyles count="1">
    <cellStyle name="Normal" xfId="0" builtinId="0"/>
  </cellStyles>
  <dxfs count="2">
    <dxf>
      <fill>
        <patternFill patternType="solid">
          <fgColor rgb="FFFFFF99"/>
          <bgColor rgb="FFFFFF99"/>
        </patternFill>
      </fill>
    </dxf>
    <dxf>
      <font>
        <color rgb="FFFFFFFF"/>
      </font>
      <fill>
        <patternFill patternType="none"/>
      </fill>
    </dxf>
  </dxfs>
  <tableStyles count="0" defaultTableStyle="TableStyleMedium2" defaultPivotStyle="PivotStyleLight16"/>
  <colors>
    <mruColors>
      <color rgb="FFCC99FF"/>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14.xml.rels><?xml version="1.0" encoding="UTF-8" standalone="yes"?>
<Relationships xmlns="http://schemas.openxmlformats.org/package/2006/relationships"><Relationship Id="rId1" Type="http://customschemas.google.com/relationships/workbookmetadata" Target="commentsmeta13"/></Relationships>
</file>

<file path=xl/_rels/comments15.xml.rels><?xml version="1.0" encoding="UTF-8" standalone="yes"?>
<Relationships xmlns="http://schemas.openxmlformats.org/package/2006/relationships"><Relationship Id="rId1" Type="http://customschemas.google.com/relationships/workbookmetadata" Target="commentsmeta14"/></Relationships>
</file>

<file path=xl/_rels/comments16.xml.rels><?xml version="1.0" encoding="UTF-8" standalone="yes"?>
<Relationships xmlns="http://schemas.openxmlformats.org/package/2006/relationships"><Relationship Id="rId1" Type="http://customschemas.google.com/relationships/workbookmetadata" Target="commentsmeta15"/></Relationships>
</file>

<file path=xl/_rels/comments17.xml.rels><?xml version="1.0" encoding="UTF-8" standalone="yes"?>
<Relationships xmlns="http://schemas.openxmlformats.org/package/2006/relationships"><Relationship Id="rId1" Type="http://customschemas.google.com/relationships/workbookmetadata" Target="commentsmeta16"/></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51"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48"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2006, 2011 &amp; 2020 GHG Inventory</a:t>
            </a:r>
          </a:p>
        </c:rich>
      </c:tx>
      <c:overlay val="0"/>
    </c:title>
    <c:autoTitleDeleted val="0"/>
    <c:plotArea>
      <c:layout/>
      <c:barChart>
        <c:barDir val="col"/>
        <c:grouping val="clustered"/>
        <c:varyColors val="1"/>
        <c:ser>
          <c:idx val="0"/>
          <c:order val="0"/>
          <c:tx>
            <c:strRef>
              <c:f>Graphs!$D$176</c:f>
              <c:strCache>
                <c:ptCount val="1"/>
                <c:pt idx="0">
                  <c:v>2006</c:v>
                </c:pt>
              </c:strCache>
            </c:strRef>
          </c:tx>
          <c:spPr>
            <a:solidFill>
              <a:srgbClr val="9999FF"/>
            </a:solidFill>
            <a:ln cmpd="sng">
              <a:solidFill>
                <a:srgbClr val="000000"/>
              </a:solidFill>
            </a:ln>
          </c:spPr>
          <c:invertIfNegative val="1"/>
          <c:cat>
            <c:strRef>
              <c:f>Graphs!$C$177:$C$184</c:f>
              <c:strCache>
                <c:ptCount val="8"/>
                <c:pt idx="0">
                  <c:v>Electricity Use (Consumption)</c:v>
                </c:pt>
                <c:pt idx="1">
                  <c:v>RCI Fuel Use</c:v>
                </c:pt>
                <c:pt idx="2">
                  <c:v>Transportation - Onroad</c:v>
                </c:pt>
                <c:pt idx="3">
                  <c:v>Transportation - Nonroad</c:v>
                </c:pt>
                <c:pt idx="4">
                  <c:v>Fossil Fuel Industry</c:v>
                </c:pt>
                <c:pt idx="5">
                  <c:v>Industrial Processes</c:v>
                </c:pt>
                <c:pt idx="6">
                  <c:v>Agriculture</c:v>
                </c:pt>
                <c:pt idx="7">
                  <c:v>Waste Management</c:v>
                </c:pt>
              </c:strCache>
            </c:strRef>
          </c:cat>
          <c:val>
            <c:numRef>
              <c:f>Graphs!$D$177:$D$184</c:f>
              <c:numCache>
                <c:formatCode>General</c:formatCode>
                <c:ptCount val="8"/>
                <c:pt idx="0">
                  <c:v>42.475674553317035</c:v>
                </c:pt>
                <c:pt idx="1">
                  <c:v>16.870796954329833</c:v>
                </c:pt>
                <c:pt idx="2">
                  <c:v>29.669799999999999</c:v>
                </c:pt>
                <c:pt idx="3">
                  <c:v>5.8017938791854329</c:v>
                </c:pt>
                <c:pt idx="4">
                  <c:v>0.94188463845227166</c:v>
                </c:pt>
                <c:pt idx="5">
                  <c:v>7.4410423344781096</c:v>
                </c:pt>
                <c:pt idx="6">
                  <c:v>1.7714261577852335</c:v>
                </c:pt>
                <c:pt idx="7">
                  <c:v>2.2571179512006849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597-446B-BE9D-F873B51E1988}"/>
            </c:ext>
          </c:extLst>
        </c:ser>
        <c:ser>
          <c:idx val="1"/>
          <c:order val="1"/>
          <c:tx>
            <c:strRef>
              <c:f>Graphs!$E$176</c:f>
              <c:strCache>
                <c:ptCount val="1"/>
                <c:pt idx="0">
                  <c:v>2011</c:v>
                </c:pt>
              </c:strCache>
            </c:strRef>
          </c:tx>
          <c:spPr>
            <a:solidFill>
              <a:srgbClr val="993366"/>
            </a:solidFill>
            <a:ln cmpd="sng">
              <a:solidFill>
                <a:srgbClr val="000000"/>
              </a:solidFill>
            </a:ln>
          </c:spPr>
          <c:invertIfNegative val="1"/>
          <c:cat>
            <c:strRef>
              <c:f>Graphs!$C$177:$C$184</c:f>
              <c:strCache>
                <c:ptCount val="8"/>
                <c:pt idx="0">
                  <c:v>Electricity Use (Consumption)</c:v>
                </c:pt>
                <c:pt idx="1">
                  <c:v>RCI Fuel Use</c:v>
                </c:pt>
                <c:pt idx="2">
                  <c:v>Transportation - Onroad</c:v>
                </c:pt>
                <c:pt idx="3">
                  <c:v>Transportation - Nonroad</c:v>
                </c:pt>
                <c:pt idx="4">
                  <c:v>Fossil Fuel Industry</c:v>
                </c:pt>
                <c:pt idx="5">
                  <c:v>Industrial Processes</c:v>
                </c:pt>
                <c:pt idx="6">
                  <c:v>Agriculture</c:v>
                </c:pt>
                <c:pt idx="7">
                  <c:v>Waste Management</c:v>
                </c:pt>
              </c:strCache>
            </c:strRef>
          </c:cat>
          <c:val>
            <c:numRef>
              <c:f>Graphs!$E$177:$E$184</c:f>
              <c:numCache>
                <c:formatCode>0.000000</c:formatCode>
                <c:ptCount val="8"/>
                <c:pt idx="0">
                  <c:v>37.860129294372811</c:v>
                </c:pt>
                <c:pt idx="1">
                  <c:v>17.000425590955349</c:v>
                </c:pt>
                <c:pt idx="2">
                  <c:v>28.24707569993187</c:v>
                </c:pt>
                <c:pt idx="3">
                  <c:v>7.022468457280195</c:v>
                </c:pt>
                <c:pt idx="4">
                  <c:v>0.83609220289311492</c:v>
                </c:pt>
                <c:pt idx="5">
                  <c:v>4.3985727448193961</c:v>
                </c:pt>
                <c:pt idx="6">
                  <c:v>1.6619477356257877</c:v>
                </c:pt>
                <c:pt idx="7">
                  <c:v>2.2571179512006849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597-446B-BE9D-F873B51E1988}"/>
            </c:ext>
          </c:extLst>
        </c:ser>
        <c:ser>
          <c:idx val="2"/>
          <c:order val="2"/>
          <c:tx>
            <c:strRef>
              <c:f>Graphs!$F$176</c:f>
              <c:strCache>
                <c:ptCount val="1"/>
                <c:pt idx="0">
                  <c:v>2020</c:v>
                </c:pt>
              </c:strCache>
            </c:strRef>
          </c:tx>
          <c:spPr>
            <a:solidFill>
              <a:srgbClr val="FFFFCC"/>
            </a:solidFill>
            <a:ln cmpd="sng">
              <a:solidFill>
                <a:srgbClr val="000000"/>
              </a:solidFill>
            </a:ln>
          </c:spPr>
          <c:invertIfNegative val="1"/>
          <c:cat>
            <c:strRef>
              <c:f>Graphs!$C$177:$C$184</c:f>
              <c:strCache>
                <c:ptCount val="8"/>
                <c:pt idx="0">
                  <c:v>Electricity Use (Consumption)</c:v>
                </c:pt>
                <c:pt idx="1">
                  <c:v>RCI Fuel Use</c:v>
                </c:pt>
                <c:pt idx="2">
                  <c:v>Transportation - Onroad</c:v>
                </c:pt>
                <c:pt idx="3">
                  <c:v>Transportation - Nonroad</c:v>
                </c:pt>
                <c:pt idx="4">
                  <c:v>Fossil Fuel Industry</c:v>
                </c:pt>
                <c:pt idx="5">
                  <c:v>Industrial Processes</c:v>
                </c:pt>
                <c:pt idx="6">
                  <c:v>Agriculture</c:v>
                </c:pt>
                <c:pt idx="7">
                  <c:v>Waste Management</c:v>
                </c:pt>
              </c:strCache>
            </c:strRef>
          </c:cat>
          <c:val>
            <c:numRef>
              <c:f>Graphs!$F$177:$F$184</c:f>
              <c:numCache>
                <c:formatCode>General</c:formatCode>
                <c:ptCount val="8"/>
                <c:pt idx="0">
                  <c:v>58.792780404291136</c:v>
                </c:pt>
                <c:pt idx="1">
                  <c:v>18.84224894318902</c:v>
                </c:pt>
                <c:pt idx="2">
                  <c:v>38.589753745791242</c:v>
                </c:pt>
                <c:pt idx="3">
                  <c:v>8.1941357079120607</c:v>
                </c:pt>
                <c:pt idx="4">
                  <c:v>0.92368868344346611</c:v>
                </c:pt>
                <c:pt idx="5">
                  <c:v>10.244740524234293</c:v>
                </c:pt>
                <c:pt idx="6">
                  <c:v>1.8593377996177092</c:v>
                </c:pt>
                <c:pt idx="7">
                  <c:v>2.6028767109984461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597-446B-BE9D-F873B51E1988}"/>
            </c:ext>
          </c:extLst>
        </c:ser>
        <c:dLbls>
          <c:showLegendKey val="0"/>
          <c:showVal val="0"/>
          <c:showCatName val="0"/>
          <c:showSerName val="0"/>
          <c:showPercent val="0"/>
          <c:showBubbleSize val="0"/>
        </c:dLbls>
        <c:gapWidth val="150"/>
        <c:axId val="687535649"/>
        <c:axId val="1207242210"/>
      </c:barChart>
      <c:catAx>
        <c:axId val="687535649"/>
        <c:scaling>
          <c:orientation val="minMax"/>
        </c:scaling>
        <c:delete val="0"/>
        <c:axPos val="b"/>
        <c:title>
          <c:tx>
            <c:rich>
              <a:bodyPr/>
              <a:lstStyle/>
              <a:p>
                <a:pPr lvl="0">
                  <a:defRPr sz="1000" b="1" i="0">
                    <a:solidFill>
                      <a:srgbClr val="000000"/>
                    </a:solidFill>
                    <a:latin typeface="+mn-lt"/>
                  </a:defRPr>
                </a:pPr>
                <a:r>
                  <a:rPr sz="1000" b="1" i="0">
                    <a:solidFill>
                      <a:srgbClr val="000000"/>
                    </a:solidFill>
                    <a:latin typeface="+mn-lt"/>
                  </a:rPr>
                  <a:t>Source Sectors</a:t>
                </a: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207242210"/>
        <c:crosses val="autoZero"/>
        <c:auto val="1"/>
        <c:lblAlgn val="ctr"/>
        <c:lblOffset val="100"/>
        <c:noMultiLvlLbl val="1"/>
      </c:catAx>
      <c:valAx>
        <c:axId val="1207242210"/>
        <c:scaling>
          <c:orientation val="minMax"/>
        </c:scaling>
        <c:delete val="0"/>
        <c:axPos val="l"/>
        <c:majorGridlines>
          <c:spPr>
            <a:ln>
              <a:solidFill>
                <a:srgbClr val="B7B7B7"/>
              </a:solidFill>
            </a:ln>
          </c:spPr>
        </c:majorGridlines>
        <c:title>
          <c:tx>
            <c:rich>
              <a:bodyPr/>
              <a:lstStyle/>
              <a:p>
                <a:pPr lvl="0">
                  <a:defRPr sz="1000" b="1" i="0">
                    <a:solidFill>
                      <a:srgbClr val="000000"/>
                    </a:solidFill>
                    <a:latin typeface="+mn-lt"/>
                  </a:defRPr>
                </a:pPr>
                <a:r>
                  <a:rPr sz="1000" b="1" i="0">
                    <a:solidFill>
                      <a:srgbClr val="000000"/>
                    </a:solidFill>
                    <a:latin typeface="+mn-lt"/>
                  </a:rPr>
                  <a:t>MMTCO2E</a:t>
                </a:r>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endParaRPr lang="en-US"/>
          </a:p>
        </c:txPr>
        <c:crossAx val="687535649"/>
        <c:crosses val="autoZero"/>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2011 GHG Emissions By Sector</a:t>
            </a:r>
          </a:p>
        </c:rich>
      </c:tx>
      <c:overlay val="0"/>
    </c:title>
    <c:autoTitleDeleted val="0"/>
    <c:plotArea>
      <c:layout/>
      <c:pieChart>
        <c:varyColors val="1"/>
        <c:ser>
          <c:idx val="0"/>
          <c:order val="0"/>
          <c:tx>
            <c:strRef>
              <c:f>Graphs!$E$176</c:f>
              <c:strCache>
                <c:ptCount val="1"/>
                <c:pt idx="0">
                  <c:v>2011</c:v>
                </c:pt>
              </c:strCache>
            </c:strRef>
          </c:tx>
          <c:dPt>
            <c:idx val="0"/>
            <c:bubble3D val="0"/>
            <c:spPr>
              <a:solidFill>
                <a:srgbClr val="9999FF"/>
              </a:solidFill>
            </c:spPr>
            <c:extLst>
              <c:ext xmlns:c16="http://schemas.microsoft.com/office/drawing/2014/chart" uri="{C3380CC4-5D6E-409C-BE32-E72D297353CC}">
                <c16:uniqueId val="{00000001-548E-44F7-BC2A-16616F4803BD}"/>
              </c:ext>
            </c:extLst>
          </c:dPt>
          <c:dPt>
            <c:idx val="1"/>
            <c:bubble3D val="0"/>
            <c:spPr>
              <a:solidFill>
                <a:srgbClr val="993366"/>
              </a:solidFill>
            </c:spPr>
            <c:extLst>
              <c:ext xmlns:c16="http://schemas.microsoft.com/office/drawing/2014/chart" uri="{C3380CC4-5D6E-409C-BE32-E72D297353CC}">
                <c16:uniqueId val="{00000003-548E-44F7-BC2A-16616F4803BD}"/>
              </c:ext>
            </c:extLst>
          </c:dPt>
          <c:dPt>
            <c:idx val="2"/>
            <c:bubble3D val="0"/>
            <c:spPr>
              <a:solidFill>
                <a:srgbClr val="FFFFCC"/>
              </a:solidFill>
            </c:spPr>
            <c:extLst>
              <c:ext xmlns:c16="http://schemas.microsoft.com/office/drawing/2014/chart" uri="{C3380CC4-5D6E-409C-BE32-E72D297353CC}">
                <c16:uniqueId val="{00000005-548E-44F7-BC2A-16616F4803BD}"/>
              </c:ext>
            </c:extLst>
          </c:dPt>
          <c:dPt>
            <c:idx val="3"/>
            <c:bubble3D val="0"/>
            <c:spPr>
              <a:solidFill>
                <a:srgbClr val="CCFFFF"/>
              </a:solidFill>
            </c:spPr>
            <c:extLst>
              <c:ext xmlns:c16="http://schemas.microsoft.com/office/drawing/2014/chart" uri="{C3380CC4-5D6E-409C-BE32-E72D297353CC}">
                <c16:uniqueId val="{00000007-548E-44F7-BC2A-16616F4803BD}"/>
              </c:ext>
            </c:extLst>
          </c:dPt>
          <c:dPt>
            <c:idx val="4"/>
            <c:bubble3D val="0"/>
            <c:spPr>
              <a:solidFill>
                <a:srgbClr val="660066"/>
              </a:solidFill>
            </c:spPr>
            <c:extLst>
              <c:ext xmlns:c16="http://schemas.microsoft.com/office/drawing/2014/chart" uri="{C3380CC4-5D6E-409C-BE32-E72D297353CC}">
                <c16:uniqueId val="{00000009-548E-44F7-BC2A-16616F4803BD}"/>
              </c:ext>
            </c:extLst>
          </c:dPt>
          <c:dPt>
            <c:idx val="5"/>
            <c:bubble3D val="0"/>
            <c:spPr>
              <a:solidFill>
                <a:srgbClr val="FF8080"/>
              </a:solidFill>
            </c:spPr>
            <c:extLst>
              <c:ext xmlns:c16="http://schemas.microsoft.com/office/drawing/2014/chart" uri="{C3380CC4-5D6E-409C-BE32-E72D297353CC}">
                <c16:uniqueId val="{0000000B-548E-44F7-BC2A-16616F4803BD}"/>
              </c:ext>
            </c:extLst>
          </c:dPt>
          <c:dPt>
            <c:idx val="6"/>
            <c:bubble3D val="0"/>
            <c:spPr>
              <a:solidFill>
                <a:srgbClr val="0066CC"/>
              </a:solidFill>
            </c:spPr>
            <c:extLst>
              <c:ext xmlns:c16="http://schemas.microsoft.com/office/drawing/2014/chart" uri="{C3380CC4-5D6E-409C-BE32-E72D297353CC}">
                <c16:uniqueId val="{0000000D-548E-44F7-BC2A-16616F4803BD}"/>
              </c:ext>
            </c:extLst>
          </c:dPt>
          <c:dPt>
            <c:idx val="7"/>
            <c:bubble3D val="0"/>
            <c:spPr>
              <a:solidFill>
                <a:srgbClr val="CCCCFF"/>
              </a:solidFill>
            </c:spPr>
            <c:extLst>
              <c:ext xmlns:c16="http://schemas.microsoft.com/office/drawing/2014/chart" uri="{C3380CC4-5D6E-409C-BE32-E72D297353CC}">
                <c16:uniqueId val="{0000000F-548E-44F7-BC2A-16616F4803BD}"/>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Graphs!$C$177:$C$184</c:f>
              <c:strCache>
                <c:ptCount val="8"/>
                <c:pt idx="0">
                  <c:v>Electricity Use (Consumption)</c:v>
                </c:pt>
                <c:pt idx="1">
                  <c:v>RCI Fuel Use</c:v>
                </c:pt>
                <c:pt idx="2">
                  <c:v>Transportation - Onroad</c:v>
                </c:pt>
                <c:pt idx="3">
                  <c:v>Transportation - Nonroad</c:v>
                </c:pt>
                <c:pt idx="4">
                  <c:v>Fossil Fuel Industry</c:v>
                </c:pt>
                <c:pt idx="5">
                  <c:v>Industrial Processes</c:v>
                </c:pt>
                <c:pt idx="6">
                  <c:v>Agriculture</c:v>
                </c:pt>
                <c:pt idx="7">
                  <c:v>Waste Management</c:v>
                </c:pt>
              </c:strCache>
            </c:strRef>
          </c:cat>
          <c:val>
            <c:numRef>
              <c:f>Graphs!$E$177:$E$184</c:f>
              <c:numCache>
                <c:formatCode>0.000000</c:formatCode>
                <c:ptCount val="8"/>
                <c:pt idx="0">
                  <c:v>37.860129294372811</c:v>
                </c:pt>
                <c:pt idx="1">
                  <c:v>17.000425590955349</c:v>
                </c:pt>
                <c:pt idx="2">
                  <c:v>28.24707569993187</c:v>
                </c:pt>
                <c:pt idx="3">
                  <c:v>7.022468457280195</c:v>
                </c:pt>
                <c:pt idx="4">
                  <c:v>0.83609220289311492</c:v>
                </c:pt>
                <c:pt idx="5">
                  <c:v>4.3985727448193961</c:v>
                </c:pt>
                <c:pt idx="6">
                  <c:v>1.6619477356257877</c:v>
                </c:pt>
                <c:pt idx="7">
                  <c:v>2.2571179512006849</c:v>
                </c:pt>
              </c:numCache>
            </c:numRef>
          </c:val>
          <c:extLst>
            <c:ext xmlns:c16="http://schemas.microsoft.com/office/drawing/2014/chart" uri="{C3380CC4-5D6E-409C-BE32-E72D297353CC}">
              <c16:uniqueId val="{00000010-548E-44F7-BC2A-16616F4803BD}"/>
            </c:ext>
          </c:extLst>
        </c:ser>
        <c:dLbls>
          <c:showLegendKey val="0"/>
          <c:showVal val="0"/>
          <c:showCatName val="0"/>
          <c:showSerName val="0"/>
          <c:showPercent val="0"/>
          <c:showBubbleSize val="0"/>
          <c:showLeaderLines val="1"/>
        </c:dLbls>
        <c:firstSliceAng val="0"/>
      </c:pieChart>
    </c:plotArea>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Figure ES-3</a:t>
            </a:r>
          </a:p>
        </c:rich>
      </c:tx>
      <c:overlay val="0"/>
    </c:title>
    <c:autoTitleDeleted val="0"/>
    <c:plotArea>
      <c:layout/>
      <c:areaChart>
        <c:grouping val="stacked"/>
        <c:varyColors val="1"/>
        <c:ser>
          <c:idx val="0"/>
          <c:order val="0"/>
          <c:tx>
            <c:strRef>
              <c:f>Graphs!$H$177</c:f>
              <c:strCache>
                <c:ptCount val="1"/>
                <c:pt idx="0">
                  <c:v>Electricity Use (Consumption)</c:v>
                </c:pt>
              </c:strCache>
            </c:strRef>
          </c:tx>
          <c:spPr>
            <a:solidFill>
              <a:srgbClr val="9999FF">
                <a:alpha val="30000"/>
              </a:srgbClr>
            </a:solidFill>
            <a:ln cmpd="sng">
              <a:solidFill>
                <a:srgbClr val="9999FF"/>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Graphs!$I$177:$W$177</c:f>
              <c:numCache>
                <c:formatCode>0.000000</c:formatCode>
                <c:ptCount val="15"/>
                <c:pt idx="0">
                  <c:v>42.179744588914474</c:v>
                </c:pt>
                <c:pt idx="1">
                  <c:v>50.159633983674567</c:v>
                </c:pt>
                <c:pt idx="2">
                  <c:v>50.485323301676758</c:v>
                </c:pt>
                <c:pt idx="3">
                  <c:v>49.045730065705428</c:v>
                </c:pt>
                <c:pt idx="4">
                  <c:v>51.921441838508308</c:v>
                </c:pt>
                <c:pt idx="5">
                  <c:v>37.860129294372811</c:v>
                </c:pt>
                <c:pt idx="6">
                  <c:v>54.163190510478508</c:v>
                </c:pt>
                <c:pt idx="7">
                  <c:v>54.587157573028939</c:v>
                </c:pt>
                <c:pt idx="8">
                  <c:v>54.964527636444579</c:v>
                </c:pt>
                <c:pt idx="9">
                  <c:v>55.276924419376485</c:v>
                </c:pt>
                <c:pt idx="10">
                  <c:v>56.281792817111608</c:v>
                </c:pt>
                <c:pt idx="11">
                  <c:v>56.885584918576626</c:v>
                </c:pt>
                <c:pt idx="12">
                  <c:v>57.496596273428729</c:v>
                </c:pt>
                <c:pt idx="13">
                  <c:v>58.133859458779312</c:v>
                </c:pt>
                <c:pt idx="14">
                  <c:v>58.792780404291136</c:v>
                </c:pt>
              </c:numCache>
            </c:numRef>
          </c:val>
          <c:extLst>
            <c:ext xmlns:c16="http://schemas.microsoft.com/office/drawing/2014/chart" uri="{C3380CC4-5D6E-409C-BE32-E72D297353CC}">
              <c16:uniqueId val="{00000000-A020-421F-8481-A803BC8554B4}"/>
            </c:ext>
          </c:extLst>
        </c:ser>
        <c:ser>
          <c:idx val="1"/>
          <c:order val="1"/>
          <c:tx>
            <c:strRef>
              <c:f>Graphs!$H$178</c:f>
              <c:strCache>
                <c:ptCount val="1"/>
                <c:pt idx="0">
                  <c:v>RCI Fuel Use</c:v>
                </c:pt>
              </c:strCache>
            </c:strRef>
          </c:tx>
          <c:spPr>
            <a:solidFill>
              <a:srgbClr val="993366">
                <a:alpha val="30000"/>
              </a:srgbClr>
            </a:solidFill>
            <a:ln cmpd="sng">
              <a:solidFill>
                <a:srgbClr val="993366"/>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Graphs!$I$178:$W$178</c:f>
              <c:numCache>
                <c:formatCode>0.000000</c:formatCode>
                <c:ptCount val="15"/>
                <c:pt idx="0">
                  <c:v>16.870796954329833</c:v>
                </c:pt>
                <c:pt idx="1">
                  <c:v>16.793814891553112</c:v>
                </c:pt>
                <c:pt idx="2">
                  <c:v>16.943946237574483</c:v>
                </c:pt>
                <c:pt idx="3">
                  <c:v>17.094077583595816</c:v>
                </c:pt>
                <c:pt idx="4">
                  <c:v>17.244208929617187</c:v>
                </c:pt>
                <c:pt idx="5">
                  <c:v>17.000425590955349</c:v>
                </c:pt>
                <c:pt idx="6">
                  <c:v>17.573780781280004</c:v>
                </c:pt>
                <c:pt idx="7">
                  <c:v>17.738566707111389</c:v>
                </c:pt>
                <c:pt idx="8">
                  <c:v>17.903352632942809</c:v>
                </c:pt>
                <c:pt idx="9">
                  <c:v>18.068138558774205</c:v>
                </c:pt>
                <c:pt idx="10">
                  <c:v>18.222960635657177</c:v>
                </c:pt>
                <c:pt idx="11">
                  <c:v>18.377782712540121</c:v>
                </c:pt>
                <c:pt idx="12">
                  <c:v>18.532604789423097</c:v>
                </c:pt>
                <c:pt idx="13">
                  <c:v>18.687426866306048</c:v>
                </c:pt>
                <c:pt idx="14">
                  <c:v>18.84224894318902</c:v>
                </c:pt>
              </c:numCache>
            </c:numRef>
          </c:val>
          <c:extLst>
            <c:ext xmlns:c16="http://schemas.microsoft.com/office/drawing/2014/chart" uri="{C3380CC4-5D6E-409C-BE32-E72D297353CC}">
              <c16:uniqueId val="{00000001-A020-421F-8481-A803BC8554B4}"/>
            </c:ext>
          </c:extLst>
        </c:ser>
        <c:ser>
          <c:idx val="2"/>
          <c:order val="2"/>
          <c:tx>
            <c:strRef>
              <c:f>Graphs!$H$179</c:f>
              <c:strCache>
                <c:ptCount val="1"/>
                <c:pt idx="0">
                  <c:v>Transportation - Onroad</c:v>
                </c:pt>
              </c:strCache>
            </c:strRef>
          </c:tx>
          <c:spPr>
            <a:solidFill>
              <a:srgbClr val="FFFFCC">
                <a:alpha val="30000"/>
              </a:srgbClr>
            </a:solidFill>
            <a:ln cmpd="sng">
              <a:solidFill>
                <a:srgbClr val="FFFFCC"/>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Graphs!$I$179:$W$179</c:f>
              <c:numCache>
                <c:formatCode>_(* #,##0.00_);_(* \(#,##0.00\);_(* "-"??_);_(@_)</c:formatCode>
                <c:ptCount val="15"/>
                <c:pt idx="0">
                  <c:v>29.669799999999999</c:v>
                </c:pt>
                <c:pt idx="1">
                  <c:v>30.306939553270801</c:v>
                </c:pt>
                <c:pt idx="2">
                  <c:v>30.944079106541608</c:v>
                </c:pt>
                <c:pt idx="3">
                  <c:v>31.581218659812407</c:v>
                </c:pt>
                <c:pt idx="4">
                  <c:v>32.218358213083214</c:v>
                </c:pt>
                <c:pt idx="5">
                  <c:v>28.24707569993187</c:v>
                </c:pt>
                <c:pt idx="6">
                  <c:v>33.492637319624819</c:v>
                </c:pt>
                <c:pt idx="7">
                  <c:v>34.129776872895626</c:v>
                </c:pt>
                <c:pt idx="8">
                  <c:v>34.766916426166425</c:v>
                </c:pt>
                <c:pt idx="9">
                  <c:v>35.404055979437231</c:v>
                </c:pt>
                <c:pt idx="10">
                  <c:v>36.041195532708038</c:v>
                </c:pt>
                <c:pt idx="11">
                  <c:v>36.678335085978837</c:v>
                </c:pt>
                <c:pt idx="12">
                  <c:v>37.315474639249643</c:v>
                </c:pt>
                <c:pt idx="13">
                  <c:v>37.952614192520436</c:v>
                </c:pt>
                <c:pt idx="14">
                  <c:v>38.589753745791242</c:v>
                </c:pt>
              </c:numCache>
            </c:numRef>
          </c:val>
          <c:extLst>
            <c:ext xmlns:c16="http://schemas.microsoft.com/office/drawing/2014/chart" uri="{C3380CC4-5D6E-409C-BE32-E72D297353CC}">
              <c16:uniqueId val="{00000002-A020-421F-8481-A803BC8554B4}"/>
            </c:ext>
          </c:extLst>
        </c:ser>
        <c:ser>
          <c:idx val="3"/>
          <c:order val="3"/>
          <c:tx>
            <c:strRef>
              <c:f>Graphs!$H$180</c:f>
              <c:strCache>
                <c:ptCount val="1"/>
                <c:pt idx="0">
                  <c:v>Transportation - Nonroad</c:v>
                </c:pt>
              </c:strCache>
            </c:strRef>
          </c:tx>
          <c:spPr>
            <a:solidFill>
              <a:srgbClr val="CCFFFF">
                <a:alpha val="30000"/>
              </a:srgbClr>
            </a:solidFill>
            <a:ln cmpd="sng">
              <a:solidFill>
                <a:srgbClr val="CCFFFF"/>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Graphs!$I$180:$W$180</c:f>
              <c:numCache>
                <c:formatCode>_(* #,##0.00_);_(* \(#,##0.00\);_(* "-"??_);_(@_)</c:formatCode>
                <c:ptCount val="15"/>
                <c:pt idx="0">
                  <c:v>5.8017938791854329</c:v>
                </c:pt>
                <c:pt idx="1">
                  <c:v>5.9280910316434721</c:v>
                </c:pt>
                <c:pt idx="2">
                  <c:v>6.123583602931391</c:v>
                </c:pt>
                <c:pt idx="3">
                  <c:v>6.2804537908531035</c:v>
                </c:pt>
                <c:pt idx="4">
                  <c:v>6.4398682903296738</c:v>
                </c:pt>
                <c:pt idx="5">
                  <c:v>7.022468457280195</c:v>
                </c:pt>
                <c:pt idx="6">
                  <c:v>6.7666726243195656</c:v>
                </c:pt>
                <c:pt idx="7">
                  <c:v>6.934241056217024</c:v>
                </c:pt>
                <c:pt idx="8">
                  <c:v>7.1047113981067058</c:v>
                </c:pt>
                <c:pt idx="9">
                  <c:v>7.2781800446502132</c:v>
                </c:pt>
                <c:pt idx="10">
                  <c:v>7.4547480436026419</c:v>
                </c:pt>
                <c:pt idx="11">
                  <c:v>7.6345184755157991</c:v>
                </c:pt>
                <c:pt idx="12">
                  <c:v>7.8175988729916597</c:v>
                </c:pt>
                <c:pt idx="13">
                  <c:v>8.0041000114670702</c:v>
                </c:pt>
                <c:pt idx="14">
                  <c:v>8.1941357079120607</c:v>
                </c:pt>
              </c:numCache>
            </c:numRef>
          </c:val>
          <c:extLst>
            <c:ext xmlns:c16="http://schemas.microsoft.com/office/drawing/2014/chart" uri="{C3380CC4-5D6E-409C-BE32-E72D297353CC}">
              <c16:uniqueId val="{00000003-A020-421F-8481-A803BC8554B4}"/>
            </c:ext>
          </c:extLst>
        </c:ser>
        <c:ser>
          <c:idx val="4"/>
          <c:order val="4"/>
          <c:tx>
            <c:strRef>
              <c:f>Graphs!$H$181</c:f>
              <c:strCache>
                <c:ptCount val="1"/>
                <c:pt idx="0">
                  <c:v>Fossil Fuel Industry</c:v>
                </c:pt>
              </c:strCache>
            </c:strRef>
          </c:tx>
          <c:spPr>
            <a:solidFill>
              <a:srgbClr val="660066">
                <a:alpha val="30000"/>
              </a:srgbClr>
            </a:solidFill>
            <a:ln cmpd="sng">
              <a:solidFill>
                <a:srgbClr val="660066"/>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Graphs!$I$181:$W$181</c:f>
              <c:numCache>
                <c:formatCode>0.00</c:formatCode>
                <c:ptCount val="15"/>
                <c:pt idx="0">
                  <c:v>0.94188463845198123</c:v>
                </c:pt>
                <c:pt idx="1">
                  <c:v>0.78746263901343827</c:v>
                </c:pt>
                <c:pt idx="2">
                  <c:v>0.79794156550805639</c:v>
                </c:pt>
                <c:pt idx="3">
                  <c:v>0.80842049200267452</c:v>
                </c:pt>
                <c:pt idx="4">
                  <c:v>0.81889941849728998</c:v>
                </c:pt>
                <c:pt idx="5">
                  <c:v>0.83609220289311492</c:v>
                </c:pt>
                <c:pt idx="6">
                  <c:v>0.83985727148652622</c:v>
                </c:pt>
                <c:pt idx="7">
                  <c:v>0.85033619798114457</c:v>
                </c:pt>
                <c:pt idx="8">
                  <c:v>0.86081512447575981</c:v>
                </c:pt>
                <c:pt idx="9">
                  <c:v>0.87129405097037793</c:v>
                </c:pt>
                <c:pt idx="10">
                  <c:v>0.88177297746499628</c:v>
                </c:pt>
                <c:pt idx="11">
                  <c:v>0.8922519039596144</c:v>
                </c:pt>
                <c:pt idx="12">
                  <c:v>0.90273083045422964</c:v>
                </c:pt>
                <c:pt idx="13">
                  <c:v>0.91320975694884776</c:v>
                </c:pt>
                <c:pt idx="14">
                  <c:v>0.92368868344346611</c:v>
                </c:pt>
              </c:numCache>
            </c:numRef>
          </c:val>
          <c:extLst>
            <c:ext xmlns:c16="http://schemas.microsoft.com/office/drawing/2014/chart" uri="{C3380CC4-5D6E-409C-BE32-E72D297353CC}">
              <c16:uniqueId val="{00000004-A020-421F-8481-A803BC8554B4}"/>
            </c:ext>
          </c:extLst>
        </c:ser>
        <c:ser>
          <c:idx val="5"/>
          <c:order val="5"/>
          <c:tx>
            <c:strRef>
              <c:f>Graphs!$H$182</c:f>
              <c:strCache>
                <c:ptCount val="1"/>
                <c:pt idx="0">
                  <c:v>Industrial Processes</c:v>
                </c:pt>
              </c:strCache>
            </c:strRef>
          </c:tx>
          <c:spPr>
            <a:solidFill>
              <a:srgbClr val="FF8080">
                <a:alpha val="30000"/>
              </a:srgbClr>
            </a:solidFill>
            <a:ln cmpd="sng">
              <a:solidFill>
                <a:srgbClr val="FF8080"/>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Graphs!$I$182:$W$182</c:f>
              <c:numCache>
                <c:formatCode>0.00</c:formatCode>
                <c:ptCount val="15"/>
                <c:pt idx="0">
                  <c:v>7.4410424236811288</c:v>
                </c:pt>
                <c:pt idx="1">
                  <c:v>7.6103215182007062</c:v>
                </c:pt>
                <c:pt idx="2">
                  <c:v>7.5629247285501258</c:v>
                </c:pt>
                <c:pt idx="3">
                  <c:v>8.0111768983214837</c:v>
                </c:pt>
                <c:pt idx="4">
                  <c:v>8.2113527537241051</c:v>
                </c:pt>
                <c:pt idx="5">
                  <c:v>4.3985727448193961</c:v>
                </c:pt>
                <c:pt idx="6">
                  <c:v>8.6117044645292697</c:v>
                </c:pt>
                <c:pt idx="7">
                  <c:v>8.811880319931868</c:v>
                </c:pt>
                <c:pt idx="8">
                  <c:v>9.0120561753344894</c:v>
                </c:pt>
                <c:pt idx="9">
                  <c:v>9.2122320307370913</c:v>
                </c:pt>
                <c:pt idx="10">
                  <c:v>9.4124078861397127</c:v>
                </c:pt>
                <c:pt idx="11">
                  <c:v>9.6125837415423181</c:v>
                </c:pt>
                <c:pt idx="12">
                  <c:v>9.8127595969449324</c:v>
                </c:pt>
                <c:pt idx="13">
                  <c:v>10.027485226517665</c:v>
                </c:pt>
                <c:pt idx="14">
                  <c:v>10.244740524234293</c:v>
                </c:pt>
              </c:numCache>
            </c:numRef>
          </c:val>
          <c:extLst>
            <c:ext xmlns:c16="http://schemas.microsoft.com/office/drawing/2014/chart" uri="{C3380CC4-5D6E-409C-BE32-E72D297353CC}">
              <c16:uniqueId val="{00000005-A020-421F-8481-A803BC8554B4}"/>
            </c:ext>
          </c:extLst>
        </c:ser>
        <c:ser>
          <c:idx val="6"/>
          <c:order val="6"/>
          <c:tx>
            <c:strRef>
              <c:f>Graphs!$H$183</c:f>
              <c:strCache>
                <c:ptCount val="1"/>
                <c:pt idx="0">
                  <c:v>Agriculture</c:v>
                </c:pt>
              </c:strCache>
            </c:strRef>
          </c:tx>
          <c:spPr>
            <a:solidFill>
              <a:srgbClr val="0066CC">
                <a:alpha val="30000"/>
              </a:srgbClr>
            </a:solidFill>
            <a:ln cmpd="sng">
              <a:solidFill>
                <a:srgbClr val="0066CC"/>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Graphs!$I$183:$W$183</c:f>
              <c:numCache>
                <c:formatCode>0.00</c:formatCode>
                <c:ptCount val="15"/>
                <c:pt idx="0">
                  <c:v>1.7714261577852333</c:v>
                </c:pt>
                <c:pt idx="1">
                  <c:v>1.5139029807623536</c:v>
                </c:pt>
                <c:pt idx="2">
                  <c:v>1.8456153540664655</c:v>
                </c:pt>
                <c:pt idx="3">
                  <c:v>1.7870513192900073</c:v>
                </c:pt>
                <c:pt idx="4">
                  <c:v>1.8484423382290367</c:v>
                </c:pt>
                <c:pt idx="5">
                  <c:v>1.6619477356257877</c:v>
                </c:pt>
                <c:pt idx="6">
                  <c:v>1.8498712898730012</c:v>
                </c:pt>
                <c:pt idx="7">
                  <c:v>1.7880680909904909</c:v>
                </c:pt>
                <c:pt idx="8">
                  <c:v>1.8511187465206678</c:v>
                </c:pt>
                <c:pt idx="9">
                  <c:v>1.7883742254687578</c:v>
                </c:pt>
                <c:pt idx="10">
                  <c:v>1.8526808785947622</c:v>
                </c:pt>
                <c:pt idx="11">
                  <c:v>1.7891893303721129</c:v>
                </c:pt>
                <c:pt idx="12">
                  <c:v>1.8551844921729721</c:v>
                </c:pt>
                <c:pt idx="13">
                  <c:v>1.7911286974967606</c:v>
                </c:pt>
                <c:pt idx="14">
                  <c:v>1.8593377996177092</c:v>
                </c:pt>
              </c:numCache>
            </c:numRef>
          </c:val>
          <c:extLst>
            <c:ext xmlns:c16="http://schemas.microsoft.com/office/drawing/2014/chart" uri="{C3380CC4-5D6E-409C-BE32-E72D297353CC}">
              <c16:uniqueId val="{00000006-A020-421F-8481-A803BC8554B4}"/>
            </c:ext>
          </c:extLst>
        </c:ser>
        <c:ser>
          <c:idx val="7"/>
          <c:order val="7"/>
          <c:tx>
            <c:strRef>
              <c:f>Graphs!$H$184</c:f>
              <c:strCache>
                <c:ptCount val="1"/>
                <c:pt idx="0">
                  <c:v>Waste Management</c:v>
                </c:pt>
              </c:strCache>
            </c:strRef>
          </c:tx>
          <c:spPr>
            <a:solidFill>
              <a:srgbClr val="CCCCFF">
                <a:alpha val="30000"/>
              </a:srgbClr>
            </a:solidFill>
            <a:ln cmpd="sng">
              <a:solidFill>
                <a:srgbClr val="CCCCFF"/>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Graphs!$I$184:$W$184</c:f>
              <c:numCache>
                <c:formatCode>0.00</c:formatCode>
                <c:ptCount val="15"/>
                <c:pt idx="0">
                  <c:v>2.2571179512006849</c:v>
                </c:pt>
                <c:pt idx="1">
                  <c:v>2.2757751464297691</c:v>
                </c:pt>
                <c:pt idx="2">
                  <c:v>2.2981771806560092</c:v>
                </c:pt>
                <c:pt idx="3">
                  <c:v>2.3205792148822502</c:v>
                </c:pt>
                <c:pt idx="4">
                  <c:v>2.3429812491084907</c:v>
                </c:pt>
                <c:pt idx="5">
                  <c:v>2.2571179512006849</c:v>
                </c:pt>
                <c:pt idx="6">
                  <c:v>2.3978286853693773</c:v>
                </c:pt>
                <c:pt idx="7">
                  <c:v>2.4257104100909164</c:v>
                </c:pt>
                <c:pt idx="8">
                  <c:v>2.453592134812455</c:v>
                </c:pt>
                <c:pt idx="9">
                  <c:v>2.4814738595339949</c:v>
                </c:pt>
                <c:pt idx="10">
                  <c:v>2.5062526777248353</c:v>
                </c:pt>
                <c:pt idx="11">
                  <c:v>2.5304086860432382</c:v>
                </c:pt>
                <c:pt idx="12">
                  <c:v>2.5545646943616407</c:v>
                </c:pt>
                <c:pt idx="13">
                  <c:v>2.5787207026800432</c:v>
                </c:pt>
                <c:pt idx="14">
                  <c:v>2.6028767109984461</c:v>
                </c:pt>
              </c:numCache>
            </c:numRef>
          </c:val>
          <c:extLst>
            <c:ext xmlns:c16="http://schemas.microsoft.com/office/drawing/2014/chart" uri="{C3380CC4-5D6E-409C-BE32-E72D297353CC}">
              <c16:uniqueId val="{00000007-A020-421F-8481-A803BC8554B4}"/>
            </c:ext>
          </c:extLst>
        </c:ser>
        <c:dLbls>
          <c:showLegendKey val="0"/>
          <c:showVal val="0"/>
          <c:showCatName val="0"/>
          <c:showSerName val="0"/>
          <c:showPercent val="0"/>
          <c:showBubbleSize val="0"/>
        </c:dLbls>
        <c:axId val="582254404"/>
        <c:axId val="898808815"/>
      </c:areaChart>
      <c:catAx>
        <c:axId val="582254404"/>
        <c:scaling>
          <c:orientation val="minMax"/>
        </c:scaling>
        <c:delete val="0"/>
        <c:axPos val="b"/>
        <c:title>
          <c:tx>
            <c:rich>
              <a:bodyPr/>
              <a:lstStyle/>
              <a:p>
                <a:pPr lvl="0">
                  <a:defRPr sz="1200" b="1" i="0">
                    <a:solidFill>
                      <a:srgbClr val="000000"/>
                    </a:solidFill>
                    <a:latin typeface="+mn-lt"/>
                  </a:defRPr>
                </a:pPr>
                <a:r>
                  <a:rPr sz="1200" b="1" i="0">
                    <a:solidFill>
                      <a:srgbClr val="000000"/>
                    </a:solidFill>
                    <a:latin typeface="+mn-lt"/>
                  </a:rPr>
                  <a:t>Year</a:t>
                </a: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898808815"/>
        <c:crosses val="autoZero"/>
        <c:auto val="1"/>
        <c:lblAlgn val="ctr"/>
        <c:lblOffset val="100"/>
        <c:noMultiLvlLbl val="1"/>
      </c:catAx>
      <c:valAx>
        <c:axId val="898808815"/>
        <c:scaling>
          <c:orientation val="minMax"/>
        </c:scaling>
        <c:delete val="0"/>
        <c:axPos val="l"/>
        <c:majorGridlines>
          <c:spPr>
            <a:ln>
              <a:solidFill>
                <a:srgbClr val="B7B7B7"/>
              </a:solidFill>
            </a:ln>
          </c:spPr>
        </c:majorGridlines>
        <c:title>
          <c:tx>
            <c:rich>
              <a:bodyPr/>
              <a:lstStyle/>
              <a:p>
                <a:pPr lvl="0">
                  <a:defRPr sz="1200" b="1" i="0">
                    <a:solidFill>
                      <a:srgbClr val="000000"/>
                    </a:solidFill>
                    <a:latin typeface="+mn-lt"/>
                  </a:defRPr>
                </a:pPr>
                <a:r>
                  <a:rPr sz="1200" b="1" i="0">
                    <a:solidFill>
                      <a:srgbClr val="000000"/>
                    </a:solidFill>
                    <a:latin typeface="+mn-lt"/>
                  </a:rPr>
                  <a:t>MMTCO2E</a:t>
                </a:r>
              </a:p>
            </c:rich>
          </c:tx>
          <c:overlay val="0"/>
        </c:title>
        <c:numFmt formatCode="0.000000" sourceLinked="1"/>
        <c:majorTickMark val="none"/>
        <c:minorTickMark val="none"/>
        <c:tickLblPos val="nextTo"/>
        <c:spPr>
          <a:ln/>
        </c:spPr>
        <c:txPr>
          <a:bodyPr/>
          <a:lstStyle/>
          <a:p>
            <a:pPr lvl="0">
              <a:defRPr b="0" i="0">
                <a:solidFill>
                  <a:srgbClr val="000000"/>
                </a:solidFill>
                <a:latin typeface="+mn-lt"/>
              </a:defRPr>
            </a:pPr>
            <a:endParaRPr lang="en-US"/>
          </a:p>
        </c:txPr>
        <c:crossAx val="582254404"/>
        <c:crosses val="autoZero"/>
        <c:crossBetween val="midCat"/>
      </c:valAx>
    </c:plotArea>
    <c:legend>
      <c:legendPos val="t"/>
      <c:overlay val="0"/>
      <c:txPr>
        <a:bodyPr/>
        <a:lstStyle/>
        <a:p>
          <a:pPr lvl="0">
            <a:defRPr b="0" i="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Figure ES-3</a:t>
            </a:r>
          </a:p>
        </c:rich>
      </c:tx>
      <c:overlay val="0"/>
    </c:title>
    <c:autoTitleDeleted val="0"/>
    <c:plotArea>
      <c:layout/>
      <c:areaChart>
        <c:grouping val="stacked"/>
        <c:varyColors val="1"/>
        <c:ser>
          <c:idx val="0"/>
          <c:order val="0"/>
          <c:tx>
            <c:strRef>
              <c:f>Graphs!$H$187</c:f>
              <c:strCache>
                <c:ptCount val="1"/>
                <c:pt idx="0">
                  <c:v>Electricity Use (Consumption)</c:v>
                </c:pt>
              </c:strCache>
            </c:strRef>
          </c:tx>
          <c:spPr>
            <a:solidFill>
              <a:srgbClr val="9999FF">
                <a:alpha val="30000"/>
              </a:srgbClr>
            </a:solidFill>
            <a:ln cmpd="sng">
              <a:solidFill>
                <a:srgbClr val="9999FF"/>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Graphs!$I$187:$W$187</c:f>
              <c:numCache>
                <c:formatCode>0.000000</c:formatCode>
                <c:ptCount val="15"/>
                <c:pt idx="0">
                  <c:v>42.179744588914474</c:v>
                </c:pt>
                <c:pt idx="1">
                  <c:v>50.159633983674567</c:v>
                </c:pt>
                <c:pt idx="2">
                  <c:v>50.485323301676758</c:v>
                </c:pt>
                <c:pt idx="3">
                  <c:v>49.045730065705428</c:v>
                </c:pt>
                <c:pt idx="4">
                  <c:v>51.921441838508308</c:v>
                </c:pt>
                <c:pt idx="5">
                  <c:v>37.860129294372811</c:v>
                </c:pt>
                <c:pt idx="6">
                  <c:v>54.163190510478508</c:v>
                </c:pt>
                <c:pt idx="7">
                  <c:v>54.587157573028939</c:v>
                </c:pt>
                <c:pt idx="8">
                  <c:v>54.964527636444579</c:v>
                </c:pt>
                <c:pt idx="9">
                  <c:v>55.276924419376485</c:v>
                </c:pt>
                <c:pt idx="10">
                  <c:v>56.281792817111608</c:v>
                </c:pt>
                <c:pt idx="11">
                  <c:v>56.885584918576626</c:v>
                </c:pt>
                <c:pt idx="12">
                  <c:v>57.496596273428729</c:v>
                </c:pt>
                <c:pt idx="13">
                  <c:v>58.133859458779312</c:v>
                </c:pt>
                <c:pt idx="14">
                  <c:v>58.792780404291136</c:v>
                </c:pt>
              </c:numCache>
            </c:numRef>
          </c:val>
          <c:extLst>
            <c:ext xmlns:c16="http://schemas.microsoft.com/office/drawing/2014/chart" uri="{C3380CC4-5D6E-409C-BE32-E72D297353CC}">
              <c16:uniqueId val="{00000000-A141-4EBE-A617-3165EE7CF038}"/>
            </c:ext>
          </c:extLst>
        </c:ser>
        <c:ser>
          <c:idx val="1"/>
          <c:order val="1"/>
          <c:tx>
            <c:strRef>
              <c:f>Graphs!$H$188</c:f>
              <c:strCache>
                <c:ptCount val="1"/>
                <c:pt idx="0">
                  <c:v>RCI Fuel Use</c:v>
                </c:pt>
              </c:strCache>
            </c:strRef>
          </c:tx>
          <c:spPr>
            <a:solidFill>
              <a:srgbClr val="993366">
                <a:alpha val="30000"/>
              </a:srgbClr>
            </a:solidFill>
            <a:ln cmpd="sng">
              <a:solidFill>
                <a:srgbClr val="993366"/>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Graphs!$I$188:$W$188</c:f>
              <c:numCache>
                <c:formatCode>0.000000</c:formatCode>
                <c:ptCount val="15"/>
                <c:pt idx="0">
                  <c:v>16.870796954329833</c:v>
                </c:pt>
                <c:pt idx="1">
                  <c:v>16.793814891553112</c:v>
                </c:pt>
                <c:pt idx="2">
                  <c:v>16.943946237574483</c:v>
                </c:pt>
                <c:pt idx="3">
                  <c:v>17.094077583595816</c:v>
                </c:pt>
                <c:pt idx="4">
                  <c:v>17.244208929617187</c:v>
                </c:pt>
                <c:pt idx="5">
                  <c:v>17.000425590955349</c:v>
                </c:pt>
                <c:pt idx="6">
                  <c:v>17.573780781280004</c:v>
                </c:pt>
                <c:pt idx="7">
                  <c:v>17.738566707111389</c:v>
                </c:pt>
                <c:pt idx="8">
                  <c:v>17.903352632942809</c:v>
                </c:pt>
                <c:pt idx="9">
                  <c:v>18.068138558774205</c:v>
                </c:pt>
                <c:pt idx="10">
                  <c:v>18.222960635657177</c:v>
                </c:pt>
                <c:pt idx="11">
                  <c:v>18.377782712540121</c:v>
                </c:pt>
                <c:pt idx="12">
                  <c:v>18.532604789423097</c:v>
                </c:pt>
                <c:pt idx="13">
                  <c:v>18.687426866306048</c:v>
                </c:pt>
                <c:pt idx="14">
                  <c:v>18.84224894318902</c:v>
                </c:pt>
              </c:numCache>
            </c:numRef>
          </c:val>
          <c:extLst>
            <c:ext xmlns:c16="http://schemas.microsoft.com/office/drawing/2014/chart" uri="{C3380CC4-5D6E-409C-BE32-E72D297353CC}">
              <c16:uniqueId val="{00000001-A141-4EBE-A617-3165EE7CF038}"/>
            </c:ext>
          </c:extLst>
        </c:ser>
        <c:ser>
          <c:idx val="2"/>
          <c:order val="2"/>
          <c:tx>
            <c:strRef>
              <c:f>Graphs!$I$188</c:f>
              <c:strCache>
                <c:ptCount val="1"/>
                <c:pt idx="0">
                  <c:v>16.870797</c:v>
                </c:pt>
              </c:strCache>
            </c:strRef>
          </c:tx>
          <c:spPr>
            <a:solidFill>
              <a:srgbClr val="FFFFCC">
                <a:alpha val="30000"/>
              </a:srgbClr>
            </a:solidFill>
            <a:ln cmpd="sng">
              <a:solidFill>
                <a:srgbClr val="FFFFCC"/>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Graphs!$J$188:$W$188</c:f>
              <c:numCache>
                <c:formatCode>0.000000</c:formatCode>
                <c:ptCount val="14"/>
                <c:pt idx="0">
                  <c:v>16.793814891553112</c:v>
                </c:pt>
                <c:pt idx="1">
                  <c:v>16.943946237574483</c:v>
                </c:pt>
                <c:pt idx="2">
                  <c:v>17.094077583595816</c:v>
                </c:pt>
                <c:pt idx="3">
                  <c:v>17.244208929617187</c:v>
                </c:pt>
                <c:pt idx="4">
                  <c:v>17.000425590955349</c:v>
                </c:pt>
                <c:pt idx="5">
                  <c:v>17.573780781280004</c:v>
                </c:pt>
                <c:pt idx="6">
                  <c:v>17.738566707111389</c:v>
                </c:pt>
                <c:pt idx="7">
                  <c:v>17.903352632942809</c:v>
                </c:pt>
                <c:pt idx="8">
                  <c:v>18.068138558774205</c:v>
                </c:pt>
                <c:pt idx="9">
                  <c:v>18.222960635657177</c:v>
                </c:pt>
                <c:pt idx="10">
                  <c:v>18.377782712540121</c:v>
                </c:pt>
                <c:pt idx="11">
                  <c:v>18.532604789423097</c:v>
                </c:pt>
                <c:pt idx="12">
                  <c:v>18.687426866306048</c:v>
                </c:pt>
                <c:pt idx="13">
                  <c:v>18.84224894318902</c:v>
                </c:pt>
              </c:numCache>
            </c:numRef>
          </c:val>
          <c:extLst>
            <c:ext xmlns:c16="http://schemas.microsoft.com/office/drawing/2014/chart" uri="{C3380CC4-5D6E-409C-BE32-E72D297353CC}">
              <c16:uniqueId val="{00000002-A141-4EBE-A617-3165EE7CF038}"/>
            </c:ext>
          </c:extLst>
        </c:ser>
        <c:ser>
          <c:idx val="3"/>
          <c:order val="3"/>
          <c:tx>
            <c:strRef>
              <c:f>Graphs!$H$190</c:f>
              <c:strCache>
                <c:ptCount val="1"/>
                <c:pt idx="0">
                  <c:v>Transportation - Nonroad</c:v>
                </c:pt>
              </c:strCache>
            </c:strRef>
          </c:tx>
          <c:spPr>
            <a:solidFill>
              <a:srgbClr val="CCFFFF">
                <a:alpha val="30000"/>
              </a:srgbClr>
            </a:solidFill>
            <a:ln cmpd="sng">
              <a:solidFill>
                <a:srgbClr val="CCFFFF"/>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Graphs!$I$190:$W$190</c:f>
              <c:numCache>
                <c:formatCode>_(* #,##0.00_);_(* \(#,##0.00\);_(* "-"??_);_(@_)</c:formatCode>
                <c:ptCount val="15"/>
                <c:pt idx="0">
                  <c:v>5.8017938791854329</c:v>
                </c:pt>
                <c:pt idx="1">
                  <c:v>5.9280910316434721</c:v>
                </c:pt>
                <c:pt idx="2">
                  <c:v>6.123583602931391</c:v>
                </c:pt>
                <c:pt idx="3">
                  <c:v>6.2804537908531035</c:v>
                </c:pt>
                <c:pt idx="4">
                  <c:v>6.4398682903296738</c:v>
                </c:pt>
                <c:pt idx="5">
                  <c:v>7.022468457280195</c:v>
                </c:pt>
                <c:pt idx="6">
                  <c:v>6.7666726243195656</c:v>
                </c:pt>
                <c:pt idx="7">
                  <c:v>6.934241056217024</c:v>
                </c:pt>
                <c:pt idx="8">
                  <c:v>7.1047113981067058</c:v>
                </c:pt>
                <c:pt idx="9">
                  <c:v>7.2781800446502132</c:v>
                </c:pt>
                <c:pt idx="10">
                  <c:v>7.4547480436026419</c:v>
                </c:pt>
                <c:pt idx="11">
                  <c:v>7.6345184755157991</c:v>
                </c:pt>
                <c:pt idx="12">
                  <c:v>7.8175988729916597</c:v>
                </c:pt>
                <c:pt idx="13">
                  <c:v>8.0041000114670702</c:v>
                </c:pt>
                <c:pt idx="14">
                  <c:v>8.1941357079120607</c:v>
                </c:pt>
              </c:numCache>
            </c:numRef>
          </c:val>
          <c:extLst>
            <c:ext xmlns:c16="http://schemas.microsoft.com/office/drawing/2014/chart" uri="{C3380CC4-5D6E-409C-BE32-E72D297353CC}">
              <c16:uniqueId val="{00000003-A141-4EBE-A617-3165EE7CF038}"/>
            </c:ext>
          </c:extLst>
        </c:ser>
        <c:ser>
          <c:idx val="4"/>
          <c:order val="4"/>
          <c:tx>
            <c:strRef>
              <c:f>Graphs!$H$191</c:f>
              <c:strCache>
                <c:ptCount val="1"/>
                <c:pt idx="0">
                  <c:v>Fossil Fuel Industry</c:v>
                </c:pt>
              </c:strCache>
            </c:strRef>
          </c:tx>
          <c:spPr>
            <a:solidFill>
              <a:srgbClr val="660066">
                <a:alpha val="30000"/>
              </a:srgbClr>
            </a:solidFill>
            <a:ln cmpd="sng">
              <a:solidFill>
                <a:srgbClr val="660066"/>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Graphs!$I$191:$W$191</c:f>
              <c:numCache>
                <c:formatCode>0.00</c:formatCode>
                <c:ptCount val="15"/>
                <c:pt idx="0">
                  <c:v>0.94188463845198123</c:v>
                </c:pt>
                <c:pt idx="1">
                  <c:v>0.78746263901343827</c:v>
                </c:pt>
                <c:pt idx="2">
                  <c:v>0.79794156550805639</c:v>
                </c:pt>
                <c:pt idx="3">
                  <c:v>0.80842049200267452</c:v>
                </c:pt>
                <c:pt idx="4">
                  <c:v>0.81889941849728998</c:v>
                </c:pt>
                <c:pt idx="5">
                  <c:v>0.83609220289311492</c:v>
                </c:pt>
                <c:pt idx="6">
                  <c:v>0.83985727148652622</c:v>
                </c:pt>
                <c:pt idx="7">
                  <c:v>0.85033619798114457</c:v>
                </c:pt>
                <c:pt idx="8">
                  <c:v>0.86081512447575981</c:v>
                </c:pt>
                <c:pt idx="9">
                  <c:v>0.87129405097037793</c:v>
                </c:pt>
                <c:pt idx="10">
                  <c:v>0.88177297746499628</c:v>
                </c:pt>
                <c:pt idx="11">
                  <c:v>0.8922519039596144</c:v>
                </c:pt>
                <c:pt idx="12">
                  <c:v>0.90273083045422964</c:v>
                </c:pt>
                <c:pt idx="13">
                  <c:v>0.91320975694884776</c:v>
                </c:pt>
                <c:pt idx="14">
                  <c:v>0.92368868344346611</c:v>
                </c:pt>
              </c:numCache>
            </c:numRef>
          </c:val>
          <c:extLst>
            <c:ext xmlns:c16="http://schemas.microsoft.com/office/drawing/2014/chart" uri="{C3380CC4-5D6E-409C-BE32-E72D297353CC}">
              <c16:uniqueId val="{00000004-A141-4EBE-A617-3165EE7CF038}"/>
            </c:ext>
          </c:extLst>
        </c:ser>
        <c:ser>
          <c:idx val="5"/>
          <c:order val="5"/>
          <c:tx>
            <c:strRef>
              <c:f>Graphs!$H$192</c:f>
              <c:strCache>
                <c:ptCount val="1"/>
                <c:pt idx="0">
                  <c:v>Industrial Processes</c:v>
                </c:pt>
              </c:strCache>
            </c:strRef>
          </c:tx>
          <c:spPr>
            <a:solidFill>
              <a:srgbClr val="FF8080">
                <a:alpha val="30000"/>
              </a:srgbClr>
            </a:solidFill>
            <a:ln cmpd="sng">
              <a:solidFill>
                <a:srgbClr val="FF8080"/>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Graphs!$I$192:$W$192</c:f>
              <c:numCache>
                <c:formatCode>0.00</c:formatCode>
                <c:ptCount val="15"/>
                <c:pt idx="0">
                  <c:v>7.4410424236811288</c:v>
                </c:pt>
                <c:pt idx="1">
                  <c:v>7.6103215182007062</c:v>
                </c:pt>
                <c:pt idx="2">
                  <c:v>7.5629247285501258</c:v>
                </c:pt>
                <c:pt idx="3">
                  <c:v>8.0111768983214837</c:v>
                </c:pt>
                <c:pt idx="4">
                  <c:v>8.2113527537241051</c:v>
                </c:pt>
                <c:pt idx="5">
                  <c:v>4.3985727448193961</c:v>
                </c:pt>
                <c:pt idx="6">
                  <c:v>8.6117044645292697</c:v>
                </c:pt>
                <c:pt idx="7">
                  <c:v>8.811880319931868</c:v>
                </c:pt>
                <c:pt idx="8">
                  <c:v>9.0120561753344894</c:v>
                </c:pt>
                <c:pt idx="9">
                  <c:v>9.2122320307370913</c:v>
                </c:pt>
                <c:pt idx="10">
                  <c:v>9.4124078861397127</c:v>
                </c:pt>
                <c:pt idx="11">
                  <c:v>9.6125837415423181</c:v>
                </c:pt>
                <c:pt idx="12">
                  <c:v>9.8127595969449324</c:v>
                </c:pt>
                <c:pt idx="13">
                  <c:v>10.027485226517665</c:v>
                </c:pt>
                <c:pt idx="14">
                  <c:v>10.244740524234293</c:v>
                </c:pt>
              </c:numCache>
            </c:numRef>
          </c:val>
          <c:extLst>
            <c:ext xmlns:c16="http://schemas.microsoft.com/office/drawing/2014/chart" uri="{C3380CC4-5D6E-409C-BE32-E72D297353CC}">
              <c16:uniqueId val="{00000005-A141-4EBE-A617-3165EE7CF038}"/>
            </c:ext>
          </c:extLst>
        </c:ser>
        <c:ser>
          <c:idx val="6"/>
          <c:order val="6"/>
          <c:tx>
            <c:strRef>
              <c:f>Graphs!$H$193</c:f>
              <c:strCache>
                <c:ptCount val="1"/>
                <c:pt idx="0">
                  <c:v>Agriculture</c:v>
                </c:pt>
              </c:strCache>
            </c:strRef>
          </c:tx>
          <c:spPr>
            <a:solidFill>
              <a:srgbClr val="0066CC">
                <a:alpha val="30000"/>
              </a:srgbClr>
            </a:solidFill>
            <a:ln cmpd="sng">
              <a:solidFill>
                <a:srgbClr val="0066CC"/>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Graphs!$I$193:$W$193</c:f>
              <c:numCache>
                <c:formatCode>0.00</c:formatCode>
                <c:ptCount val="15"/>
                <c:pt idx="0">
                  <c:v>1.7714261577852333</c:v>
                </c:pt>
                <c:pt idx="1">
                  <c:v>1.5139029807623536</c:v>
                </c:pt>
                <c:pt idx="2">
                  <c:v>1.8456153540664655</c:v>
                </c:pt>
                <c:pt idx="3">
                  <c:v>1.7870513192900073</c:v>
                </c:pt>
                <c:pt idx="4">
                  <c:v>1.8484423382290367</c:v>
                </c:pt>
                <c:pt idx="5">
                  <c:v>1.6619477356257877</c:v>
                </c:pt>
                <c:pt idx="6">
                  <c:v>1.8498712898730012</c:v>
                </c:pt>
                <c:pt idx="7">
                  <c:v>1.7880680909904909</c:v>
                </c:pt>
                <c:pt idx="8">
                  <c:v>1.8511187465206678</c:v>
                </c:pt>
                <c:pt idx="9">
                  <c:v>1.7883742254687578</c:v>
                </c:pt>
                <c:pt idx="10">
                  <c:v>1.8526808785947622</c:v>
                </c:pt>
                <c:pt idx="11">
                  <c:v>1.7891893303721129</c:v>
                </c:pt>
                <c:pt idx="12">
                  <c:v>1.8551844921729721</c:v>
                </c:pt>
                <c:pt idx="13">
                  <c:v>1.7911286974967606</c:v>
                </c:pt>
                <c:pt idx="14">
                  <c:v>1.8593377996177092</c:v>
                </c:pt>
              </c:numCache>
            </c:numRef>
          </c:val>
          <c:extLst>
            <c:ext xmlns:c16="http://schemas.microsoft.com/office/drawing/2014/chart" uri="{C3380CC4-5D6E-409C-BE32-E72D297353CC}">
              <c16:uniqueId val="{00000006-A141-4EBE-A617-3165EE7CF038}"/>
            </c:ext>
          </c:extLst>
        </c:ser>
        <c:ser>
          <c:idx val="7"/>
          <c:order val="7"/>
          <c:tx>
            <c:strRef>
              <c:f>Graphs!$H$194</c:f>
              <c:strCache>
                <c:ptCount val="1"/>
                <c:pt idx="0">
                  <c:v>Waste Management</c:v>
                </c:pt>
              </c:strCache>
            </c:strRef>
          </c:tx>
          <c:spPr>
            <a:solidFill>
              <a:srgbClr val="CCCCFF">
                <a:alpha val="30000"/>
              </a:srgbClr>
            </a:solidFill>
            <a:ln cmpd="sng">
              <a:solidFill>
                <a:srgbClr val="CCCCFF"/>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Graphs!$I$194:$W$194</c:f>
              <c:numCache>
                <c:formatCode>0.00</c:formatCode>
                <c:ptCount val="15"/>
                <c:pt idx="0">
                  <c:v>2.2571179512006849</c:v>
                </c:pt>
                <c:pt idx="1">
                  <c:v>2.2757751464297691</c:v>
                </c:pt>
                <c:pt idx="2">
                  <c:v>2.2981771806560092</c:v>
                </c:pt>
                <c:pt idx="3">
                  <c:v>2.3205792148822502</c:v>
                </c:pt>
                <c:pt idx="4">
                  <c:v>2.3429812491084907</c:v>
                </c:pt>
                <c:pt idx="5">
                  <c:v>2.2571179512006849</c:v>
                </c:pt>
                <c:pt idx="6">
                  <c:v>2.3978286853693773</c:v>
                </c:pt>
                <c:pt idx="7">
                  <c:v>2.4257104100909164</c:v>
                </c:pt>
                <c:pt idx="8">
                  <c:v>2.453592134812455</c:v>
                </c:pt>
                <c:pt idx="9">
                  <c:v>2.4814738595339949</c:v>
                </c:pt>
                <c:pt idx="10">
                  <c:v>2.5062526777248353</c:v>
                </c:pt>
                <c:pt idx="11">
                  <c:v>2.5304086860432382</c:v>
                </c:pt>
                <c:pt idx="12">
                  <c:v>2.5545646943616407</c:v>
                </c:pt>
                <c:pt idx="13">
                  <c:v>2.5787207026800432</c:v>
                </c:pt>
                <c:pt idx="14">
                  <c:v>2.6028767109984461</c:v>
                </c:pt>
              </c:numCache>
            </c:numRef>
          </c:val>
          <c:extLst>
            <c:ext xmlns:c16="http://schemas.microsoft.com/office/drawing/2014/chart" uri="{C3380CC4-5D6E-409C-BE32-E72D297353CC}">
              <c16:uniqueId val="{00000007-A141-4EBE-A617-3165EE7CF038}"/>
            </c:ext>
          </c:extLst>
        </c:ser>
        <c:dLbls>
          <c:showLegendKey val="0"/>
          <c:showVal val="0"/>
          <c:showCatName val="0"/>
          <c:showSerName val="0"/>
          <c:showPercent val="0"/>
          <c:showBubbleSize val="0"/>
        </c:dLbls>
        <c:axId val="1404113826"/>
        <c:axId val="2069921937"/>
      </c:areaChart>
      <c:catAx>
        <c:axId val="1404113826"/>
        <c:scaling>
          <c:orientation val="minMax"/>
        </c:scaling>
        <c:delete val="0"/>
        <c:axPos val="b"/>
        <c:title>
          <c:tx>
            <c:rich>
              <a:bodyPr/>
              <a:lstStyle/>
              <a:p>
                <a:pPr lvl="0">
                  <a:defRPr sz="1000" b="1" i="0">
                    <a:solidFill>
                      <a:srgbClr val="000000"/>
                    </a:solidFill>
                    <a:latin typeface="+mn-lt"/>
                  </a:defRPr>
                </a:pPr>
                <a:r>
                  <a:rPr sz="1000" b="1" i="0">
                    <a:solidFill>
                      <a:srgbClr val="000000"/>
                    </a:solidFill>
                    <a:latin typeface="+mn-lt"/>
                  </a:rPr>
                  <a:t>Years</a:t>
                </a: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2069921937"/>
        <c:crosses val="autoZero"/>
        <c:auto val="1"/>
        <c:lblAlgn val="ctr"/>
        <c:lblOffset val="100"/>
        <c:noMultiLvlLbl val="1"/>
      </c:catAx>
      <c:valAx>
        <c:axId val="2069921937"/>
        <c:scaling>
          <c:orientation val="minMax"/>
        </c:scaling>
        <c:delete val="0"/>
        <c:axPos val="l"/>
        <c:majorGridlines>
          <c:spPr>
            <a:ln>
              <a:solidFill>
                <a:srgbClr val="B7B7B7"/>
              </a:solidFill>
            </a:ln>
          </c:spPr>
        </c:majorGridlines>
        <c:title>
          <c:tx>
            <c:rich>
              <a:bodyPr/>
              <a:lstStyle/>
              <a:p>
                <a:pPr lvl="0">
                  <a:defRPr sz="1000" b="1" i="0">
                    <a:solidFill>
                      <a:srgbClr val="000000"/>
                    </a:solidFill>
                    <a:latin typeface="+mn-lt"/>
                  </a:defRPr>
                </a:pPr>
                <a:r>
                  <a:rPr sz="1000" b="1" i="0">
                    <a:solidFill>
                      <a:srgbClr val="000000"/>
                    </a:solidFill>
                    <a:latin typeface="+mn-lt"/>
                  </a:rPr>
                  <a:t>MMTCO2E</a:t>
                </a:r>
              </a:p>
            </c:rich>
          </c:tx>
          <c:overlay val="0"/>
        </c:title>
        <c:numFmt formatCode="0.000000" sourceLinked="1"/>
        <c:majorTickMark val="none"/>
        <c:minorTickMark val="none"/>
        <c:tickLblPos val="nextTo"/>
        <c:spPr>
          <a:ln/>
        </c:spPr>
        <c:txPr>
          <a:bodyPr/>
          <a:lstStyle/>
          <a:p>
            <a:pPr lvl="0">
              <a:defRPr b="0" i="0">
                <a:solidFill>
                  <a:srgbClr val="000000"/>
                </a:solidFill>
                <a:latin typeface="+mn-lt"/>
              </a:defRPr>
            </a:pPr>
            <a:endParaRPr lang="en-US"/>
          </a:p>
        </c:txPr>
        <c:crossAx val="1404113826"/>
        <c:crosses val="autoZero"/>
        <c:crossBetween val="midCat"/>
      </c:valAx>
    </c:plotArea>
    <c:legend>
      <c:legendPos val="t"/>
      <c:overlay val="0"/>
      <c:txPr>
        <a:bodyPr/>
        <a:lstStyle/>
        <a:p>
          <a:pPr lvl="0">
            <a:defRPr b="0" i="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Gross Energy Generation By Energy Sources 2011 (MWh)</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9999FF"/>
              </a:solidFill>
            </c:spPr>
            <c:extLst>
              <c:ext xmlns:c16="http://schemas.microsoft.com/office/drawing/2014/chart" uri="{C3380CC4-5D6E-409C-BE32-E72D297353CC}">
                <c16:uniqueId val="{00000001-7900-4764-A37C-E96DCDF05DD2}"/>
              </c:ext>
            </c:extLst>
          </c:dPt>
          <c:dPt>
            <c:idx val="1"/>
            <c:bubble3D val="0"/>
            <c:spPr>
              <a:solidFill>
                <a:srgbClr val="993366"/>
              </a:solidFill>
            </c:spPr>
            <c:extLst>
              <c:ext xmlns:c16="http://schemas.microsoft.com/office/drawing/2014/chart" uri="{C3380CC4-5D6E-409C-BE32-E72D297353CC}">
                <c16:uniqueId val="{00000003-7900-4764-A37C-E96DCDF05DD2}"/>
              </c:ext>
            </c:extLst>
          </c:dPt>
          <c:dPt>
            <c:idx val="2"/>
            <c:bubble3D val="0"/>
            <c:spPr>
              <a:solidFill>
                <a:srgbClr val="FFFFCC"/>
              </a:solidFill>
            </c:spPr>
            <c:extLst>
              <c:ext xmlns:c16="http://schemas.microsoft.com/office/drawing/2014/chart" uri="{C3380CC4-5D6E-409C-BE32-E72D297353CC}">
                <c16:uniqueId val="{00000005-7900-4764-A37C-E96DCDF05DD2}"/>
              </c:ext>
            </c:extLst>
          </c:dPt>
          <c:dPt>
            <c:idx val="3"/>
            <c:bubble3D val="0"/>
            <c:spPr>
              <a:solidFill>
                <a:srgbClr val="CCFFFF"/>
              </a:solidFill>
            </c:spPr>
            <c:extLst>
              <c:ext xmlns:c16="http://schemas.microsoft.com/office/drawing/2014/chart" uri="{C3380CC4-5D6E-409C-BE32-E72D297353CC}">
                <c16:uniqueId val="{00000007-7900-4764-A37C-E96DCDF05DD2}"/>
              </c:ext>
            </c:extLst>
          </c:dPt>
          <c:dPt>
            <c:idx val="4"/>
            <c:bubble3D val="0"/>
            <c:spPr>
              <a:solidFill>
                <a:srgbClr val="660066"/>
              </a:solidFill>
            </c:spPr>
            <c:extLst>
              <c:ext xmlns:c16="http://schemas.microsoft.com/office/drawing/2014/chart" uri="{C3380CC4-5D6E-409C-BE32-E72D297353CC}">
                <c16:uniqueId val="{00000009-7900-4764-A37C-E96DCDF05DD2}"/>
              </c:ext>
            </c:extLst>
          </c:dPt>
          <c:dPt>
            <c:idx val="5"/>
            <c:bubble3D val="0"/>
            <c:spPr>
              <a:solidFill>
                <a:srgbClr val="FF8080"/>
              </a:solidFill>
            </c:spPr>
            <c:extLst>
              <c:ext xmlns:c16="http://schemas.microsoft.com/office/drawing/2014/chart" uri="{C3380CC4-5D6E-409C-BE32-E72D297353CC}">
                <c16:uniqueId val="{0000000B-7900-4764-A37C-E96DCDF05DD2}"/>
              </c:ext>
            </c:extLst>
          </c:dPt>
          <c:dPt>
            <c:idx val="6"/>
            <c:bubble3D val="0"/>
            <c:spPr>
              <a:solidFill>
                <a:srgbClr val="0066CC"/>
              </a:solidFill>
            </c:spPr>
            <c:extLst>
              <c:ext xmlns:c16="http://schemas.microsoft.com/office/drawing/2014/chart" uri="{C3380CC4-5D6E-409C-BE32-E72D297353CC}">
                <c16:uniqueId val="{0000000D-7900-4764-A37C-E96DCDF05DD2}"/>
              </c:ext>
            </c:extLst>
          </c:dPt>
          <c:dPt>
            <c:idx val="7"/>
            <c:bubble3D val="0"/>
            <c:spPr>
              <a:solidFill>
                <a:srgbClr val="CCCCFF"/>
              </a:solidFill>
            </c:spPr>
            <c:extLst>
              <c:ext xmlns:c16="http://schemas.microsoft.com/office/drawing/2014/chart" uri="{C3380CC4-5D6E-409C-BE32-E72D297353CC}">
                <c16:uniqueId val="{0000000F-7900-4764-A37C-E96DCDF05DD2}"/>
              </c:ext>
            </c:extLst>
          </c:dPt>
          <c:dPt>
            <c:idx val="8"/>
            <c:bubble3D val="0"/>
            <c:spPr>
              <a:solidFill>
                <a:srgbClr val="000080"/>
              </a:solidFill>
            </c:spPr>
            <c:extLst>
              <c:ext xmlns:c16="http://schemas.microsoft.com/office/drawing/2014/chart" uri="{C3380CC4-5D6E-409C-BE32-E72D297353CC}">
                <c16:uniqueId val="{00000011-7900-4764-A37C-E96DCDF05DD2}"/>
              </c:ext>
            </c:extLst>
          </c:dPt>
          <c:dPt>
            <c:idx val="9"/>
            <c:bubble3D val="0"/>
            <c:spPr>
              <a:solidFill>
                <a:srgbClr val="FF00FF"/>
              </a:solidFill>
            </c:spPr>
            <c:extLst>
              <c:ext xmlns:c16="http://schemas.microsoft.com/office/drawing/2014/chart" uri="{C3380CC4-5D6E-409C-BE32-E72D297353CC}">
                <c16:uniqueId val="{00000013-7900-4764-A37C-E96DCDF05DD2}"/>
              </c:ext>
            </c:extLst>
          </c:dPt>
          <c:dPt>
            <c:idx val="10"/>
            <c:bubble3D val="0"/>
            <c:spPr>
              <a:solidFill>
                <a:srgbClr val="FFFF00"/>
              </a:solidFill>
            </c:spPr>
            <c:extLst>
              <c:ext xmlns:c16="http://schemas.microsoft.com/office/drawing/2014/chart" uri="{C3380CC4-5D6E-409C-BE32-E72D297353CC}">
                <c16:uniqueId val="{00000015-7900-4764-A37C-E96DCDF05DD2}"/>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Graphs!$C$250:$C$260</c:f>
              <c:strCache>
                <c:ptCount val="11"/>
                <c:pt idx="0">
                  <c:v>Coal</c:v>
                </c:pt>
                <c:pt idx="1">
                  <c:v>Petroleum</c:v>
                </c:pt>
                <c:pt idx="2">
                  <c:v>Natural Gas</c:v>
                </c:pt>
                <c:pt idx="3">
                  <c:v>Other Gases</c:v>
                </c:pt>
                <c:pt idx="4">
                  <c:v>Nuclear</c:v>
                </c:pt>
                <c:pt idx="5">
                  <c:v>Hydroelectric Conventional</c:v>
                </c:pt>
                <c:pt idx="6">
                  <c:v>Wind</c:v>
                </c:pt>
                <c:pt idx="7">
                  <c:v>Solar Thermal and Photovoltaic</c:v>
                </c:pt>
                <c:pt idx="8">
                  <c:v>Wood and Wood Derived Fuels</c:v>
                </c:pt>
                <c:pt idx="9">
                  <c:v>Other Biomass</c:v>
                </c:pt>
                <c:pt idx="10">
                  <c:v>Other</c:v>
                </c:pt>
              </c:strCache>
            </c:strRef>
          </c:cat>
          <c:val>
            <c:numRef>
              <c:f>Graphs!$D$250:$D$260</c:f>
              <c:numCache>
                <c:formatCode>#,##0</c:formatCode>
                <c:ptCount val="11"/>
                <c:pt idx="0">
                  <c:v>21186919</c:v>
                </c:pt>
                <c:pt idx="1">
                  <c:v>219804</c:v>
                </c:pt>
                <c:pt idx="2">
                  <c:v>2236976</c:v>
                </c:pt>
                <c:pt idx="3">
                  <c:v>154641</c:v>
                </c:pt>
                <c:pt idx="4">
                  <c:v>14397437</c:v>
                </c:pt>
                <c:pt idx="5">
                  <c:v>2540908</c:v>
                </c:pt>
                <c:pt idx="6">
                  <c:v>319254</c:v>
                </c:pt>
                <c:pt idx="7">
                  <c:v>2070</c:v>
                </c:pt>
                <c:pt idx="8">
                  <c:v>167437</c:v>
                </c:pt>
                <c:pt idx="9">
                  <c:v>420114</c:v>
                </c:pt>
                <c:pt idx="10">
                  <c:v>267727</c:v>
                </c:pt>
              </c:numCache>
            </c:numRef>
          </c:val>
          <c:extLst>
            <c:ext xmlns:c16="http://schemas.microsoft.com/office/drawing/2014/chart" uri="{C3380CC4-5D6E-409C-BE32-E72D297353CC}">
              <c16:uniqueId val="{00000016-7900-4764-A37C-E96DCDF05DD2}"/>
            </c:ext>
          </c:extLst>
        </c:ser>
        <c:dLbls>
          <c:showLegendKey val="0"/>
          <c:showVal val="0"/>
          <c:showCatName val="0"/>
          <c:showSerName val="0"/>
          <c:showPercent val="0"/>
          <c:showBubbleSize val="0"/>
          <c:showLeaderLines val="1"/>
        </c:dLbls>
      </c:pie3DChart>
    </c:plotArea>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areaChart>
        <c:grouping val="stacked"/>
        <c:varyColors val="1"/>
        <c:ser>
          <c:idx val="0"/>
          <c:order val="0"/>
          <c:tx>
            <c:strRef>
              <c:f>Graphs!$C$297</c:f>
              <c:strCache>
                <c:ptCount val="1"/>
                <c:pt idx="0">
                  <c:v>Coal</c:v>
                </c:pt>
              </c:strCache>
            </c:strRef>
          </c:tx>
          <c:spPr>
            <a:solidFill>
              <a:srgbClr val="9999FF">
                <a:alpha val="30000"/>
              </a:srgbClr>
            </a:solidFill>
            <a:ln cmpd="sng">
              <a:solidFill>
                <a:srgbClr val="9999FF"/>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Graphs!$D$297:$X$297</c:f>
              <c:numCache>
                <c:formatCode>#,##0</c:formatCode>
                <c:ptCount val="21"/>
                <c:pt idx="0">
                  <c:v>22835671</c:v>
                </c:pt>
                <c:pt idx="1">
                  <c:v>23850470</c:v>
                </c:pt>
                <c:pt idx="2">
                  <c:v>25126979</c:v>
                </c:pt>
                <c:pt idx="3">
                  <c:v>25624758</c:v>
                </c:pt>
                <c:pt idx="4">
                  <c:v>27595256</c:v>
                </c:pt>
                <c:pt idx="5">
                  <c:v>27992005</c:v>
                </c:pt>
                <c:pt idx="6">
                  <c:v>27620925</c:v>
                </c:pt>
                <c:pt idx="7">
                  <c:v>29294727</c:v>
                </c:pt>
                <c:pt idx="8">
                  <c:v>29687655</c:v>
                </c:pt>
                <c:pt idx="9">
                  <c:v>29451065</c:v>
                </c:pt>
                <c:pt idx="10">
                  <c:v>28379409</c:v>
                </c:pt>
                <c:pt idx="11">
                  <c:v>28712053</c:v>
                </c:pt>
                <c:pt idx="12">
                  <c:v>29939086</c:v>
                </c:pt>
                <c:pt idx="13">
                  <c:v>29195458</c:v>
                </c:pt>
                <c:pt idx="14">
                  <c:v>29302792</c:v>
                </c:pt>
                <c:pt idx="15">
                  <c:v>29408022</c:v>
                </c:pt>
                <c:pt idx="16">
                  <c:v>29699186</c:v>
                </c:pt>
                <c:pt idx="17">
                  <c:v>27218239</c:v>
                </c:pt>
                <c:pt idx="18">
                  <c:v>24162345</c:v>
                </c:pt>
                <c:pt idx="19">
                  <c:v>23668204</c:v>
                </c:pt>
                <c:pt idx="20">
                  <c:v>21186919</c:v>
                </c:pt>
              </c:numCache>
            </c:numRef>
          </c:val>
          <c:extLst>
            <c:ext xmlns:c16="http://schemas.microsoft.com/office/drawing/2014/chart" uri="{C3380CC4-5D6E-409C-BE32-E72D297353CC}">
              <c16:uniqueId val="{00000000-E876-495B-A2A4-F833033F049F}"/>
            </c:ext>
          </c:extLst>
        </c:ser>
        <c:ser>
          <c:idx val="1"/>
          <c:order val="1"/>
          <c:tx>
            <c:strRef>
              <c:f>Graphs!$C$298</c:f>
              <c:strCache>
                <c:ptCount val="1"/>
                <c:pt idx="0">
                  <c:v>Petroleum</c:v>
                </c:pt>
              </c:strCache>
            </c:strRef>
          </c:tx>
          <c:spPr>
            <a:solidFill>
              <a:srgbClr val="993366">
                <a:alpha val="30000"/>
              </a:srgbClr>
            </a:solidFill>
            <a:ln cmpd="sng">
              <a:solidFill>
                <a:srgbClr val="993366"/>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Graphs!$D$298:$X$298</c:f>
              <c:numCache>
                <c:formatCode>#,##0</c:formatCode>
                <c:ptCount val="21"/>
                <c:pt idx="0">
                  <c:v>4078506</c:v>
                </c:pt>
                <c:pt idx="1">
                  <c:v>2749511</c:v>
                </c:pt>
                <c:pt idx="2">
                  <c:v>4164790</c:v>
                </c:pt>
                <c:pt idx="3">
                  <c:v>4275226</c:v>
                </c:pt>
                <c:pt idx="4">
                  <c:v>1479469</c:v>
                </c:pt>
                <c:pt idx="5">
                  <c:v>1472027</c:v>
                </c:pt>
                <c:pt idx="6">
                  <c:v>1565010</c:v>
                </c:pt>
                <c:pt idx="7">
                  <c:v>3454350</c:v>
                </c:pt>
                <c:pt idx="8">
                  <c:v>4290788</c:v>
                </c:pt>
                <c:pt idx="9">
                  <c:v>2388595</c:v>
                </c:pt>
                <c:pt idx="10">
                  <c:v>3021639</c:v>
                </c:pt>
                <c:pt idx="11">
                  <c:v>2282432</c:v>
                </c:pt>
                <c:pt idx="12">
                  <c:v>3572183</c:v>
                </c:pt>
                <c:pt idx="13">
                  <c:v>3296842</c:v>
                </c:pt>
                <c:pt idx="14">
                  <c:v>3805569</c:v>
                </c:pt>
                <c:pt idx="15">
                  <c:v>580726</c:v>
                </c:pt>
                <c:pt idx="16">
                  <c:v>984831</c:v>
                </c:pt>
                <c:pt idx="17">
                  <c:v>405840</c:v>
                </c:pt>
                <c:pt idx="18">
                  <c:v>329901</c:v>
                </c:pt>
                <c:pt idx="19">
                  <c:v>322438</c:v>
                </c:pt>
                <c:pt idx="20">
                  <c:v>219804</c:v>
                </c:pt>
              </c:numCache>
            </c:numRef>
          </c:val>
          <c:extLst>
            <c:ext xmlns:c16="http://schemas.microsoft.com/office/drawing/2014/chart" uri="{C3380CC4-5D6E-409C-BE32-E72D297353CC}">
              <c16:uniqueId val="{00000001-E876-495B-A2A4-F833033F049F}"/>
            </c:ext>
          </c:extLst>
        </c:ser>
        <c:ser>
          <c:idx val="2"/>
          <c:order val="2"/>
          <c:tx>
            <c:strRef>
              <c:f>Graphs!$C$299</c:f>
              <c:strCache>
                <c:ptCount val="1"/>
                <c:pt idx="0">
                  <c:v>Natural Gas</c:v>
                </c:pt>
              </c:strCache>
            </c:strRef>
          </c:tx>
          <c:spPr>
            <a:solidFill>
              <a:srgbClr val="FFFFCC">
                <a:alpha val="30000"/>
              </a:srgbClr>
            </a:solidFill>
            <a:ln cmpd="sng">
              <a:solidFill>
                <a:srgbClr val="FFFFCC"/>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Graphs!$D$299:$X$299</c:f>
              <c:numCache>
                <c:formatCode>#,##0</c:formatCode>
                <c:ptCount val="21"/>
                <c:pt idx="0">
                  <c:v>1517463</c:v>
                </c:pt>
                <c:pt idx="1">
                  <c:v>1077542</c:v>
                </c:pt>
                <c:pt idx="2">
                  <c:v>772304</c:v>
                </c:pt>
                <c:pt idx="3">
                  <c:v>1172042</c:v>
                </c:pt>
                <c:pt idx="4">
                  <c:v>1548884</c:v>
                </c:pt>
                <c:pt idx="5">
                  <c:v>987627</c:v>
                </c:pt>
                <c:pt idx="6">
                  <c:v>1412585</c:v>
                </c:pt>
                <c:pt idx="7">
                  <c:v>1990596</c:v>
                </c:pt>
                <c:pt idx="8">
                  <c:v>2125193</c:v>
                </c:pt>
                <c:pt idx="9">
                  <c:v>2852876</c:v>
                </c:pt>
                <c:pt idx="10">
                  <c:v>1760812</c:v>
                </c:pt>
                <c:pt idx="11">
                  <c:v>2214431</c:v>
                </c:pt>
                <c:pt idx="12">
                  <c:v>1195642</c:v>
                </c:pt>
                <c:pt idx="13">
                  <c:v>1183301</c:v>
                </c:pt>
                <c:pt idx="14">
                  <c:v>1886986</c:v>
                </c:pt>
                <c:pt idx="15">
                  <c:v>1770206</c:v>
                </c:pt>
                <c:pt idx="16">
                  <c:v>2240927</c:v>
                </c:pt>
                <c:pt idx="17">
                  <c:v>1848147</c:v>
                </c:pt>
                <c:pt idx="18">
                  <c:v>1767844</c:v>
                </c:pt>
                <c:pt idx="19">
                  <c:v>2896978</c:v>
                </c:pt>
                <c:pt idx="20">
                  <c:v>2236976</c:v>
                </c:pt>
              </c:numCache>
            </c:numRef>
          </c:val>
          <c:extLst>
            <c:ext xmlns:c16="http://schemas.microsoft.com/office/drawing/2014/chart" uri="{C3380CC4-5D6E-409C-BE32-E72D297353CC}">
              <c16:uniqueId val="{00000002-E876-495B-A2A4-F833033F049F}"/>
            </c:ext>
          </c:extLst>
        </c:ser>
        <c:ser>
          <c:idx val="3"/>
          <c:order val="3"/>
          <c:tx>
            <c:strRef>
              <c:f>Graphs!$C$300</c:f>
              <c:strCache>
                <c:ptCount val="1"/>
                <c:pt idx="0">
                  <c:v>Other Gases</c:v>
                </c:pt>
              </c:strCache>
            </c:strRef>
          </c:tx>
          <c:spPr>
            <a:solidFill>
              <a:srgbClr val="CCFFFF">
                <a:alpha val="30000"/>
              </a:srgbClr>
            </a:solidFill>
            <a:ln cmpd="sng">
              <a:solidFill>
                <a:srgbClr val="CCFFFF"/>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Graphs!$D$300:$X$300</c:f>
              <c:numCache>
                <c:formatCode>#,##0</c:formatCode>
                <c:ptCount val="21"/>
                <c:pt idx="0">
                  <c:v>478704</c:v>
                </c:pt>
                <c:pt idx="1">
                  <c:v>506572</c:v>
                </c:pt>
                <c:pt idx="2">
                  <c:v>475788</c:v>
                </c:pt>
                <c:pt idx="3">
                  <c:v>501762</c:v>
                </c:pt>
                <c:pt idx="4">
                  <c:v>685721</c:v>
                </c:pt>
                <c:pt idx="5">
                  <c:v>539335</c:v>
                </c:pt>
                <c:pt idx="6">
                  <c:v>564036</c:v>
                </c:pt>
                <c:pt idx="7">
                  <c:v>82316</c:v>
                </c:pt>
                <c:pt idx="8">
                  <c:v>59891</c:v>
                </c:pt>
                <c:pt idx="9">
                  <c:v>74572</c:v>
                </c:pt>
                <c:pt idx="10">
                  <c:v>439980</c:v>
                </c:pt>
                <c:pt idx="11">
                  <c:v>504513</c:v>
                </c:pt>
                <c:pt idx="12">
                  <c:v>325355</c:v>
                </c:pt>
                <c:pt idx="13">
                  <c:v>411565</c:v>
                </c:pt>
                <c:pt idx="14">
                  <c:v>342466</c:v>
                </c:pt>
                <c:pt idx="15">
                  <c:v>332444</c:v>
                </c:pt>
                <c:pt idx="16">
                  <c:v>377560</c:v>
                </c:pt>
                <c:pt idx="17">
                  <c:v>337823</c:v>
                </c:pt>
                <c:pt idx="18">
                  <c:v>269182</c:v>
                </c:pt>
                <c:pt idx="19">
                  <c:v>214727</c:v>
                </c:pt>
                <c:pt idx="20">
                  <c:v>154641</c:v>
                </c:pt>
              </c:numCache>
            </c:numRef>
          </c:val>
          <c:extLst>
            <c:ext xmlns:c16="http://schemas.microsoft.com/office/drawing/2014/chart" uri="{C3380CC4-5D6E-409C-BE32-E72D297353CC}">
              <c16:uniqueId val="{00000003-E876-495B-A2A4-F833033F049F}"/>
            </c:ext>
          </c:extLst>
        </c:ser>
        <c:ser>
          <c:idx val="4"/>
          <c:order val="4"/>
          <c:tx>
            <c:strRef>
              <c:f>Graphs!$C$301</c:f>
              <c:strCache>
                <c:ptCount val="1"/>
                <c:pt idx="0">
                  <c:v>Nuclear</c:v>
                </c:pt>
              </c:strCache>
            </c:strRef>
          </c:tx>
          <c:spPr>
            <a:solidFill>
              <a:srgbClr val="660066">
                <a:alpha val="30000"/>
              </a:srgbClr>
            </a:solidFill>
            <a:ln cmpd="sng">
              <a:solidFill>
                <a:srgbClr val="660066"/>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Graphs!$D$301:$X$301</c:f>
              <c:numCache>
                <c:formatCode>#,##0</c:formatCode>
                <c:ptCount val="21"/>
                <c:pt idx="0">
                  <c:v>9036100</c:v>
                </c:pt>
                <c:pt idx="1">
                  <c:v>10663950</c:v>
                </c:pt>
                <c:pt idx="2">
                  <c:v>12300816</c:v>
                </c:pt>
                <c:pt idx="3">
                  <c:v>11235408</c:v>
                </c:pt>
                <c:pt idx="4">
                  <c:v>12937971</c:v>
                </c:pt>
                <c:pt idx="5">
                  <c:v>12092768</c:v>
                </c:pt>
                <c:pt idx="6">
                  <c:v>13212967</c:v>
                </c:pt>
                <c:pt idx="7">
                  <c:v>13330598</c:v>
                </c:pt>
                <c:pt idx="8">
                  <c:v>13312335</c:v>
                </c:pt>
                <c:pt idx="9">
                  <c:v>13827243</c:v>
                </c:pt>
                <c:pt idx="10">
                  <c:v>13656267</c:v>
                </c:pt>
                <c:pt idx="11">
                  <c:v>12128005</c:v>
                </c:pt>
                <c:pt idx="12">
                  <c:v>13690713</c:v>
                </c:pt>
                <c:pt idx="13">
                  <c:v>14580260</c:v>
                </c:pt>
                <c:pt idx="14">
                  <c:v>14703221</c:v>
                </c:pt>
                <c:pt idx="15">
                  <c:v>13830411</c:v>
                </c:pt>
                <c:pt idx="16">
                  <c:v>14353192</c:v>
                </c:pt>
                <c:pt idx="17">
                  <c:v>14678695</c:v>
                </c:pt>
                <c:pt idx="18">
                  <c:v>14550119</c:v>
                </c:pt>
                <c:pt idx="19">
                  <c:v>13993948</c:v>
                </c:pt>
                <c:pt idx="20">
                  <c:v>14397437</c:v>
                </c:pt>
              </c:numCache>
            </c:numRef>
          </c:val>
          <c:extLst>
            <c:ext xmlns:c16="http://schemas.microsoft.com/office/drawing/2014/chart" uri="{C3380CC4-5D6E-409C-BE32-E72D297353CC}">
              <c16:uniqueId val="{00000004-E876-495B-A2A4-F833033F049F}"/>
            </c:ext>
          </c:extLst>
        </c:ser>
        <c:ser>
          <c:idx val="5"/>
          <c:order val="5"/>
          <c:tx>
            <c:strRef>
              <c:f>Graphs!$C$302</c:f>
              <c:strCache>
                <c:ptCount val="1"/>
                <c:pt idx="0">
                  <c:v>Hydroelectric Conventional</c:v>
                </c:pt>
              </c:strCache>
            </c:strRef>
          </c:tx>
          <c:spPr>
            <a:solidFill>
              <a:srgbClr val="FF8080">
                <a:alpha val="30000"/>
              </a:srgbClr>
            </a:solidFill>
            <a:ln cmpd="sng">
              <a:solidFill>
                <a:srgbClr val="FF8080"/>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Graphs!$D$302:$X$302</c:f>
              <c:numCache>
                <c:formatCode>#,##0</c:formatCode>
                <c:ptCount val="21"/>
                <c:pt idx="0">
                  <c:v>1407287</c:v>
                </c:pt>
                <c:pt idx="1">
                  <c:v>1824659</c:v>
                </c:pt>
                <c:pt idx="2">
                  <c:v>1658271</c:v>
                </c:pt>
                <c:pt idx="3">
                  <c:v>2009536</c:v>
                </c:pt>
                <c:pt idx="4">
                  <c:v>1442006</c:v>
                </c:pt>
                <c:pt idx="5">
                  <c:v>2457463</c:v>
                </c:pt>
                <c:pt idx="6">
                  <c:v>1588375</c:v>
                </c:pt>
                <c:pt idx="7">
                  <c:v>1739737</c:v>
                </c:pt>
                <c:pt idx="8">
                  <c:v>1424197</c:v>
                </c:pt>
                <c:pt idx="9">
                  <c:v>1732619</c:v>
                </c:pt>
                <c:pt idx="10">
                  <c:v>1183518</c:v>
                </c:pt>
                <c:pt idx="11">
                  <c:v>1660989</c:v>
                </c:pt>
                <c:pt idx="12">
                  <c:v>2646984</c:v>
                </c:pt>
                <c:pt idx="13">
                  <c:v>2507521</c:v>
                </c:pt>
                <c:pt idx="14">
                  <c:v>1703639</c:v>
                </c:pt>
                <c:pt idx="15">
                  <c:v>2104275</c:v>
                </c:pt>
                <c:pt idx="16">
                  <c:v>1652216</c:v>
                </c:pt>
                <c:pt idx="17">
                  <c:v>1974078</c:v>
                </c:pt>
                <c:pt idx="18">
                  <c:v>1888769</c:v>
                </c:pt>
                <c:pt idx="19">
                  <c:v>1667397</c:v>
                </c:pt>
                <c:pt idx="20">
                  <c:v>2540908</c:v>
                </c:pt>
              </c:numCache>
            </c:numRef>
          </c:val>
          <c:extLst>
            <c:ext xmlns:c16="http://schemas.microsoft.com/office/drawing/2014/chart" uri="{C3380CC4-5D6E-409C-BE32-E72D297353CC}">
              <c16:uniqueId val="{00000005-E876-495B-A2A4-F833033F049F}"/>
            </c:ext>
          </c:extLst>
        </c:ser>
        <c:ser>
          <c:idx val="6"/>
          <c:order val="6"/>
          <c:tx>
            <c:strRef>
              <c:f>Graphs!$C$303</c:f>
              <c:strCache>
                <c:ptCount val="1"/>
                <c:pt idx="0">
                  <c:v>Wind</c:v>
                </c:pt>
              </c:strCache>
            </c:strRef>
          </c:tx>
          <c:spPr>
            <a:solidFill>
              <a:srgbClr val="0066CC">
                <a:alpha val="30000"/>
              </a:srgbClr>
            </a:solidFill>
            <a:ln cmpd="sng">
              <a:solidFill>
                <a:srgbClr val="0066CC"/>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Graphs!$D$303:$X$303</c:f>
              <c:numCache>
                <c:formatCode>#,##0</c:formatCode>
                <c:ptCount val="21"/>
                <c:pt idx="19">
                  <c:v>1494</c:v>
                </c:pt>
                <c:pt idx="20">
                  <c:v>319254</c:v>
                </c:pt>
              </c:numCache>
            </c:numRef>
          </c:val>
          <c:extLst>
            <c:ext xmlns:c16="http://schemas.microsoft.com/office/drawing/2014/chart" uri="{C3380CC4-5D6E-409C-BE32-E72D297353CC}">
              <c16:uniqueId val="{00000006-E876-495B-A2A4-F833033F049F}"/>
            </c:ext>
          </c:extLst>
        </c:ser>
        <c:ser>
          <c:idx val="7"/>
          <c:order val="7"/>
          <c:tx>
            <c:strRef>
              <c:f>Graphs!$C$304</c:f>
              <c:strCache>
                <c:ptCount val="1"/>
                <c:pt idx="0">
                  <c:v>Solar Thermal and Photovoltaic</c:v>
                </c:pt>
              </c:strCache>
            </c:strRef>
          </c:tx>
          <c:spPr>
            <a:solidFill>
              <a:srgbClr val="CCCCFF">
                <a:alpha val="30000"/>
              </a:srgbClr>
            </a:solidFill>
            <a:ln cmpd="sng">
              <a:solidFill>
                <a:srgbClr val="CCCCFF"/>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Graphs!$D$304:$X$304</c:f>
              <c:numCache>
                <c:formatCode>#,##0</c:formatCode>
                <c:ptCount val="21"/>
                <c:pt idx="19">
                  <c:v>80</c:v>
                </c:pt>
                <c:pt idx="20">
                  <c:v>2070</c:v>
                </c:pt>
              </c:numCache>
            </c:numRef>
          </c:val>
          <c:extLst>
            <c:ext xmlns:c16="http://schemas.microsoft.com/office/drawing/2014/chart" uri="{C3380CC4-5D6E-409C-BE32-E72D297353CC}">
              <c16:uniqueId val="{00000007-E876-495B-A2A4-F833033F049F}"/>
            </c:ext>
          </c:extLst>
        </c:ser>
        <c:ser>
          <c:idx val="8"/>
          <c:order val="8"/>
          <c:tx>
            <c:strRef>
              <c:f>Graphs!$C$305</c:f>
              <c:strCache>
                <c:ptCount val="1"/>
                <c:pt idx="0">
                  <c:v>Wood and Wood Derived Fuels</c:v>
                </c:pt>
              </c:strCache>
            </c:strRef>
          </c:tx>
          <c:spPr>
            <a:solidFill>
              <a:srgbClr val="000080">
                <a:alpha val="30000"/>
              </a:srgbClr>
            </a:solidFill>
            <a:ln cmpd="sng">
              <a:solidFill>
                <a:srgbClr val="000080"/>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Graphs!$D$305:$X$305</c:f>
              <c:numCache>
                <c:formatCode>#,##0</c:formatCode>
                <c:ptCount val="21"/>
                <c:pt idx="0">
                  <c:v>160602</c:v>
                </c:pt>
                <c:pt idx="1">
                  <c:v>174801</c:v>
                </c:pt>
                <c:pt idx="2">
                  <c:v>175122</c:v>
                </c:pt>
                <c:pt idx="3">
                  <c:v>168822</c:v>
                </c:pt>
                <c:pt idx="4">
                  <c:v>175144</c:v>
                </c:pt>
                <c:pt idx="5">
                  <c:v>167554</c:v>
                </c:pt>
                <c:pt idx="6">
                  <c:v>155906</c:v>
                </c:pt>
                <c:pt idx="7">
                  <c:v>155647</c:v>
                </c:pt>
                <c:pt idx="8">
                  <c:v>171088</c:v>
                </c:pt>
                <c:pt idx="9">
                  <c:v>179580</c:v>
                </c:pt>
                <c:pt idx="10">
                  <c:v>11939</c:v>
                </c:pt>
                <c:pt idx="11">
                  <c:v>182904</c:v>
                </c:pt>
                <c:pt idx="12">
                  <c:v>225240</c:v>
                </c:pt>
                <c:pt idx="13">
                  <c:v>192384</c:v>
                </c:pt>
                <c:pt idx="14">
                  <c:v>205985</c:v>
                </c:pt>
                <c:pt idx="15">
                  <c:v>218066</c:v>
                </c:pt>
                <c:pt idx="16">
                  <c:v>203097</c:v>
                </c:pt>
                <c:pt idx="17">
                  <c:v>197704</c:v>
                </c:pt>
                <c:pt idx="18">
                  <c:v>175058</c:v>
                </c:pt>
                <c:pt idx="19">
                  <c:v>164688</c:v>
                </c:pt>
                <c:pt idx="20">
                  <c:v>167437</c:v>
                </c:pt>
              </c:numCache>
            </c:numRef>
          </c:val>
          <c:extLst>
            <c:ext xmlns:c16="http://schemas.microsoft.com/office/drawing/2014/chart" uri="{C3380CC4-5D6E-409C-BE32-E72D297353CC}">
              <c16:uniqueId val="{00000008-E876-495B-A2A4-F833033F049F}"/>
            </c:ext>
          </c:extLst>
        </c:ser>
        <c:ser>
          <c:idx val="9"/>
          <c:order val="9"/>
          <c:tx>
            <c:strRef>
              <c:f>Graphs!$C$306</c:f>
              <c:strCache>
                <c:ptCount val="1"/>
                <c:pt idx="0">
                  <c:v>Other Biomass</c:v>
                </c:pt>
              </c:strCache>
            </c:strRef>
          </c:tx>
          <c:spPr>
            <a:solidFill>
              <a:srgbClr val="FF00FF">
                <a:alpha val="30000"/>
              </a:srgbClr>
            </a:solidFill>
            <a:ln cmpd="sng">
              <a:solidFill>
                <a:srgbClr val="FF00FF"/>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Graphs!$D$306:$X$306</c:f>
              <c:numCache>
                <c:formatCode>#,##0</c:formatCode>
                <c:ptCount val="21"/>
                <c:pt idx="0">
                  <c:v>336551</c:v>
                </c:pt>
                <c:pt idx="1">
                  <c:v>329854</c:v>
                </c:pt>
                <c:pt idx="2">
                  <c:v>303818</c:v>
                </c:pt>
                <c:pt idx="3">
                  <c:v>352064</c:v>
                </c:pt>
                <c:pt idx="4">
                  <c:v>501192</c:v>
                </c:pt>
                <c:pt idx="5">
                  <c:v>565838</c:v>
                </c:pt>
                <c:pt idx="6">
                  <c:v>587592</c:v>
                </c:pt>
                <c:pt idx="7">
                  <c:v>605046</c:v>
                </c:pt>
                <c:pt idx="8">
                  <c:v>614474</c:v>
                </c:pt>
                <c:pt idx="9">
                  <c:v>638830</c:v>
                </c:pt>
                <c:pt idx="10">
                  <c:v>361076</c:v>
                </c:pt>
                <c:pt idx="11">
                  <c:v>338727</c:v>
                </c:pt>
                <c:pt idx="12">
                  <c:v>370811</c:v>
                </c:pt>
                <c:pt idx="13">
                  <c:v>396824</c:v>
                </c:pt>
                <c:pt idx="14">
                  <c:v>417380</c:v>
                </c:pt>
                <c:pt idx="15">
                  <c:v>408095</c:v>
                </c:pt>
                <c:pt idx="16">
                  <c:v>400364</c:v>
                </c:pt>
                <c:pt idx="17">
                  <c:v>414781</c:v>
                </c:pt>
                <c:pt idx="18">
                  <c:v>375721</c:v>
                </c:pt>
                <c:pt idx="19">
                  <c:v>407402</c:v>
                </c:pt>
                <c:pt idx="20">
                  <c:v>420114</c:v>
                </c:pt>
              </c:numCache>
            </c:numRef>
          </c:val>
          <c:extLst>
            <c:ext xmlns:c16="http://schemas.microsoft.com/office/drawing/2014/chart" uri="{C3380CC4-5D6E-409C-BE32-E72D297353CC}">
              <c16:uniqueId val="{00000009-E876-495B-A2A4-F833033F049F}"/>
            </c:ext>
          </c:extLst>
        </c:ser>
        <c:ser>
          <c:idx val="10"/>
          <c:order val="10"/>
          <c:tx>
            <c:strRef>
              <c:f>Graphs!$C$307</c:f>
              <c:strCache>
                <c:ptCount val="1"/>
                <c:pt idx="0">
                  <c:v>Other</c:v>
                </c:pt>
              </c:strCache>
            </c:strRef>
          </c:tx>
          <c:spPr>
            <a:solidFill>
              <a:srgbClr val="FFFF00">
                <a:alpha val="30000"/>
              </a:srgbClr>
            </a:solidFill>
            <a:ln cmpd="sng">
              <a:solidFill>
                <a:srgbClr val="FFFF00"/>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Graphs!$D$307:$X$307</c:f>
              <c:numCache>
                <c:formatCode>General</c:formatCode>
                <c:ptCount val="21"/>
                <c:pt idx="10" formatCode="#,##0">
                  <c:v>247700</c:v>
                </c:pt>
                <c:pt idx="11" formatCode="#,##0">
                  <c:v>255034</c:v>
                </c:pt>
                <c:pt idx="12" formatCode="#,##0">
                  <c:v>278224</c:v>
                </c:pt>
                <c:pt idx="13" formatCode="#,##0">
                  <c:v>288616</c:v>
                </c:pt>
                <c:pt idx="14" formatCode="#,##0">
                  <c:v>293561</c:v>
                </c:pt>
                <c:pt idx="15" formatCode="#,##0">
                  <c:v>304635</c:v>
                </c:pt>
                <c:pt idx="16" formatCode="#,##0">
                  <c:v>286550</c:v>
                </c:pt>
                <c:pt idx="17" formatCode="#,##0">
                  <c:v>285645</c:v>
                </c:pt>
                <c:pt idx="18" formatCode="#,##0">
                  <c:v>255893</c:v>
                </c:pt>
                <c:pt idx="19" formatCode="#,##0">
                  <c:v>269907</c:v>
                </c:pt>
                <c:pt idx="20" formatCode="#,##0">
                  <c:v>267727</c:v>
                </c:pt>
              </c:numCache>
            </c:numRef>
          </c:val>
          <c:extLst>
            <c:ext xmlns:c16="http://schemas.microsoft.com/office/drawing/2014/chart" uri="{C3380CC4-5D6E-409C-BE32-E72D297353CC}">
              <c16:uniqueId val="{0000000A-E876-495B-A2A4-F833033F049F}"/>
            </c:ext>
          </c:extLst>
        </c:ser>
        <c:dLbls>
          <c:showLegendKey val="0"/>
          <c:showVal val="0"/>
          <c:showCatName val="0"/>
          <c:showSerName val="0"/>
          <c:showPercent val="0"/>
          <c:showBubbleSize val="0"/>
        </c:dLbls>
        <c:axId val="1815521951"/>
        <c:axId val="242181373"/>
      </c:areaChart>
      <c:catAx>
        <c:axId val="181552195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242181373"/>
        <c:crosses val="autoZero"/>
        <c:auto val="1"/>
        <c:lblAlgn val="ctr"/>
        <c:lblOffset val="100"/>
        <c:noMultiLvlLbl val="1"/>
      </c:catAx>
      <c:valAx>
        <c:axId val="24218137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815521951"/>
        <c:crosses val="autoZero"/>
        <c:crossBetween val="midCat"/>
      </c:valAx>
    </c:plotArea>
    <c:legend>
      <c:legendPos val="t"/>
      <c:overlay val="0"/>
      <c:txPr>
        <a:bodyPr/>
        <a:lstStyle/>
        <a:p>
          <a:pPr lvl="0">
            <a:defRPr b="0" i="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2011 GHG Emissions by Sector</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9999FF"/>
              </a:solidFill>
            </c:spPr>
            <c:extLst>
              <c:ext xmlns:c16="http://schemas.microsoft.com/office/drawing/2014/chart" uri="{C3380CC4-5D6E-409C-BE32-E72D297353CC}">
                <c16:uniqueId val="{00000001-0344-4624-B789-2BCD9B214417}"/>
              </c:ext>
            </c:extLst>
          </c:dPt>
          <c:dPt>
            <c:idx val="1"/>
            <c:bubble3D val="0"/>
            <c:spPr>
              <a:solidFill>
                <a:srgbClr val="993366"/>
              </a:solidFill>
            </c:spPr>
            <c:extLst>
              <c:ext xmlns:c16="http://schemas.microsoft.com/office/drawing/2014/chart" uri="{C3380CC4-5D6E-409C-BE32-E72D297353CC}">
                <c16:uniqueId val="{00000003-0344-4624-B789-2BCD9B214417}"/>
              </c:ext>
            </c:extLst>
          </c:dPt>
          <c:dPt>
            <c:idx val="2"/>
            <c:bubble3D val="0"/>
            <c:spPr>
              <a:solidFill>
                <a:srgbClr val="FFFFCC"/>
              </a:solidFill>
            </c:spPr>
            <c:extLst>
              <c:ext xmlns:c16="http://schemas.microsoft.com/office/drawing/2014/chart" uri="{C3380CC4-5D6E-409C-BE32-E72D297353CC}">
                <c16:uniqueId val="{00000005-0344-4624-B789-2BCD9B214417}"/>
              </c:ext>
            </c:extLst>
          </c:dPt>
          <c:dPt>
            <c:idx val="3"/>
            <c:bubble3D val="0"/>
            <c:spPr>
              <a:solidFill>
                <a:srgbClr val="CCFFFF"/>
              </a:solidFill>
            </c:spPr>
            <c:extLst>
              <c:ext xmlns:c16="http://schemas.microsoft.com/office/drawing/2014/chart" uri="{C3380CC4-5D6E-409C-BE32-E72D297353CC}">
                <c16:uniqueId val="{00000007-0344-4624-B789-2BCD9B214417}"/>
              </c:ext>
            </c:extLst>
          </c:dPt>
          <c:dPt>
            <c:idx val="4"/>
            <c:bubble3D val="0"/>
            <c:spPr>
              <a:solidFill>
                <a:srgbClr val="660066"/>
              </a:solidFill>
            </c:spPr>
            <c:extLst>
              <c:ext xmlns:c16="http://schemas.microsoft.com/office/drawing/2014/chart" uri="{C3380CC4-5D6E-409C-BE32-E72D297353CC}">
                <c16:uniqueId val="{00000009-0344-4624-B789-2BCD9B214417}"/>
              </c:ext>
            </c:extLst>
          </c:dPt>
          <c:dPt>
            <c:idx val="5"/>
            <c:bubble3D val="0"/>
            <c:spPr>
              <a:solidFill>
                <a:srgbClr val="FF8080"/>
              </a:solidFill>
            </c:spPr>
            <c:extLst>
              <c:ext xmlns:c16="http://schemas.microsoft.com/office/drawing/2014/chart" uri="{C3380CC4-5D6E-409C-BE32-E72D297353CC}">
                <c16:uniqueId val="{0000000B-0344-4624-B789-2BCD9B214417}"/>
              </c:ext>
            </c:extLst>
          </c:dPt>
          <c:dPt>
            <c:idx val="6"/>
            <c:bubble3D val="0"/>
            <c:spPr>
              <a:solidFill>
                <a:srgbClr val="0066CC"/>
              </a:solidFill>
            </c:spPr>
            <c:extLst>
              <c:ext xmlns:c16="http://schemas.microsoft.com/office/drawing/2014/chart" uri="{C3380CC4-5D6E-409C-BE32-E72D297353CC}">
                <c16:uniqueId val="{0000000D-0344-4624-B789-2BCD9B214417}"/>
              </c:ext>
            </c:extLst>
          </c:dPt>
          <c:dPt>
            <c:idx val="7"/>
            <c:bubble3D val="0"/>
            <c:spPr>
              <a:solidFill>
                <a:srgbClr val="CCCCFF"/>
              </a:solidFill>
            </c:spPr>
            <c:extLst>
              <c:ext xmlns:c16="http://schemas.microsoft.com/office/drawing/2014/chart" uri="{C3380CC4-5D6E-409C-BE32-E72D297353CC}">
                <c16:uniqueId val="{0000000F-0344-4624-B789-2BCD9B214417}"/>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 GHG Rpt Expanded'!$C$183:$C$190</c:f>
              <c:strCache>
                <c:ptCount val="8"/>
                <c:pt idx="0">
                  <c:v>Electricity Use (Consumption)</c:v>
                </c:pt>
                <c:pt idx="1">
                  <c:v>RCI Fuel Use</c:v>
                </c:pt>
                <c:pt idx="2">
                  <c:v>Transportation - Onroad</c:v>
                </c:pt>
                <c:pt idx="3">
                  <c:v>Transportation - Nonroad</c:v>
                </c:pt>
                <c:pt idx="4">
                  <c:v>Fossil Fuel Industry</c:v>
                </c:pt>
                <c:pt idx="5">
                  <c:v>Industrial Processes</c:v>
                </c:pt>
                <c:pt idx="6">
                  <c:v>Agriculture</c:v>
                </c:pt>
                <c:pt idx="7">
                  <c:v>Waste Management</c:v>
                </c:pt>
              </c:strCache>
            </c:strRef>
          </c:cat>
          <c:val>
            <c:numRef>
              <c:f>'Summ GHG Rpt Expanded'!$D$183:$D$190</c:f>
              <c:numCache>
                <c:formatCode>0.000000</c:formatCode>
                <c:ptCount val="8"/>
                <c:pt idx="0">
                  <c:v>37.851631414583636</c:v>
                </c:pt>
                <c:pt idx="1">
                  <c:v>17.02937483120277</c:v>
                </c:pt>
                <c:pt idx="2">
                  <c:v>28.249073186393829</c:v>
                </c:pt>
                <c:pt idx="3">
                  <c:v>7.0203160695770244</c:v>
                </c:pt>
                <c:pt idx="4">
                  <c:v>1.1145936217095791</c:v>
                </c:pt>
                <c:pt idx="5">
                  <c:v>4.3957727448193964</c:v>
                </c:pt>
                <c:pt idx="6">
                  <c:v>1.6463033891700958</c:v>
                </c:pt>
                <c:pt idx="7">
                  <c:v>4.6018621258690979</c:v>
                </c:pt>
              </c:numCache>
            </c:numRef>
          </c:val>
          <c:extLst>
            <c:ext xmlns:c16="http://schemas.microsoft.com/office/drawing/2014/chart" uri="{C3380CC4-5D6E-409C-BE32-E72D297353CC}">
              <c16:uniqueId val="{00000010-0344-4624-B789-2BCD9B214417}"/>
            </c:ext>
          </c:extLst>
        </c:ser>
        <c:dLbls>
          <c:showLegendKey val="0"/>
          <c:showVal val="0"/>
          <c:showCatName val="0"/>
          <c:showSerName val="0"/>
          <c:showPercent val="0"/>
          <c:showBubbleSize val="0"/>
          <c:showLeaderLines val="1"/>
        </c:dLbls>
      </c:pie3DChart>
    </c:plotArea>
    <c:plotVisOnly val="1"/>
    <c:dispBlanksAs val="zero"/>
    <c:showDLblsOverMax val="1"/>
  </c:chart>
  <c:spPr>
    <a:solidFill>
      <a:srgbClr val="FFFFFF"/>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Primary Energy Use At Maryland Power Stations,Plus Import</a:t>
            </a:r>
          </a:p>
        </c:rich>
      </c:tx>
      <c:overlay val="0"/>
    </c:title>
    <c:autoTitleDeleted val="0"/>
    <c:plotArea>
      <c:layout/>
      <c:areaChart>
        <c:grouping val="stacked"/>
        <c:varyColors val="1"/>
        <c:ser>
          <c:idx val="0"/>
          <c:order val="0"/>
          <c:tx>
            <c:strRef>
              <c:f>Graphs!$D$317</c:f>
              <c:strCache>
                <c:ptCount val="1"/>
                <c:pt idx="0">
                  <c:v>Coal </c:v>
                </c:pt>
              </c:strCache>
            </c:strRef>
          </c:tx>
          <c:spPr>
            <a:solidFill>
              <a:srgbClr val="9999FF">
                <a:alpha val="30000"/>
              </a:srgbClr>
            </a:solidFill>
            <a:ln cmpd="sng">
              <a:solidFill>
                <a:srgbClr val="9999FF"/>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Graphs!$E$317:$P$317</c:f>
              <c:numCache>
                <c:formatCode>_(* #,##0_);_(* \(#,##0\);_(* "-"??_);_(@_)</c:formatCode>
                <c:ptCount val="12"/>
                <c:pt idx="0">
                  <c:v>289747</c:v>
                </c:pt>
                <c:pt idx="1">
                  <c:v>283345</c:v>
                </c:pt>
                <c:pt idx="2">
                  <c:v>291706</c:v>
                </c:pt>
                <c:pt idx="3">
                  <c:v>297613</c:v>
                </c:pt>
                <c:pt idx="4">
                  <c:v>291315</c:v>
                </c:pt>
                <c:pt idx="5">
                  <c:v>295546</c:v>
                </c:pt>
                <c:pt idx="6">
                  <c:v>293181</c:v>
                </c:pt>
                <c:pt idx="7">
                  <c:v>297200</c:v>
                </c:pt>
                <c:pt idx="8">
                  <c:v>279847</c:v>
                </c:pt>
                <c:pt idx="9">
                  <c:v>243998</c:v>
                </c:pt>
                <c:pt idx="10">
                  <c:v>242944</c:v>
                </c:pt>
                <c:pt idx="11" formatCode="_(* #,##0_);_(* \(#,##0\);_(* \-??_);_(@_)">
                  <c:v>218918</c:v>
                </c:pt>
              </c:numCache>
            </c:numRef>
          </c:val>
          <c:extLst>
            <c:ext xmlns:c16="http://schemas.microsoft.com/office/drawing/2014/chart" uri="{C3380CC4-5D6E-409C-BE32-E72D297353CC}">
              <c16:uniqueId val="{00000000-3FDD-4E95-9953-F23823B88B9D}"/>
            </c:ext>
          </c:extLst>
        </c:ser>
        <c:ser>
          <c:idx val="1"/>
          <c:order val="1"/>
          <c:tx>
            <c:strRef>
              <c:f>Graphs!$D$318</c:f>
              <c:strCache>
                <c:ptCount val="1"/>
                <c:pt idx="0">
                  <c:v>DistillateFuel Oil</c:v>
                </c:pt>
              </c:strCache>
            </c:strRef>
          </c:tx>
          <c:spPr>
            <a:solidFill>
              <a:srgbClr val="993366">
                <a:alpha val="30000"/>
              </a:srgbClr>
            </a:solidFill>
            <a:ln cmpd="sng">
              <a:solidFill>
                <a:srgbClr val="993366"/>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Graphs!$E$318:$P$318</c:f>
              <c:numCache>
                <c:formatCode>_(* #,##0_);_(* \(#,##0\);_(* "-"??_);_(@_)</c:formatCode>
                <c:ptCount val="12"/>
                <c:pt idx="0">
                  <c:v>3390</c:v>
                </c:pt>
                <c:pt idx="1">
                  <c:v>5684</c:v>
                </c:pt>
                <c:pt idx="2">
                  <c:v>4132</c:v>
                </c:pt>
                <c:pt idx="3">
                  <c:v>6721</c:v>
                </c:pt>
                <c:pt idx="4">
                  <c:v>6626</c:v>
                </c:pt>
                <c:pt idx="5">
                  <c:v>6968</c:v>
                </c:pt>
                <c:pt idx="6">
                  <c:v>2618</c:v>
                </c:pt>
                <c:pt idx="7">
                  <c:v>4450</c:v>
                </c:pt>
                <c:pt idx="8">
                  <c:v>2972</c:v>
                </c:pt>
                <c:pt idx="9">
                  <c:v>2042</c:v>
                </c:pt>
                <c:pt idx="10">
                  <c:v>2980</c:v>
                </c:pt>
                <c:pt idx="11" formatCode="_(* #,##0_);_(* \(#,##0\);_(* \-??_);_(@_)">
                  <c:v>2026</c:v>
                </c:pt>
              </c:numCache>
            </c:numRef>
          </c:val>
          <c:extLst>
            <c:ext xmlns:c16="http://schemas.microsoft.com/office/drawing/2014/chart" uri="{C3380CC4-5D6E-409C-BE32-E72D297353CC}">
              <c16:uniqueId val="{00000001-3FDD-4E95-9953-F23823B88B9D}"/>
            </c:ext>
          </c:extLst>
        </c:ser>
        <c:ser>
          <c:idx val="2"/>
          <c:order val="2"/>
          <c:tx>
            <c:strRef>
              <c:f>Graphs!$D$319</c:f>
              <c:strCache>
                <c:ptCount val="1"/>
                <c:pt idx="0">
                  <c:v>Natural Gas </c:v>
                </c:pt>
              </c:strCache>
            </c:strRef>
          </c:tx>
          <c:spPr>
            <a:solidFill>
              <a:srgbClr val="FFFFCC">
                <a:alpha val="30000"/>
              </a:srgbClr>
            </a:solidFill>
            <a:ln cmpd="sng">
              <a:solidFill>
                <a:srgbClr val="FFFFCC"/>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Graphs!$E$319:$P$319</c:f>
              <c:numCache>
                <c:formatCode>_(* #,##0_);_(* \(#,##0\);_(* "-"??_);_(@_)</c:formatCode>
                <c:ptCount val="12"/>
                <c:pt idx="0">
                  <c:v>30073</c:v>
                </c:pt>
                <c:pt idx="1">
                  <c:v>18078</c:v>
                </c:pt>
                <c:pt idx="2">
                  <c:v>23215</c:v>
                </c:pt>
                <c:pt idx="3">
                  <c:v>11400</c:v>
                </c:pt>
                <c:pt idx="4">
                  <c:v>12524</c:v>
                </c:pt>
                <c:pt idx="5">
                  <c:v>21431</c:v>
                </c:pt>
                <c:pt idx="6">
                  <c:v>22841</c:v>
                </c:pt>
                <c:pt idx="7">
                  <c:v>24080</c:v>
                </c:pt>
                <c:pt idx="8">
                  <c:v>20518</c:v>
                </c:pt>
                <c:pt idx="9">
                  <c:v>18887</c:v>
                </c:pt>
                <c:pt idx="10">
                  <c:v>31758</c:v>
                </c:pt>
                <c:pt idx="11" formatCode="_(* #,##0_);_(* \(#,##0\);_(* \-??_);_(@_)">
                  <c:v>21577</c:v>
                </c:pt>
              </c:numCache>
            </c:numRef>
          </c:val>
          <c:extLst>
            <c:ext xmlns:c16="http://schemas.microsoft.com/office/drawing/2014/chart" uri="{C3380CC4-5D6E-409C-BE32-E72D297353CC}">
              <c16:uniqueId val="{00000002-3FDD-4E95-9953-F23823B88B9D}"/>
            </c:ext>
          </c:extLst>
        </c:ser>
        <c:ser>
          <c:idx val="3"/>
          <c:order val="3"/>
          <c:tx>
            <c:strRef>
              <c:f>Graphs!$D$320</c:f>
              <c:strCache>
                <c:ptCount val="1"/>
                <c:pt idx="0">
                  <c:v>Nuclear Power.</c:v>
                </c:pt>
              </c:strCache>
            </c:strRef>
          </c:tx>
          <c:spPr>
            <a:solidFill>
              <a:srgbClr val="CCFFFF">
                <a:alpha val="30000"/>
              </a:srgbClr>
            </a:solidFill>
            <a:ln cmpd="sng">
              <a:solidFill>
                <a:srgbClr val="CCFFFF"/>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Graphs!$E$320:$P$320</c:f>
              <c:numCache>
                <c:formatCode>_(* #,##0_);_(* \(#,##0\);_(* "-"??_);_(@_)</c:formatCode>
                <c:ptCount val="12"/>
                <c:pt idx="0">
                  <c:v>144204</c:v>
                </c:pt>
                <c:pt idx="1">
                  <c:v>142612</c:v>
                </c:pt>
                <c:pt idx="2">
                  <c:v>126641</c:v>
                </c:pt>
                <c:pt idx="3">
                  <c:v>142671</c:v>
                </c:pt>
                <c:pt idx="4">
                  <c:v>152028</c:v>
                </c:pt>
                <c:pt idx="5">
                  <c:v>153443</c:v>
                </c:pt>
                <c:pt idx="6">
                  <c:v>144334</c:v>
                </c:pt>
                <c:pt idx="7">
                  <c:v>150493</c:v>
                </c:pt>
                <c:pt idx="8">
                  <c:v>153436</c:v>
                </c:pt>
                <c:pt idx="9">
                  <c:v>152194</c:v>
                </c:pt>
                <c:pt idx="10">
                  <c:v>146265</c:v>
                </c:pt>
                <c:pt idx="11" formatCode="_(* #,##0_);_(* \(#,##0\);_(* \-??_);_(@_)">
                  <c:v>150655</c:v>
                </c:pt>
              </c:numCache>
            </c:numRef>
          </c:val>
          <c:extLst>
            <c:ext xmlns:c16="http://schemas.microsoft.com/office/drawing/2014/chart" uri="{C3380CC4-5D6E-409C-BE32-E72D297353CC}">
              <c16:uniqueId val="{00000003-3FDD-4E95-9953-F23823B88B9D}"/>
            </c:ext>
          </c:extLst>
        </c:ser>
        <c:ser>
          <c:idx val="4"/>
          <c:order val="4"/>
          <c:tx>
            <c:strRef>
              <c:f>Graphs!$D$321</c:f>
              <c:strCache>
                <c:ptCount val="1"/>
                <c:pt idx="0">
                  <c:v>Residual Fuel </c:v>
                </c:pt>
              </c:strCache>
            </c:strRef>
          </c:tx>
          <c:spPr>
            <a:solidFill>
              <a:srgbClr val="660066">
                <a:alpha val="30000"/>
              </a:srgbClr>
            </a:solidFill>
            <a:ln cmpd="sng">
              <a:solidFill>
                <a:srgbClr val="660066"/>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Graphs!$E$321:$P$321</c:f>
              <c:numCache>
                <c:formatCode>_(* #,##0_);_(* \(#,##0\);_(* "-"??_);_(@_)</c:formatCode>
                <c:ptCount val="12"/>
                <c:pt idx="0">
                  <c:v>23472</c:v>
                </c:pt>
                <c:pt idx="1">
                  <c:v>28855</c:v>
                </c:pt>
                <c:pt idx="2">
                  <c:v>21385</c:v>
                </c:pt>
                <c:pt idx="3">
                  <c:v>31573</c:v>
                </c:pt>
                <c:pt idx="4">
                  <c:v>28394</c:v>
                </c:pt>
                <c:pt idx="5">
                  <c:v>33496</c:v>
                </c:pt>
                <c:pt idx="6">
                  <c:v>3736</c:v>
                </c:pt>
                <c:pt idx="7">
                  <c:v>6567</c:v>
                </c:pt>
                <c:pt idx="8">
                  <c:v>1909</c:v>
                </c:pt>
                <c:pt idx="9">
                  <c:v>1758</c:v>
                </c:pt>
                <c:pt idx="10">
                  <c:v>872</c:v>
                </c:pt>
                <c:pt idx="11" formatCode="_(* #,##0_);_(* \(#,##0\);_(* \-??_);_(@_)">
                  <c:v>732</c:v>
                </c:pt>
              </c:numCache>
            </c:numRef>
          </c:val>
          <c:extLst>
            <c:ext xmlns:c16="http://schemas.microsoft.com/office/drawing/2014/chart" uri="{C3380CC4-5D6E-409C-BE32-E72D297353CC}">
              <c16:uniqueId val="{00000004-3FDD-4E95-9953-F23823B88B9D}"/>
            </c:ext>
          </c:extLst>
        </c:ser>
        <c:ser>
          <c:idx val="5"/>
          <c:order val="5"/>
          <c:tx>
            <c:strRef>
              <c:f>Graphs!$D$322</c:f>
              <c:strCache>
                <c:ptCount val="1"/>
                <c:pt idx="0">
                  <c:v>Supplemental Gaseous Fuels </c:v>
                </c:pt>
              </c:strCache>
            </c:strRef>
          </c:tx>
          <c:spPr>
            <a:solidFill>
              <a:srgbClr val="FF8080">
                <a:alpha val="30000"/>
              </a:srgbClr>
            </a:solidFill>
            <a:ln cmpd="sng">
              <a:solidFill>
                <a:srgbClr val="FF8080"/>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Graphs!$E$322:$P$322</c:f>
              <c:numCache>
                <c:formatCode>_(* #,##0_);_(* \(#,##0\);_(* "-"??_);_(@_)</c:formatCode>
                <c:ptCount val="12"/>
                <c:pt idx="0">
                  <c:v>46</c:v>
                </c:pt>
                <c:pt idx="1">
                  <c:v>19</c:v>
                </c:pt>
                <c:pt idx="2">
                  <c:v>6</c:v>
                </c:pt>
                <c:pt idx="3">
                  <c:v>9</c:v>
                </c:pt>
                <c:pt idx="4">
                  <c:v>8</c:v>
                </c:pt>
                <c:pt idx="5">
                  <c:v>41</c:v>
                </c:pt>
                <c:pt idx="6">
                  <c:v>5</c:v>
                </c:pt>
                <c:pt idx="7">
                  <c:v>30</c:v>
                </c:pt>
                <c:pt idx="8">
                  <c:v>19</c:v>
                </c:pt>
                <c:pt idx="9">
                  <c:v>17</c:v>
                </c:pt>
                <c:pt idx="10">
                  <c:v>18</c:v>
                </c:pt>
                <c:pt idx="11" formatCode="_(* #,##0_);_(* \(#,##0\);_(* \-??_);_(@_)">
                  <c:v>10</c:v>
                </c:pt>
              </c:numCache>
            </c:numRef>
          </c:val>
          <c:extLst>
            <c:ext xmlns:c16="http://schemas.microsoft.com/office/drawing/2014/chart" uri="{C3380CC4-5D6E-409C-BE32-E72D297353CC}">
              <c16:uniqueId val="{00000005-3FDD-4E95-9953-F23823B88B9D}"/>
            </c:ext>
          </c:extLst>
        </c:ser>
        <c:ser>
          <c:idx val="6"/>
          <c:order val="6"/>
          <c:tx>
            <c:strRef>
              <c:f>Graphs!$D$323</c:f>
              <c:strCache>
                <c:ptCount val="1"/>
                <c:pt idx="0">
                  <c:v>Photovoltaic and Solar thermal Energy </c:v>
                </c:pt>
              </c:strCache>
            </c:strRef>
          </c:tx>
          <c:spPr>
            <a:solidFill>
              <a:srgbClr val="0066CC">
                <a:alpha val="30000"/>
              </a:srgbClr>
            </a:solidFill>
            <a:ln cmpd="sng">
              <a:solidFill>
                <a:srgbClr val="0066CC"/>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Graphs!$E$323:$P$323</c:f>
              <c:numCache>
                <c:formatCode>_(* #,##0_);_(* \(#,##0\);_(* "-"??_);_(@_)</c:formatCode>
                <c:ptCount val="12"/>
                <c:pt idx="0">
                  <c:v>46</c:v>
                </c:pt>
                <c:pt idx="1">
                  <c:v>43</c:v>
                </c:pt>
                <c:pt idx="2">
                  <c:v>42</c:v>
                </c:pt>
                <c:pt idx="3">
                  <c:v>40</c:v>
                </c:pt>
                <c:pt idx="4">
                  <c:v>69</c:v>
                </c:pt>
                <c:pt idx="5">
                  <c:v>76</c:v>
                </c:pt>
                <c:pt idx="6">
                  <c:v>86</c:v>
                </c:pt>
                <c:pt idx="7">
                  <c:v>99</c:v>
                </c:pt>
                <c:pt idx="8">
                  <c:v>119</c:v>
                </c:pt>
                <c:pt idx="9">
                  <c:v>160</c:v>
                </c:pt>
                <c:pt idx="10">
                  <c:v>205</c:v>
                </c:pt>
                <c:pt idx="11" formatCode="_(* #,##0_);_(* \(#,##0\);_(* \-??_);_(@_)">
                  <c:v>301</c:v>
                </c:pt>
              </c:numCache>
            </c:numRef>
          </c:val>
          <c:extLst>
            <c:ext xmlns:c16="http://schemas.microsoft.com/office/drawing/2014/chart" uri="{C3380CC4-5D6E-409C-BE32-E72D297353CC}">
              <c16:uniqueId val="{00000006-3FDD-4E95-9953-F23823B88B9D}"/>
            </c:ext>
          </c:extLst>
        </c:ser>
        <c:ser>
          <c:idx val="7"/>
          <c:order val="7"/>
          <c:tx>
            <c:strRef>
              <c:f>Graphs!$D$324</c:f>
              <c:strCache>
                <c:ptCount val="1"/>
                <c:pt idx="0">
                  <c:v>Wood and Waste </c:v>
                </c:pt>
              </c:strCache>
            </c:strRef>
          </c:tx>
          <c:spPr>
            <a:solidFill>
              <a:srgbClr val="CCCCFF">
                <a:alpha val="30000"/>
              </a:srgbClr>
            </a:solidFill>
            <a:ln cmpd="sng">
              <a:solidFill>
                <a:srgbClr val="CCCCFF"/>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Graphs!$E$324:$P$324</c:f>
              <c:numCache>
                <c:formatCode>_(* #,##0_);_(* \(#,##0\);_(* "-"??_);_(@_)</c:formatCode>
                <c:ptCount val="12"/>
                <c:pt idx="0">
                  <c:v>12334</c:v>
                </c:pt>
                <c:pt idx="1">
                  <c:v>7034</c:v>
                </c:pt>
                <c:pt idx="2">
                  <c:v>7317</c:v>
                </c:pt>
                <c:pt idx="3">
                  <c:v>7128</c:v>
                </c:pt>
                <c:pt idx="4">
                  <c:v>7306</c:v>
                </c:pt>
                <c:pt idx="5">
                  <c:v>7311</c:v>
                </c:pt>
                <c:pt idx="6">
                  <c:v>7608</c:v>
                </c:pt>
                <c:pt idx="7">
                  <c:v>7497</c:v>
                </c:pt>
                <c:pt idx="8">
                  <c:v>7679</c:v>
                </c:pt>
                <c:pt idx="9">
                  <c:v>7409</c:v>
                </c:pt>
                <c:pt idx="10">
                  <c:v>7602</c:v>
                </c:pt>
                <c:pt idx="11" formatCode="_(* #,##0_);_(* \(#,##0\);_(* \-??_);_(@_)">
                  <c:v>6961</c:v>
                </c:pt>
              </c:numCache>
            </c:numRef>
          </c:val>
          <c:extLst>
            <c:ext xmlns:c16="http://schemas.microsoft.com/office/drawing/2014/chart" uri="{C3380CC4-5D6E-409C-BE32-E72D297353CC}">
              <c16:uniqueId val="{00000007-3FDD-4E95-9953-F23823B88B9D}"/>
            </c:ext>
          </c:extLst>
        </c:ser>
        <c:dLbls>
          <c:showLegendKey val="0"/>
          <c:showVal val="0"/>
          <c:showCatName val="0"/>
          <c:showSerName val="0"/>
          <c:showPercent val="0"/>
          <c:showBubbleSize val="0"/>
        </c:dLbls>
        <c:axId val="1183106302"/>
        <c:axId val="691670857"/>
      </c:areaChart>
      <c:catAx>
        <c:axId val="1183106302"/>
        <c:scaling>
          <c:orientation val="minMax"/>
        </c:scaling>
        <c:delete val="0"/>
        <c:axPos val="b"/>
        <c:title>
          <c:tx>
            <c:rich>
              <a:bodyPr/>
              <a:lstStyle/>
              <a:p>
                <a:pPr lvl="0">
                  <a:defRPr sz="1000" b="1" i="0">
                    <a:solidFill>
                      <a:srgbClr val="000000"/>
                    </a:solidFill>
                    <a:latin typeface="+mn-lt"/>
                  </a:defRPr>
                </a:pPr>
                <a:r>
                  <a:rPr sz="1000" b="1" i="0">
                    <a:solidFill>
                      <a:srgbClr val="000000"/>
                    </a:solidFill>
                    <a:latin typeface="+mn-lt"/>
                  </a:rPr>
                  <a:t>Year</a:t>
                </a: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691670857"/>
        <c:crosses val="autoZero"/>
        <c:auto val="1"/>
        <c:lblAlgn val="ctr"/>
        <c:lblOffset val="100"/>
        <c:noMultiLvlLbl val="1"/>
      </c:catAx>
      <c:valAx>
        <c:axId val="691670857"/>
        <c:scaling>
          <c:orientation val="minMax"/>
        </c:scaling>
        <c:delete val="0"/>
        <c:axPos val="l"/>
        <c:majorGridlines>
          <c:spPr>
            <a:ln>
              <a:solidFill>
                <a:srgbClr val="B7B7B7"/>
              </a:solidFill>
            </a:ln>
          </c:spPr>
        </c:majorGridlines>
        <c:title>
          <c:tx>
            <c:rich>
              <a:bodyPr/>
              <a:lstStyle/>
              <a:p>
                <a:pPr lvl="0">
                  <a:defRPr sz="1000" b="1" i="0">
                    <a:solidFill>
                      <a:srgbClr val="000000"/>
                    </a:solidFill>
                    <a:latin typeface="+mn-lt"/>
                  </a:defRPr>
                </a:pPr>
                <a:r>
                  <a:rPr sz="1000" b="1" i="0">
                    <a:solidFill>
                      <a:srgbClr val="000000"/>
                    </a:solidFill>
                    <a:latin typeface="+mn-lt"/>
                  </a:rPr>
                  <a:t>Energy Consumption (Trillion Btu)</a:t>
                </a:r>
              </a:p>
            </c:rich>
          </c:tx>
          <c:overlay val="0"/>
        </c:title>
        <c:numFmt formatCode="_(* #,##0_);_(* \(#,##0\);_(* &quot;-&quot;??_);_(@_)" sourceLinked="1"/>
        <c:majorTickMark val="none"/>
        <c:minorTickMark val="none"/>
        <c:tickLblPos val="nextTo"/>
        <c:spPr>
          <a:ln/>
        </c:spPr>
        <c:txPr>
          <a:bodyPr/>
          <a:lstStyle/>
          <a:p>
            <a:pPr lvl="0">
              <a:defRPr b="0" i="0">
                <a:solidFill>
                  <a:srgbClr val="000000"/>
                </a:solidFill>
                <a:latin typeface="+mn-lt"/>
              </a:defRPr>
            </a:pPr>
            <a:endParaRPr lang="en-US"/>
          </a:p>
        </c:txPr>
        <c:crossAx val="1183106302"/>
        <c:crosses val="autoZero"/>
        <c:crossBetween val="midCat"/>
      </c:valAx>
    </c:plotArea>
    <c:legend>
      <c:legendPos val="t"/>
      <c:overlay val="0"/>
      <c:txPr>
        <a:bodyPr/>
        <a:lstStyle/>
        <a:p>
          <a:pPr lvl="0">
            <a:defRPr b="0" i="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19.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76200</xdr:rowOff>
    </xdr:from>
    <xdr:ext cx="9725025" cy="1543050"/>
    <xdr:sp macro="" textlink="">
      <xdr:nvSpPr>
        <xdr:cNvPr id="3" name="Shape 3">
          <a:extLst>
            <a:ext uri="{FF2B5EF4-FFF2-40B4-BE49-F238E27FC236}">
              <a16:creationId xmlns:a16="http://schemas.microsoft.com/office/drawing/2014/main" id="{00000000-0008-0000-0300-000003000000}"/>
            </a:ext>
          </a:extLst>
        </xdr:cNvPr>
        <xdr:cNvSpPr/>
      </xdr:nvSpPr>
      <xdr:spPr>
        <a:xfrm>
          <a:off x="488250" y="3013238"/>
          <a:ext cx="9715500" cy="153352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CO2 emissions from fossil fuel combustion in the base unit electric power generation sector were collected from the Regional Greenhouse Gas Initiative (RGGI) Program.  RGGI piggybacks on the EPA Clean Air Markets Division (CAMD) program. Facilities report emissions directly to CAMD.  Facility CO2 emissions are reported directly from continuous emissions monitors (CEM) or are calculated by the facility and sent RGGI/CAMD.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CH4 and N2O emissions from stationary combustion in the electric power sector are calculated using the IPCC Tier 1 approach.  Consumption of each fuel is multiplied by a fuel-specific CH4 or N2O emission factor.  The resulting fuel emission values, in metric tons CH4 and N2O, are then multiplied by the global warming potential, converted to million metric tons of carbon equivalent (MMTCE), then to million metric tons of carbon dioxide equivalent (MMTCO2E), and summed.  For further detail on this method, please refer to the Stationary Chapter in the User's Guide.</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Note that this worksheet estimates the direct emissions associated with the electric power sector. Direct emissions result from the combustion of fossil fuels at the electricity generating station, whereas indirect emissions occur at the point of use (e.g., residential electricity consumption).  Because electricity consumption within a state does not correspond to electricity generated in that same state, emissions from electricity consumption (indirect emissions) are not likely to be the same as emissions from generation (direct emissions). Please refer to the electricity generation module to estimate indirect emissions from electricity consumption.</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476250</xdr:colOff>
      <xdr:row>1</xdr:row>
      <xdr:rowOff>0</xdr:rowOff>
    </xdr:from>
    <xdr:ext cx="6562725" cy="809625"/>
    <xdr:sp macro="" textlink="">
      <xdr:nvSpPr>
        <xdr:cNvPr id="13" name="Shape 13">
          <a:extLst>
            <a:ext uri="{FF2B5EF4-FFF2-40B4-BE49-F238E27FC236}">
              <a16:creationId xmlns:a16="http://schemas.microsoft.com/office/drawing/2014/main" id="{00000000-0008-0000-0D00-00000D000000}"/>
            </a:ext>
          </a:extLst>
        </xdr:cNvPr>
        <xdr:cNvSpPr/>
      </xdr:nvSpPr>
      <xdr:spPr>
        <a:xfrm>
          <a:off x="2069400" y="3379950"/>
          <a:ext cx="6553200" cy="80010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iron &amp; steel production processes produce greenhouse gas emissions. Predominant sources of process-related CO2 emissions in the iron and steel manufacturing industry include:</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Sinter Strand;</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L-Blast Furnace (Iron production);</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Basic Oxygen Furnace –Steel Production (BOF).</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123825</xdr:colOff>
      <xdr:row>1</xdr:row>
      <xdr:rowOff>0</xdr:rowOff>
    </xdr:from>
    <xdr:ext cx="10382250" cy="1285875"/>
    <xdr:sp macro="" textlink="">
      <xdr:nvSpPr>
        <xdr:cNvPr id="14" name="Shape 14">
          <a:extLst>
            <a:ext uri="{FF2B5EF4-FFF2-40B4-BE49-F238E27FC236}">
              <a16:creationId xmlns:a16="http://schemas.microsoft.com/office/drawing/2014/main" id="{00000000-0008-0000-0E00-00000E000000}"/>
            </a:ext>
          </a:extLst>
        </xdr:cNvPr>
        <xdr:cNvSpPr/>
      </xdr:nvSpPr>
      <xdr:spPr>
        <a:xfrm>
          <a:off x="159638" y="3141825"/>
          <a:ext cx="10372725" cy="12763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Estimation of carbon dioxide (CO2) emission from Landfill gas flaring / conversion to energy generation was based on the amount of CH4 collected by the collection system from the total amount of CH4 generated from the Landfill and the control devices efficiency. CO2 emission estimate was based on the stoichiometric combustion reactionequation (1) below.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CH</a:t>
          </a:r>
          <a:r>
            <a:rPr lang="en-US" sz="800" i="0" u="none" strike="noStrike" baseline="-25000">
              <a:solidFill>
                <a:srgbClr val="000000"/>
              </a:solidFill>
              <a:latin typeface="Arial"/>
              <a:ea typeface="Arial"/>
              <a:cs typeface="Arial"/>
              <a:sym typeface="Arial"/>
            </a:rPr>
            <a:t>4</a:t>
          </a:r>
          <a:r>
            <a:rPr lang="en-US" sz="800" i="0" u="none" strike="noStrike">
              <a:solidFill>
                <a:srgbClr val="000000"/>
              </a:solidFill>
              <a:latin typeface="Arial"/>
              <a:ea typeface="Arial"/>
              <a:cs typeface="Arial"/>
              <a:sym typeface="Arial"/>
            </a:rPr>
            <a:t> + 2O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+ 2H</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O (Equation 1)</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 Kmol CH</a:t>
          </a:r>
          <a:r>
            <a:rPr lang="en-US" sz="800" i="0" u="none" strike="noStrike" baseline="-25000">
              <a:solidFill>
                <a:srgbClr val="000000"/>
              </a:solidFill>
              <a:latin typeface="Arial"/>
              <a:ea typeface="Arial"/>
              <a:cs typeface="Arial"/>
              <a:sym typeface="Arial"/>
            </a:rPr>
            <a:t>4</a:t>
          </a:r>
          <a:r>
            <a:rPr lang="en-US" sz="800" i="0" u="none" strike="noStrike">
              <a:solidFill>
                <a:srgbClr val="000000"/>
              </a:solidFill>
              <a:latin typeface="Arial"/>
              <a:ea typeface="Arial"/>
              <a:cs typeface="Arial"/>
              <a:sym typeface="Arial"/>
            </a:rPr>
            <a:t> =&gt; 1 Kmol CO</a:t>
          </a:r>
          <a:r>
            <a:rPr lang="en-US" sz="800" i="0" u="none" strike="noStrike" baseline="-25000">
              <a:solidFill>
                <a:srgbClr val="000000"/>
              </a:solidFill>
              <a:latin typeface="Arial"/>
              <a:ea typeface="Arial"/>
              <a:cs typeface="Arial"/>
              <a:sym typeface="Arial"/>
            </a:rPr>
            <a:t>2</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16 g CH</a:t>
          </a:r>
          <a:r>
            <a:rPr lang="en-US" sz="800" i="0" u="none" strike="noStrike" baseline="-25000">
              <a:solidFill>
                <a:srgbClr val="000000"/>
              </a:solidFill>
              <a:latin typeface="Arial"/>
              <a:ea typeface="Arial"/>
              <a:cs typeface="Arial"/>
              <a:sym typeface="Arial"/>
            </a:rPr>
            <a:t>4</a:t>
          </a:r>
          <a:r>
            <a:rPr lang="en-US" sz="800" i="0" u="none" strike="noStrike">
              <a:solidFill>
                <a:srgbClr val="000000"/>
              </a:solidFill>
              <a:latin typeface="Arial"/>
              <a:ea typeface="Arial"/>
              <a:cs typeface="Arial"/>
              <a:sym typeface="Arial"/>
            </a:rPr>
            <a:t>     =&gt;  44 g CO</a:t>
          </a:r>
          <a:r>
            <a:rPr lang="en-US" sz="800" i="0" u="none" strike="noStrike" baseline="-25000">
              <a:solidFill>
                <a:srgbClr val="000000"/>
              </a:solidFill>
              <a:latin typeface="Arial"/>
              <a:ea typeface="Arial"/>
              <a:cs typeface="Arial"/>
              <a:sym typeface="Arial"/>
            </a:rPr>
            <a:t>2</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 g CH</a:t>
          </a:r>
          <a:r>
            <a:rPr lang="en-US" sz="800" i="0" u="none" strike="noStrike" baseline="-25000">
              <a:solidFill>
                <a:srgbClr val="000000"/>
              </a:solidFill>
              <a:latin typeface="Arial"/>
              <a:ea typeface="Arial"/>
              <a:cs typeface="Arial"/>
              <a:sym typeface="Arial"/>
            </a:rPr>
            <a:t>4</a:t>
          </a:r>
          <a:r>
            <a:rPr lang="en-US" sz="800" i="0" u="none" strike="noStrike">
              <a:solidFill>
                <a:srgbClr val="000000"/>
              </a:solidFill>
              <a:latin typeface="Arial"/>
              <a:ea typeface="Arial"/>
              <a:cs typeface="Arial"/>
              <a:sym typeface="Arial"/>
            </a:rPr>
            <a:t>      =&gt;   2.75 g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476250</xdr:colOff>
      <xdr:row>1</xdr:row>
      <xdr:rowOff>9525</xdr:rowOff>
    </xdr:from>
    <xdr:ext cx="6838950" cy="704850"/>
    <xdr:sp macro="" textlink="">
      <xdr:nvSpPr>
        <xdr:cNvPr id="15" name="Shape 15">
          <a:extLst>
            <a:ext uri="{FF2B5EF4-FFF2-40B4-BE49-F238E27FC236}">
              <a16:creationId xmlns:a16="http://schemas.microsoft.com/office/drawing/2014/main" id="{00000000-0008-0000-0F00-00000F000000}"/>
            </a:ext>
          </a:extLst>
        </xdr:cNvPr>
        <xdr:cNvSpPr/>
      </xdr:nvSpPr>
      <xdr:spPr>
        <a:xfrm>
          <a:off x="1931288" y="3432338"/>
          <a:ext cx="6829425" cy="69532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Carbon dioxide (CO2) emission from Municipal Solid Waste (MSW) combustion in incinerators was estimated from the CO2 Emissions CEM reading at the Incinerators plant (except for harford County),while CH4 and N2O emissions were estimated by  by multiplying the tonnages of MSW combusted in Maryland in 2011 by the default EPA Municipal Solid Waste heat value and an updated CO2 emission factor from the Mandatory Greenhouse Gas Reporting Rule.  All material burned was included in the analysis.</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495300</xdr:colOff>
      <xdr:row>1</xdr:row>
      <xdr:rowOff>0</xdr:rowOff>
    </xdr:from>
    <xdr:ext cx="4981575" cy="1381125"/>
    <xdr:sp macro="" textlink="">
      <xdr:nvSpPr>
        <xdr:cNvPr id="16" name="Shape 16">
          <a:extLst>
            <a:ext uri="{FF2B5EF4-FFF2-40B4-BE49-F238E27FC236}">
              <a16:creationId xmlns:a16="http://schemas.microsoft.com/office/drawing/2014/main" id="{00000000-0008-0000-1000-000010000000}"/>
            </a:ext>
          </a:extLst>
        </xdr:cNvPr>
        <xdr:cNvSpPr/>
      </xdr:nvSpPr>
      <xdr:spPr>
        <a:xfrm>
          <a:off x="2859975" y="3094200"/>
          <a:ext cx="4972050" cy="137160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The method used to calculate emissions is presented in a study/survey conducted by the Mid-Atlantic/Northeast Visibility Union (MANE-VU), titled “Open Burning in Residential Areas Emissions Inventory Development Report.” User's Guide.  The purpose of the survey was to obtain data for developing activity estimates and control information (e.g., bans on burning) that would form the basis of an improved open burning emission inventory for Mid-Atlantic/Northeast Visibility Union (MANE-VU) states.</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 factors in lbs/ton total mass were taken from AP-42 Table 2.5-1, Emission Factors for Open Burning of Municipal Refuse and from a 1997 EPA research paper on open burning.</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1</xdr:row>
      <xdr:rowOff>38100</xdr:rowOff>
    </xdr:from>
    <xdr:ext cx="8734425" cy="2066925"/>
    <xdr:sp macro="" textlink="">
      <xdr:nvSpPr>
        <xdr:cNvPr id="17" name="Shape 17">
          <a:extLst>
            <a:ext uri="{FF2B5EF4-FFF2-40B4-BE49-F238E27FC236}">
              <a16:creationId xmlns:a16="http://schemas.microsoft.com/office/drawing/2014/main" id="{00000000-0008-0000-1100-000011000000}"/>
            </a:ext>
          </a:extLst>
        </xdr:cNvPr>
        <xdr:cNvSpPr/>
      </xdr:nvSpPr>
      <xdr:spPr>
        <a:xfrm>
          <a:off x="983550" y="2751300"/>
          <a:ext cx="8724900" cy="205740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Natural Gas Production are calculated as the sum of emissions from the three categories of production sites: onshore wells, offshore shallow water platforms, and offshore deepwater platforms.  The number of gas production sites (wells or platforms) is multiplied by a site-specific emission factor.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Natural Gas Transmission are calculated as the sum of methane emissions from the pipelines that transport gas, the gas processing stations, the transmission compressor stations, and gas storage compressor facilities.  Emissions from each source are calculated as the product of the activity factor (e.g., miles of pipeline or number of stations) and the source-specific emission factor.</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Natural Gas Distribution are calculated as the sum of emissions from distribution pipelines and end services.  The activity factor for each type of pipeline (e.g., miles of plastic distribution pipeline) is multiplied by the corresponding emission factor.  The number of services is multiplied by a general emission factor and type-specific emission factors.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Natural Gas Venting and Flaring are calculated as the percent of emissions flared (20% is vented with the remaining 80% flared).  The amount of gas that is vented or flared is multiplied by a national emission factor. This total of potential emissions is then multiplied by the percentage of gas flared and converted to million metric tons of carbon equivalent.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EPA SIT User's Guide.</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User's Guide.</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1</xdr:row>
      <xdr:rowOff>19050</xdr:rowOff>
    </xdr:from>
    <xdr:ext cx="9067800" cy="2486025"/>
    <xdr:sp macro="" textlink="">
      <xdr:nvSpPr>
        <xdr:cNvPr id="18" name="Shape 18">
          <a:extLst>
            <a:ext uri="{FF2B5EF4-FFF2-40B4-BE49-F238E27FC236}">
              <a16:creationId xmlns:a16="http://schemas.microsoft.com/office/drawing/2014/main" id="{00000000-0008-0000-1200-000012000000}"/>
            </a:ext>
          </a:extLst>
        </xdr:cNvPr>
        <xdr:cNvSpPr/>
      </xdr:nvSpPr>
      <xdr:spPr>
        <a:xfrm>
          <a:off x="816863" y="2541750"/>
          <a:ext cx="9058275" cy="247650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Coal Mining are calculated by summing the emissions from underground mines, surface mines, and post-mining activities.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Underground mine emissions are comprised of two parts: methane emitted from ventilation systems and methane emitted from degasification systems. Emissions from degasification systems are equal to the difference between methane removed through degasification and methane used for energy purposes. </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Surface mine emissions are the product of surface coal mine production and a basin-specific EF.  </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Emissions from post-mining activities, such as transportation and coal handling, are equal to the sum of post-mining emissions from underground and surface mines; the emissions are each calculated as the product of coal production times a basin and mine-type specific EF.  </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Total emissions from coal mining are the sum of emissions from underground mines, surface mines, and post-mining activities at both types of mines.</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Abandoned Coal Mines are calculated by summing the emissions from mines that are vented, sealed, or flooded.</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Different coal seams vary in the amount of gas present initially and the way the methane is adsorbed to the coal (i.e. some coals release methane more readily than others).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A vented mine is one that can release methane to the atmosphere freely.  The emissions of vented mines will depend on time since abandonment and coal characteristics.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A sealed mine has been sealed to prevent the escape of methane.  However given the nature of the rock used to seal mines, such sealing is never 100 percent effective.  The effect of a seal is to slow the methane emissions to spread them out over a longer period of time.</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After a mine is abandoned and in a flood prone area, the mine will fill up with water.  A completely flooded mine releases little to no methane to the atmosphere.  Therefore, most emissions will occur in the first few years following abandonment.</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For more information, please refer to the Coal Mining chapter of the EPA SIT User's Guide.</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1</xdr:row>
      <xdr:rowOff>28575</xdr:rowOff>
    </xdr:from>
    <xdr:ext cx="10325100" cy="3629025"/>
    <xdr:sp macro="" textlink="">
      <xdr:nvSpPr>
        <xdr:cNvPr id="19" name="Shape 19">
          <a:extLst>
            <a:ext uri="{FF2B5EF4-FFF2-40B4-BE49-F238E27FC236}">
              <a16:creationId xmlns:a16="http://schemas.microsoft.com/office/drawing/2014/main" id="{00000000-0008-0000-1300-000013000000}"/>
            </a:ext>
          </a:extLst>
        </xdr:cNvPr>
        <xdr:cNvSpPr/>
      </xdr:nvSpPr>
      <xdr:spPr>
        <a:xfrm>
          <a:off x="188213" y="1970250"/>
          <a:ext cx="10315575" cy="361950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To calculate methane emissions from municipal wastewater treatment, the total annual BOD5 production in metric tons is multiplied by the fraction that is treated anaerobically and by the CH4 produced per metric ton of BOD5,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Municipal wastewater treatment direct N2O emissions are calculated by multiplying total population served by an N2O emission factor per person per year,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Municipal wastewater N2O emissions from biosolids are calculated by multiplying the total annual protein consumption by the nitrogen content of protein and fraction of nitrogen not consumed, an N2O emission factor per metric ton of nitrogen treated, subtracting direct emissions, converted to million metric tons carbon equivalent (MMTCE), and converted to million metric tons carbon dioxide equivalent (MMTCO2E).   Direct and biosolids N2O emissions are then added to produce an estimate of total municipal wastewater treatment N2O emissions.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treatment of industrial wastewater from fruit and vegetables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treatment of industrial wastewater from red meat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treatment of industrial wastewater from poultry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treatment of industrial wastewater from pulp and paper production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33</xdr:col>
      <xdr:colOff>57150</xdr:colOff>
      <xdr:row>1</xdr:row>
      <xdr:rowOff>57150</xdr:rowOff>
    </xdr:from>
    <xdr:ext cx="10782300" cy="6362700"/>
    <xdr:sp macro="" textlink="">
      <xdr:nvSpPr>
        <xdr:cNvPr id="20" name="Shape 20">
          <a:extLst>
            <a:ext uri="{FF2B5EF4-FFF2-40B4-BE49-F238E27FC236}">
              <a16:creationId xmlns:a16="http://schemas.microsoft.com/office/drawing/2014/main" id="{00000000-0008-0000-1400-000014000000}"/>
            </a:ext>
          </a:extLst>
        </xdr:cNvPr>
        <xdr:cNvSpPr/>
      </xdr:nvSpPr>
      <xdr:spPr>
        <a:xfrm>
          <a:off x="0" y="603413"/>
          <a:ext cx="10692000" cy="635317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the Agricultural Sector are calculated by summing the emissions from the following sources: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Enteric Fermentation</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Manure Management</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Plant Residues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Fertilizers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Animals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Rice Cultivation</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Agricultural Residue Burning</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This amount is also converted to MMTCE, MMT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Rice Cultivation are calculated using the area harvested.  There is no rice cultivation in Maryland.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  Note that default emission factors are available through 2007.</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oneCellAnchor>
    <xdr:from>
      <xdr:col>1</xdr:col>
      <xdr:colOff>0</xdr:colOff>
      <xdr:row>1</xdr:row>
      <xdr:rowOff>57150</xdr:rowOff>
    </xdr:from>
    <xdr:ext cx="12925425" cy="5105400"/>
    <xdr:sp macro="" textlink="">
      <xdr:nvSpPr>
        <xdr:cNvPr id="21" name="Shape 21">
          <a:extLst>
            <a:ext uri="{FF2B5EF4-FFF2-40B4-BE49-F238E27FC236}">
              <a16:creationId xmlns:a16="http://schemas.microsoft.com/office/drawing/2014/main" id="{00000000-0008-0000-1400-000015000000}"/>
            </a:ext>
          </a:extLst>
        </xdr:cNvPr>
        <xdr:cNvSpPr/>
      </xdr:nvSpPr>
      <xdr:spPr>
        <a:xfrm>
          <a:off x="0" y="1232063"/>
          <a:ext cx="10692000" cy="509587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Enteric Fermentation</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Manure Management</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Kjejdahl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Residues &amp; Legumes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Fertilizers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Animals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Residue Burning</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0</xdr:colOff>
      <xdr:row>1</xdr:row>
      <xdr:rowOff>9525</xdr:rowOff>
    </xdr:from>
    <xdr:ext cx="10439400" cy="3238500"/>
    <xdr:sp macro="" textlink="">
      <xdr:nvSpPr>
        <xdr:cNvPr id="22" name="Shape 22">
          <a:extLst>
            <a:ext uri="{FF2B5EF4-FFF2-40B4-BE49-F238E27FC236}">
              <a16:creationId xmlns:a16="http://schemas.microsoft.com/office/drawing/2014/main" id="{00000000-0008-0000-1500-000016000000}"/>
            </a:ext>
          </a:extLst>
        </xdr:cNvPr>
        <xdr:cNvSpPr/>
      </xdr:nvSpPr>
      <xdr:spPr>
        <a:xfrm>
          <a:off x="131063" y="2165513"/>
          <a:ext cx="10429875" cy="322897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To calculate GHG emissions from land use, land-use change, and forestry, the data listed beloware required inputs.  Additional information on these calculations is available in the Land Use, Land Use Change and Forestry Chapter of the EPA State Inventory Tool User's Guide.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Forestry Worksheets                     Input Data Required </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Forest Carbon Flux                       Carbon emitted from or sequestered in aboveground biomass, belowground biomass, dead wood, litter, soil organic carbon, wood products and landfills (million metric tons)</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Liming of Agricultural Soils            Emission factors for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emitted from use of crushed limestone and dolomite (ton C/ton limestone) </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Total limestone and dolomite applied to soils (metric tons)</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Urea Fertilization                           Emission factors for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emitted from the use of urea as a fertilizer (tons C/ ton urea)</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Total urea applied to soils (metric tons)</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Urban Trees                                  Carbon sequestration factor for urban trees (metric ton C/hectare/year)</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Total urban area (square kilometers)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Urban area tree cover (percent)</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N</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O from Settlement Soils            Direct N</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O emission factor for managed soils (percent)</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Total synthetic fertilizer applied to settlements (metric tons nitrogen)</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Non-CO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Emissions                      Emission factors for CH</a:t>
          </a:r>
          <a:r>
            <a:rPr lang="en-US" sz="800" i="0" u="none" strike="noStrike" baseline="-25000">
              <a:solidFill>
                <a:srgbClr val="000000"/>
              </a:solidFill>
              <a:latin typeface="Arial"/>
              <a:ea typeface="Arial"/>
              <a:cs typeface="Arial"/>
              <a:sym typeface="Arial"/>
            </a:rPr>
            <a:t>4</a:t>
          </a:r>
          <a:r>
            <a:rPr lang="en-US" sz="800" i="0" u="none" strike="noStrike">
              <a:solidFill>
                <a:srgbClr val="000000"/>
              </a:solidFill>
              <a:latin typeface="Arial"/>
              <a:ea typeface="Arial"/>
              <a:cs typeface="Arial"/>
              <a:sym typeface="Arial"/>
            </a:rPr>
            <a:t> and N</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O emitted from burning forest and savanna (grams of gas/kilogram of</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from Forest Fires                          dry matter combusted) </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Combustion efficiency of different vegetation types (percent)</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7</xdr:col>
      <xdr:colOff>2047875</xdr:colOff>
      <xdr:row>23</xdr:row>
      <xdr:rowOff>0</xdr:rowOff>
    </xdr:from>
    <xdr:ext cx="5924550" cy="4267200"/>
    <xdr:graphicFrame macro="">
      <xdr:nvGraphicFramePr>
        <xdr:cNvPr id="1725384066" name="Chart 1" descr="Chart 0">
          <a:extLst>
            <a:ext uri="{FF2B5EF4-FFF2-40B4-BE49-F238E27FC236}">
              <a16:creationId xmlns:a16="http://schemas.microsoft.com/office/drawing/2014/main" id="{00000000-0008-0000-1600-00008245D7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238125</xdr:colOff>
      <xdr:row>213</xdr:row>
      <xdr:rowOff>0</xdr:rowOff>
    </xdr:from>
    <xdr:ext cx="5857875" cy="3867150"/>
    <xdr:graphicFrame macro="">
      <xdr:nvGraphicFramePr>
        <xdr:cNvPr id="993234353" name="Chart 2" descr="Chart 1">
          <a:extLst>
            <a:ext uri="{FF2B5EF4-FFF2-40B4-BE49-F238E27FC236}">
              <a16:creationId xmlns:a16="http://schemas.microsoft.com/office/drawing/2014/main" id="{00000000-0008-0000-1600-0000B18D33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19</xdr:col>
      <xdr:colOff>0</xdr:colOff>
      <xdr:row>46</xdr:row>
      <xdr:rowOff>0</xdr:rowOff>
    </xdr:from>
    <xdr:ext cx="5743575" cy="4857750"/>
    <xdr:graphicFrame macro="">
      <xdr:nvGraphicFramePr>
        <xdr:cNvPr id="327470937" name="Chart 3" descr="Chart 2">
          <a:extLst>
            <a:ext uri="{FF2B5EF4-FFF2-40B4-BE49-F238E27FC236}">
              <a16:creationId xmlns:a16="http://schemas.microsoft.com/office/drawing/2014/main" id="{00000000-0008-0000-1600-000059CF84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8</xdr:col>
      <xdr:colOff>0</xdr:colOff>
      <xdr:row>46</xdr:row>
      <xdr:rowOff>0</xdr:rowOff>
    </xdr:from>
    <xdr:ext cx="5915025" cy="3876675"/>
    <xdr:graphicFrame macro="">
      <xdr:nvGraphicFramePr>
        <xdr:cNvPr id="2115998868" name="Chart 4" descr="Chart 3">
          <a:extLst>
            <a:ext uri="{FF2B5EF4-FFF2-40B4-BE49-F238E27FC236}">
              <a16:creationId xmlns:a16="http://schemas.microsoft.com/office/drawing/2014/main" id="{00000000-0008-0000-1600-000094941F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2</xdr:col>
      <xdr:colOff>47625</xdr:colOff>
      <xdr:row>261</xdr:row>
      <xdr:rowOff>47625</xdr:rowOff>
    </xdr:from>
    <xdr:ext cx="5886450" cy="3876675"/>
    <xdr:graphicFrame macro="">
      <xdr:nvGraphicFramePr>
        <xdr:cNvPr id="1463317282" name="Chart 5" descr="Chart 4">
          <a:extLst>
            <a:ext uri="{FF2B5EF4-FFF2-40B4-BE49-F238E27FC236}">
              <a16:creationId xmlns:a16="http://schemas.microsoft.com/office/drawing/2014/main" id="{00000000-0008-0000-1600-0000227338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24</xdr:col>
      <xdr:colOff>342900</xdr:colOff>
      <xdr:row>294</xdr:row>
      <xdr:rowOff>190500</xdr:rowOff>
    </xdr:from>
    <xdr:ext cx="5048250" cy="3990975"/>
    <xdr:graphicFrame macro="">
      <xdr:nvGraphicFramePr>
        <xdr:cNvPr id="1103019962" name="Chart 6" descr="Chart 5">
          <a:extLst>
            <a:ext uri="{FF2B5EF4-FFF2-40B4-BE49-F238E27FC236}">
              <a16:creationId xmlns:a16="http://schemas.microsoft.com/office/drawing/2014/main" id="{00000000-0008-0000-1600-0000BABFBE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8</xdr:col>
      <xdr:colOff>0</xdr:colOff>
      <xdr:row>2</xdr:row>
      <xdr:rowOff>0</xdr:rowOff>
    </xdr:from>
    <xdr:ext cx="5924550" cy="3933825"/>
    <xdr:graphicFrame macro="">
      <xdr:nvGraphicFramePr>
        <xdr:cNvPr id="1511732932" name="Chart 7" descr="Chart 6">
          <a:extLst>
            <a:ext uri="{FF2B5EF4-FFF2-40B4-BE49-F238E27FC236}">
              <a16:creationId xmlns:a16="http://schemas.microsoft.com/office/drawing/2014/main" id="{00000000-0008-0000-1600-0000C4361B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7</xdr:col>
      <xdr:colOff>1228725</xdr:colOff>
      <xdr:row>326</xdr:row>
      <xdr:rowOff>57150</xdr:rowOff>
    </xdr:from>
    <xdr:ext cx="6591300" cy="3876675"/>
    <xdr:graphicFrame macro="">
      <xdr:nvGraphicFramePr>
        <xdr:cNvPr id="1030733654" name="Chart 8" descr="Chart 7">
          <a:extLst>
            <a:ext uri="{FF2B5EF4-FFF2-40B4-BE49-F238E27FC236}">
              <a16:creationId xmlns:a16="http://schemas.microsoft.com/office/drawing/2014/main" id="{00000000-0008-0000-1600-000056BF6F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114300</xdr:colOff>
      <xdr:row>1</xdr:row>
      <xdr:rowOff>47625</xdr:rowOff>
    </xdr:from>
    <xdr:ext cx="10077450" cy="857250"/>
    <xdr:sp macro="" textlink="">
      <xdr:nvSpPr>
        <xdr:cNvPr id="4" name="Shape 4">
          <a:extLst>
            <a:ext uri="{FF2B5EF4-FFF2-40B4-BE49-F238E27FC236}">
              <a16:creationId xmlns:a16="http://schemas.microsoft.com/office/drawing/2014/main" id="{00000000-0008-0000-0500-000004000000}"/>
            </a:ext>
          </a:extLst>
        </xdr:cNvPr>
        <xdr:cNvSpPr/>
      </xdr:nvSpPr>
      <xdr:spPr>
        <a:xfrm>
          <a:off x="312038" y="3356138"/>
          <a:ext cx="10067925" cy="84772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Maryland is a net importer of electricity, meaning that the State consumes more electricity than is produced in the State. For this analysis, it was assumed that all power generated in Maryland was consumed in Maryland, and that remaining electricity demand was met by imported power.  The electricity imported to meet Maryland demand was assume to come from the PJM Interconnection.</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The fuel mix within the PJM region required to generate the electricity was obtained and CO2 emission rates per fuel type were calculated.  These emission rates were applied to the amount of electricity Maryland imported to meet demand.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209550</xdr:colOff>
      <xdr:row>1</xdr:row>
      <xdr:rowOff>123825</xdr:rowOff>
    </xdr:from>
    <xdr:ext cx="10820400" cy="714375"/>
    <xdr:sp macro="" textlink="">
      <xdr:nvSpPr>
        <xdr:cNvPr id="5" name="Shape 5">
          <a:extLst>
            <a:ext uri="{FF2B5EF4-FFF2-40B4-BE49-F238E27FC236}">
              <a16:creationId xmlns:a16="http://schemas.microsoft.com/office/drawing/2014/main" id="{00000000-0008-0000-0600-000005000000}"/>
            </a:ext>
          </a:extLst>
        </xdr:cNvPr>
        <xdr:cNvSpPr/>
      </xdr:nvSpPr>
      <xdr:spPr>
        <a:xfrm>
          <a:off x="0" y="3427575"/>
          <a:ext cx="10692000" cy="7048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209550</xdr:colOff>
      <xdr:row>1</xdr:row>
      <xdr:rowOff>123825</xdr:rowOff>
    </xdr:from>
    <xdr:ext cx="10820400" cy="714375"/>
    <xdr:sp macro="" textlink="">
      <xdr:nvSpPr>
        <xdr:cNvPr id="6" name="Shape 6">
          <a:extLst>
            <a:ext uri="{FF2B5EF4-FFF2-40B4-BE49-F238E27FC236}">
              <a16:creationId xmlns:a16="http://schemas.microsoft.com/office/drawing/2014/main" id="{00000000-0008-0000-0600-000006000000}"/>
            </a:ext>
          </a:extLst>
        </xdr:cNvPr>
        <xdr:cNvSpPr/>
      </xdr:nvSpPr>
      <xdr:spPr>
        <a:xfrm>
          <a:off x="0" y="3427575"/>
          <a:ext cx="10692000" cy="7048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E), and summed.   For further detail on this method, refer to EPA SIT User's Guide.</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438150</xdr:colOff>
      <xdr:row>1</xdr:row>
      <xdr:rowOff>38100</xdr:rowOff>
    </xdr:from>
    <xdr:ext cx="8505825" cy="1438275"/>
    <xdr:sp macro="" textlink="">
      <xdr:nvSpPr>
        <xdr:cNvPr id="7" name="Shape 7">
          <a:extLst>
            <a:ext uri="{FF2B5EF4-FFF2-40B4-BE49-F238E27FC236}">
              <a16:creationId xmlns:a16="http://schemas.microsoft.com/office/drawing/2014/main" id="{00000000-0008-0000-0700-000007000000}"/>
            </a:ext>
          </a:extLst>
        </xdr:cNvPr>
        <xdr:cNvSpPr/>
      </xdr:nvSpPr>
      <xdr:spPr>
        <a:xfrm>
          <a:off x="1097850" y="3065625"/>
          <a:ext cx="8496300" cy="14287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emissions from fossil fuel combustion in the residential sector are calculated by multiplying energy consumption (in the residential sector) by carbon content coefficients for each fuel.  These quantities are then multiplied by fuel-specific percentages of carbon oxidized during combustion ("combustion efficiency").  The resulting fuel emission values, in pounds of carbon, are then converted to short tons of carbon and million metric tons of carbon equivalent (MMTCE), then to million metric tons of carbon dioxide equivalent (MMTCO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E), and summed.     For further detail on this method, refer to the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FFC Chapter in the User's Guide.</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According to the methods developed by the International Panel on Climate Change,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emissions from the combustion of biogenic sources (e.g., fuel wood) are not counted in greenhouse gas inventories, provided that those sources are harvested on a sustainable basis. The carbon in wood fuel was originally removed from the atmosphere by photosynthesis, and under natural conditions, it would cycle back to the atmosphere eventually as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due to degradation processes. For processes with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emissions, if the emissions are from biogenic materials and the materials are grown on a sustainable basis, then those emissions are considered to close the loop in the natural carbon cycle. </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466725</xdr:colOff>
      <xdr:row>1</xdr:row>
      <xdr:rowOff>19050</xdr:rowOff>
    </xdr:from>
    <xdr:ext cx="6705600" cy="819150"/>
    <xdr:sp macro="" textlink="">
      <xdr:nvSpPr>
        <xdr:cNvPr id="8" name="Shape 8">
          <a:extLst>
            <a:ext uri="{FF2B5EF4-FFF2-40B4-BE49-F238E27FC236}">
              <a16:creationId xmlns:a16="http://schemas.microsoft.com/office/drawing/2014/main" id="{00000000-0008-0000-0800-000008000000}"/>
            </a:ext>
          </a:extLst>
        </xdr:cNvPr>
        <xdr:cNvSpPr/>
      </xdr:nvSpPr>
      <xdr:spPr>
        <a:xfrm>
          <a:off x="1997963" y="3375188"/>
          <a:ext cx="6696075" cy="80962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emissions from fossil fuel combustion in the commercial sector are calculated by multiplying energy consumption (in the commercial sector) by carbon content coefficients for each fuel.  These quantities are then multiplied by fuel-specific percentages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E), and summed.   For further detail on this method, refer to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142875</xdr:colOff>
      <xdr:row>1</xdr:row>
      <xdr:rowOff>47625</xdr:rowOff>
    </xdr:from>
    <xdr:ext cx="8572500" cy="790575"/>
    <xdr:sp macro="" textlink="">
      <xdr:nvSpPr>
        <xdr:cNvPr id="9" name="Shape 9">
          <a:extLst>
            <a:ext uri="{FF2B5EF4-FFF2-40B4-BE49-F238E27FC236}">
              <a16:creationId xmlns:a16="http://schemas.microsoft.com/office/drawing/2014/main" id="{00000000-0008-0000-0900-000009000000}"/>
            </a:ext>
          </a:extLst>
        </xdr:cNvPr>
        <xdr:cNvSpPr/>
      </xdr:nvSpPr>
      <xdr:spPr>
        <a:xfrm>
          <a:off x="1064513" y="3389475"/>
          <a:ext cx="8562975" cy="7810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emissions from fossil fuel combustion in the industrial sector are calculated by first subtracting non-energy consumption multiplied by carbon storage factors from the energy consumption for each fuel type.  The resulting combustible consumption for each fuel is then multiplied by a carbon content coefficient and by the percentage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E), and summed.  For further detail on this method, refer to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190500</xdr:colOff>
      <xdr:row>1</xdr:row>
      <xdr:rowOff>9525</xdr:rowOff>
    </xdr:from>
    <xdr:ext cx="8591550" cy="2809875"/>
    <xdr:sp macro="" textlink="">
      <xdr:nvSpPr>
        <xdr:cNvPr id="10" name="Shape 10">
          <a:extLst>
            <a:ext uri="{FF2B5EF4-FFF2-40B4-BE49-F238E27FC236}">
              <a16:creationId xmlns:a16="http://schemas.microsoft.com/office/drawing/2014/main" id="{00000000-0008-0000-0A00-00000A000000}"/>
            </a:ext>
          </a:extLst>
        </xdr:cNvPr>
        <xdr:cNvSpPr/>
      </xdr:nvSpPr>
      <xdr:spPr>
        <a:xfrm>
          <a:off x="1054988" y="2379825"/>
          <a:ext cx="8582025" cy="28003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Limestone</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limestone and dolomite use result from industrial consumption.  The quantities of limestone consumed for industrial purposes, dolomite consumed for industrial purposes, and magnesium produced from dolomite are multiplied by their respective emission factors.  Industrial uses include the consumption of limestone and dolomite for flux stone production, glass manufacturing, flue gas desulfurization (FGD), Mg production through the thermic reduction of dolomite, chemical stone manufacturing, mine dusting or acid water treatment, acid neutralization, and sugar refining.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Soda Ash</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soda ash manufacture and consumption are calculated by multiplying the quantity of soda ash manufactured and the quantity of soda ash consumed by their respective emission factors.  Maryland does not manufacture soda ash.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Electric Power Transmission and Distribution</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electric power transmission and distribution are calculated by multiplying the quantity of SF6 consumed by an emission factor.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ODS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of HFCs, PFCs, and SF6 from ODS substitute production are estimated by apportioning national emissions to each state based on population.  State population data was provided by the U.S. Census Bureau (http://www.census.gov).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All emissions are then converted from metric tons of carbon equivalents (MTCE) to metric tons of carbon dioxide equivalents (MTCO2E).  Additional information on these calculations is available in the EPA SIT tool Industrial Processes Chapter of the User's Guide.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352425</xdr:colOff>
      <xdr:row>1</xdr:row>
      <xdr:rowOff>0</xdr:rowOff>
    </xdr:from>
    <xdr:ext cx="9820275" cy="942975"/>
    <xdr:sp macro="" textlink="">
      <xdr:nvSpPr>
        <xdr:cNvPr id="11" name="Shape 11">
          <a:extLst>
            <a:ext uri="{FF2B5EF4-FFF2-40B4-BE49-F238E27FC236}">
              <a16:creationId xmlns:a16="http://schemas.microsoft.com/office/drawing/2014/main" id="{00000000-0008-0000-0B00-00000B000000}"/>
            </a:ext>
          </a:extLst>
        </xdr:cNvPr>
        <xdr:cNvSpPr/>
      </xdr:nvSpPr>
      <xdr:spPr>
        <a:xfrm>
          <a:off x="440625" y="3313275"/>
          <a:ext cx="9810750" cy="9334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cement production consist of CO2 emissions produced from the following processes that follow the EPA Mandatory Greenhouse Gases Reporting  Methodolgy.</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Raw materials converted to Clinker;</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Calcinations of Clinker Kiln Dust (CKD) leaving the Kiln system;</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Organic carbon content of Raw Meal.</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masonry cement are accounted for in the Lime Production estimates).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466725</xdr:colOff>
      <xdr:row>1</xdr:row>
      <xdr:rowOff>28575</xdr:rowOff>
    </xdr:from>
    <xdr:ext cx="7924800" cy="638175"/>
    <xdr:sp macro="" textlink="">
      <xdr:nvSpPr>
        <xdr:cNvPr id="12" name="Shape 12">
          <a:extLst>
            <a:ext uri="{FF2B5EF4-FFF2-40B4-BE49-F238E27FC236}">
              <a16:creationId xmlns:a16="http://schemas.microsoft.com/office/drawing/2014/main" id="{00000000-0008-0000-0C00-00000C000000}"/>
            </a:ext>
          </a:extLst>
        </xdr:cNvPr>
        <xdr:cNvSpPr/>
      </xdr:nvSpPr>
      <xdr:spPr>
        <a:xfrm>
          <a:off x="1388363" y="3465675"/>
          <a:ext cx="7915275" cy="6286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ammonia production and urea application are calculated by multiplying the quantity of ammonia produced and urea applied by their respective emission factors. Emissions from urea application are subtracted from emissions due to ammonia production. The emissions are then converted from metric tons of carbon equivalents (MTCE) to metric tons of carbon dioxide equivalents (MTCO2E).  Additional information on these calculations is available in the Industrial Processes Chapter of the EPA State Inventory Tool User's Guide.  </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hyperlink" Target="http://www.eia.gov/naturalgas/annual/pdf/table_005.pdf" TargetMode="External"/><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odocs.osmre.gov/qdocs.aspx" TargetMode="External"/><Relationship Id="rId1" Type="http://schemas.openxmlformats.org/officeDocument/2006/relationships/hyperlink" Target="http://www.eia.gov/coal/annual/pdf/table1.pdf"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Z1006"/>
  <sheetViews>
    <sheetView tabSelected="1" workbookViewId="0"/>
  </sheetViews>
  <sheetFormatPr defaultColWidth="16.83203125" defaultRowHeight="11.25" x14ac:dyDescent="0.2"/>
  <cols>
    <col min="1" max="1" width="4.5" customWidth="1"/>
    <col min="2" max="2" width="8" customWidth="1"/>
    <col min="3" max="3" width="79" customWidth="1"/>
    <col min="4" max="4" width="16.6640625" customWidth="1"/>
    <col min="5" max="5" width="8.83203125" customWidth="1"/>
    <col min="6" max="6" width="10.6640625" bestFit="1" customWidth="1"/>
    <col min="7" max="7" width="16.33203125" bestFit="1" customWidth="1"/>
    <col min="8" max="9" width="8.83203125" customWidth="1"/>
    <col min="10" max="26" width="8" customWidth="1"/>
  </cols>
  <sheetData>
    <row r="1" spans="2:26" ht="33.75" thickBot="1" x14ac:dyDescent="0.5">
      <c r="B1" s="2001" t="s">
        <v>1871</v>
      </c>
      <c r="C1" s="2002"/>
      <c r="D1" s="2003" t="s">
        <v>1872</v>
      </c>
      <c r="E1" s="2000"/>
      <c r="F1" s="2000"/>
      <c r="G1" s="2000"/>
      <c r="H1" s="2000"/>
      <c r="I1" s="2000"/>
      <c r="J1" s="2000"/>
      <c r="K1" s="4"/>
      <c r="L1" s="4"/>
      <c r="M1" s="4"/>
      <c r="N1" s="4"/>
      <c r="O1" s="4"/>
      <c r="P1" s="4"/>
      <c r="Q1" s="4"/>
      <c r="R1" s="4"/>
      <c r="S1" s="4"/>
      <c r="T1" s="4"/>
      <c r="U1" s="4"/>
      <c r="V1" s="4"/>
      <c r="W1" s="4"/>
      <c r="X1" s="4"/>
      <c r="Y1" s="4"/>
      <c r="Z1" s="4"/>
    </row>
    <row r="2" spans="2:26" ht="15" x14ac:dyDescent="0.25">
      <c r="B2" s="4"/>
      <c r="C2" s="2"/>
      <c r="D2" s="5"/>
      <c r="E2" s="2000"/>
      <c r="F2" s="2136" t="s">
        <v>0</v>
      </c>
      <c r="G2" s="2137"/>
      <c r="H2" s="2137"/>
      <c r="I2" s="2138"/>
      <c r="J2" s="2000"/>
      <c r="K2" s="4"/>
      <c r="L2" s="4"/>
      <c r="M2" s="4"/>
      <c r="N2" s="4"/>
      <c r="O2" s="4"/>
      <c r="P2" s="4"/>
      <c r="Q2" s="4"/>
      <c r="R2" s="4"/>
      <c r="S2" s="4"/>
      <c r="T2" s="4"/>
      <c r="U2" s="4"/>
      <c r="V2" s="4"/>
      <c r="W2" s="4"/>
      <c r="X2" s="4"/>
      <c r="Y2" s="4"/>
      <c r="Z2" s="4"/>
    </row>
    <row r="3" spans="2:26" ht="15" x14ac:dyDescent="0.25">
      <c r="B3" s="4"/>
      <c r="C3" s="2"/>
      <c r="D3" s="5"/>
      <c r="E3" s="2000"/>
      <c r="F3" s="2004"/>
      <c r="G3" s="2005" t="s">
        <v>1</v>
      </c>
      <c r="H3" s="2006" t="s">
        <v>2</v>
      </c>
      <c r="I3" s="2007" t="s">
        <v>3</v>
      </c>
      <c r="J3" s="2000"/>
      <c r="K3" s="4"/>
      <c r="L3" s="4"/>
      <c r="M3" s="4"/>
      <c r="N3" s="4"/>
      <c r="O3" s="4"/>
      <c r="P3" s="4"/>
      <c r="Q3" s="4"/>
      <c r="R3" s="4"/>
      <c r="S3" s="4"/>
      <c r="T3" s="4"/>
      <c r="U3" s="4"/>
      <c r="V3" s="4"/>
      <c r="W3" s="4"/>
      <c r="X3" s="4"/>
      <c r="Y3" s="4"/>
      <c r="Z3" s="4"/>
    </row>
    <row r="4" spans="2:26" ht="15" x14ac:dyDescent="0.25">
      <c r="B4" s="4"/>
      <c r="C4" s="2"/>
      <c r="D4" s="5"/>
      <c r="E4" s="2000"/>
      <c r="F4" s="2004" t="s">
        <v>4</v>
      </c>
      <c r="G4" s="2008">
        <v>1</v>
      </c>
      <c r="H4" s="2008">
        <v>1</v>
      </c>
      <c r="I4" s="2009">
        <v>1</v>
      </c>
      <c r="J4" s="2000"/>
      <c r="K4" s="4"/>
      <c r="L4" s="4"/>
      <c r="M4" s="4"/>
      <c r="N4" s="4"/>
      <c r="O4" s="4"/>
      <c r="P4" s="4"/>
      <c r="Q4" s="4"/>
      <c r="R4" s="4"/>
      <c r="S4" s="4"/>
      <c r="T4" s="4"/>
      <c r="U4" s="4"/>
      <c r="V4" s="4"/>
      <c r="W4" s="4"/>
      <c r="X4" s="4"/>
      <c r="Y4" s="4"/>
      <c r="Z4" s="4"/>
    </row>
    <row r="5" spans="2:26" ht="15" x14ac:dyDescent="0.25">
      <c r="B5" s="4"/>
      <c r="C5" s="2"/>
      <c r="D5" s="5"/>
      <c r="E5" s="2000"/>
      <c r="F5" s="2004" t="s">
        <v>5</v>
      </c>
      <c r="G5" s="2010">
        <v>28</v>
      </c>
      <c r="H5" s="2008">
        <v>21</v>
      </c>
      <c r="I5" s="2009">
        <v>28</v>
      </c>
      <c r="J5" s="2000"/>
      <c r="K5" s="4"/>
      <c r="L5" s="4"/>
      <c r="M5" s="4"/>
      <c r="N5" s="4"/>
      <c r="O5" s="4"/>
      <c r="P5" s="4"/>
      <c r="Q5" s="4"/>
      <c r="R5" s="4"/>
      <c r="S5" s="4"/>
      <c r="T5" s="4"/>
      <c r="U5" s="4"/>
      <c r="V5" s="4"/>
      <c r="W5" s="4"/>
      <c r="X5" s="4"/>
      <c r="Y5" s="4"/>
      <c r="Z5" s="4"/>
    </row>
    <row r="6" spans="2:26" ht="15" x14ac:dyDescent="0.25">
      <c r="B6" s="4"/>
      <c r="C6" s="2"/>
      <c r="D6" s="5"/>
      <c r="E6" s="2000"/>
      <c r="F6" s="2004" t="s">
        <v>6</v>
      </c>
      <c r="G6" s="2010">
        <v>265</v>
      </c>
      <c r="H6" s="2008">
        <v>310</v>
      </c>
      <c r="I6" s="2009">
        <v>265</v>
      </c>
      <c r="J6" s="2000"/>
      <c r="K6" s="4"/>
      <c r="L6" s="4"/>
      <c r="M6" s="4"/>
      <c r="N6" s="4"/>
      <c r="O6" s="4"/>
      <c r="P6" s="4"/>
      <c r="Q6" s="4"/>
      <c r="R6" s="4"/>
      <c r="S6" s="4"/>
      <c r="T6" s="4"/>
      <c r="U6" s="4"/>
      <c r="V6" s="4"/>
      <c r="W6" s="4"/>
      <c r="X6" s="4"/>
      <c r="Y6" s="4"/>
      <c r="Z6" s="4"/>
    </row>
    <row r="7" spans="2:26" ht="15" x14ac:dyDescent="0.25">
      <c r="B7" s="4"/>
      <c r="C7" s="2"/>
      <c r="D7" s="5"/>
      <c r="E7" s="2000"/>
      <c r="F7" s="2004" t="s">
        <v>7</v>
      </c>
      <c r="G7" s="2011">
        <v>23500</v>
      </c>
      <c r="H7" s="2012">
        <v>23900</v>
      </c>
      <c r="I7" s="2013">
        <v>23500</v>
      </c>
      <c r="J7" s="2000"/>
      <c r="K7" s="4"/>
      <c r="L7" s="4"/>
      <c r="M7" s="4"/>
      <c r="N7" s="4"/>
      <c r="O7" s="4"/>
      <c r="P7" s="4"/>
      <c r="Q7" s="4"/>
      <c r="R7" s="4"/>
      <c r="S7" s="4"/>
      <c r="T7" s="4"/>
      <c r="U7" s="4"/>
      <c r="V7" s="4"/>
      <c r="W7" s="4"/>
      <c r="X7" s="4"/>
      <c r="Y7" s="4"/>
      <c r="Z7" s="4"/>
    </row>
    <row r="8" spans="2:26" ht="15.75" thickBot="1" x14ac:dyDescent="0.3">
      <c r="B8" s="4"/>
      <c r="C8" s="2"/>
      <c r="D8" s="5"/>
      <c r="E8" s="2000"/>
      <c r="F8" s="2014" t="s">
        <v>8</v>
      </c>
      <c r="G8" s="2015">
        <v>11100</v>
      </c>
      <c r="H8" s="2016">
        <v>9200</v>
      </c>
      <c r="I8" s="2017">
        <v>11100</v>
      </c>
      <c r="J8" s="2000"/>
      <c r="K8" s="4"/>
      <c r="L8" s="4"/>
      <c r="M8" s="4"/>
      <c r="N8" s="4"/>
      <c r="O8" s="4"/>
      <c r="P8" s="4"/>
      <c r="Q8" s="4"/>
      <c r="R8" s="4"/>
      <c r="S8" s="4"/>
      <c r="T8" s="4"/>
      <c r="U8" s="4"/>
      <c r="V8" s="4"/>
      <c r="W8" s="4"/>
      <c r="X8" s="4"/>
      <c r="Y8" s="4"/>
      <c r="Z8" s="4"/>
    </row>
    <row r="9" spans="2:26" ht="18.75" thickBot="1" x14ac:dyDescent="0.4">
      <c r="B9" s="2139" t="s">
        <v>9</v>
      </c>
      <c r="C9" s="2140"/>
      <c r="D9" s="2018">
        <v>2011</v>
      </c>
      <c r="E9" s="4"/>
      <c r="F9" s="4"/>
      <c r="G9" s="4"/>
      <c r="H9" s="4"/>
      <c r="I9" s="4"/>
      <c r="J9" s="4"/>
      <c r="K9" s="4"/>
      <c r="L9" s="4"/>
      <c r="M9" s="4"/>
      <c r="N9" s="4"/>
      <c r="O9" s="4"/>
      <c r="P9" s="4"/>
      <c r="Q9" s="4"/>
      <c r="R9" s="4"/>
      <c r="S9" s="4"/>
      <c r="T9" s="4"/>
      <c r="U9" s="4"/>
      <c r="V9" s="4"/>
      <c r="W9" s="4"/>
      <c r="X9" s="4"/>
      <c r="Y9" s="4"/>
      <c r="Z9" s="4"/>
    </row>
    <row r="10" spans="2:26" ht="18" x14ac:dyDescent="0.35">
      <c r="B10" s="2141" t="s">
        <v>10</v>
      </c>
      <c r="C10" s="2142"/>
      <c r="D10" s="2019">
        <f>D11+D31+D48+D81</f>
        <v>91.264989123466833</v>
      </c>
      <c r="E10" s="4"/>
      <c r="F10" s="4"/>
      <c r="G10" s="4"/>
      <c r="H10" s="4"/>
      <c r="I10" s="4"/>
      <c r="J10" s="4"/>
      <c r="K10" s="4"/>
      <c r="L10" s="4"/>
      <c r="M10" s="4"/>
      <c r="N10" s="4"/>
      <c r="O10" s="4"/>
      <c r="P10" s="4"/>
      <c r="Q10" s="4"/>
      <c r="R10" s="4"/>
      <c r="S10" s="4"/>
      <c r="T10" s="4"/>
      <c r="U10" s="4"/>
      <c r="V10" s="4"/>
      <c r="W10" s="4"/>
      <c r="X10" s="4"/>
      <c r="Y10" s="4"/>
      <c r="Z10" s="4"/>
    </row>
    <row r="11" spans="2:26" ht="17.25" x14ac:dyDescent="0.25">
      <c r="B11" s="2020" t="s">
        <v>11</v>
      </c>
      <c r="C11" s="9"/>
      <c r="D11" s="2021">
        <f>D12+D30</f>
        <v>37.851631414583636</v>
      </c>
      <c r="E11" s="4"/>
      <c r="F11" s="4"/>
      <c r="G11" s="4"/>
      <c r="H11" s="4"/>
      <c r="I11" s="4"/>
      <c r="J11" s="4"/>
      <c r="K11" s="4"/>
      <c r="L11" s="4"/>
      <c r="M11" s="4"/>
      <c r="N11" s="4"/>
      <c r="O11" s="4"/>
      <c r="P11" s="4"/>
      <c r="Q11" s="4"/>
      <c r="R11" s="4"/>
      <c r="S11" s="4"/>
      <c r="T11" s="4"/>
      <c r="U11" s="4"/>
      <c r="V11" s="4"/>
      <c r="W11" s="4"/>
      <c r="X11" s="4"/>
      <c r="Y11" s="4"/>
      <c r="Z11" s="4"/>
    </row>
    <row r="12" spans="2:26" ht="15" x14ac:dyDescent="0.25">
      <c r="B12" s="2022"/>
      <c r="C12" s="12" t="s">
        <v>12</v>
      </c>
      <c r="D12" s="2019">
        <f>D13+D17+D21+D25</f>
        <v>24.542598505750362</v>
      </c>
      <c r="E12" s="4"/>
      <c r="F12" s="4"/>
      <c r="G12" s="4"/>
      <c r="H12" s="4"/>
      <c r="I12" s="4"/>
      <c r="J12" s="4"/>
      <c r="K12" s="4"/>
      <c r="L12" s="4"/>
      <c r="M12" s="4"/>
      <c r="N12" s="4"/>
      <c r="O12" s="4"/>
      <c r="P12" s="4"/>
      <c r="Q12" s="4"/>
      <c r="R12" s="4"/>
      <c r="S12" s="4"/>
      <c r="T12" s="4"/>
      <c r="U12" s="4"/>
      <c r="V12" s="4"/>
      <c r="W12" s="4"/>
      <c r="X12" s="4"/>
      <c r="Y12" s="4"/>
      <c r="Z12" s="4"/>
    </row>
    <row r="13" spans="2:26" ht="15" x14ac:dyDescent="0.25">
      <c r="B13" s="2023"/>
      <c r="C13" s="15" t="s">
        <v>13</v>
      </c>
      <c r="D13" s="2025">
        <f>SUM(D14:D16)</f>
        <v>21.923542479151127</v>
      </c>
      <c r="E13" s="4"/>
      <c r="F13" s="4"/>
      <c r="G13" s="4"/>
      <c r="H13" s="4"/>
      <c r="I13" s="4"/>
      <c r="J13" s="4"/>
      <c r="K13" s="4"/>
      <c r="L13" s="4"/>
      <c r="M13" s="4"/>
      <c r="N13" s="4"/>
      <c r="O13" s="4"/>
      <c r="P13" s="4"/>
      <c r="Q13" s="4"/>
      <c r="R13" s="4"/>
      <c r="S13" s="4"/>
      <c r="T13" s="4"/>
      <c r="U13" s="4"/>
      <c r="V13" s="4"/>
      <c r="W13" s="4"/>
      <c r="X13" s="4"/>
      <c r="Y13" s="4"/>
      <c r="Z13" s="4"/>
    </row>
    <row r="14" spans="2:26" ht="18" x14ac:dyDescent="0.35">
      <c r="B14" s="2023"/>
      <c r="C14" s="17" t="s">
        <v>14</v>
      </c>
      <c r="D14" s="2032">
        <f>'EGU Production ALL Units'!K57</f>
        <v>21.847712881476784</v>
      </c>
      <c r="E14" s="4"/>
      <c r="F14" s="4"/>
      <c r="G14" s="4"/>
      <c r="H14" s="4"/>
      <c r="I14" s="4"/>
      <c r="J14" s="4"/>
      <c r="K14" s="4"/>
      <c r="L14" s="4"/>
      <c r="M14" s="4"/>
      <c r="N14" s="4"/>
      <c r="O14" s="4"/>
      <c r="P14" s="4"/>
      <c r="Q14" s="4"/>
      <c r="R14" s="4"/>
      <c r="S14" s="4"/>
      <c r="T14" s="4"/>
      <c r="U14" s="4"/>
      <c r="V14" s="4"/>
      <c r="W14" s="4"/>
      <c r="X14" s="4"/>
      <c r="Y14" s="4"/>
      <c r="Z14" s="4"/>
    </row>
    <row r="15" spans="2:26" ht="18" x14ac:dyDescent="0.35">
      <c r="B15" s="2023"/>
      <c r="C15" s="17" t="s">
        <v>15</v>
      </c>
      <c r="D15" s="2032">
        <f>'EGU Production ALL Units'!L57</f>
        <v>1.1709738112271472E-2</v>
      </c>
      <c r="E15" s="4"/>
      <c r="F15" s="4"/>
      <c r="G15" s="4"/>
      <c r="H15" s="4"/>
      <c r="I15" s="4"/>
      <c r="J15" s="4"/>
      <c r="K15" s="4"/>
      <c r="L15" s="4"/>
      <c r="M15" s="4"/>
      <c r="N15" s="4"/>
      <c r="O15" s="4"/>
      <c r="P15" s="4"/>
      <c r="Q15" s="4"/>
      <c r="R15" s="4"/>
      <c r="S15" s="4"/>
      <c r="T15" s="4"/>
      <c r="U15" s="4"/>
      <c r="V15" s="4"/>
      <c r="W15" s="4"/>
      <c r="X15" s="4"/>
      <c r="Y15" s="4"/>
      <c r="Z15" s="4"/>
    </row>
    <row r="16" spans="2:26" ht="18" x14ac:dyDescent="0.35">
      <c r="B16" s="2023"/>
      <c r="C16" s="17" t="s">
        <v>16</v>
      </c>
      <c r="D16" s="2032">
        <f>'EGU Production ALL Units'!M57</f>
        <v>6.4119859562074236E-2</v>
      </c>
      <c r="E16" s="4"/>
      <c r="F16" s="4"/>
      <c r="G16" s="4"/>
      <c r="H16" s="4"/>
      <c r="I16" s="4"/>
      <c r="J16" s="4"/>
      <c r="K16" s="4"/>
      <c r="L16" s="4"/>
      <c r="M16" s="4"/>
      <c r="N16" s="4"/>
      <c r="O16" s="4"/>
      <c r="P16" s="4"/>
      <c r="Q16" s="4"/>
      <c r="R16" s="4"/>
      <c r="S16" s="4"/>
      <c r="T16" s="4"/>
      <c r="U16" s="4"/>
      <c r="V16" s="4"/>
      <c r="W16" s="4"/>
      <c r="X16" s="4"/>
      <c r="Y16" s="4"/>
      <c r="Z16" s="4"/>
    </row>
    <row r="17" spans="2:26" ht="15" x14ac:dyDescent="0.25">
      <c r="B17" s="2023"/>
      <c r="C17" s="15" t="s">
        <v>17</v>
      </c>
      <c r="D17" s="2025">
        <f>SUM(D18:D20)</f>
        <v>2.4184486864883072</v>
      </c>
      <c r="E17" s="4"/>
      <c r="F17" s="4"/>
      <c r="G17" s="4"/>
      <c r="H17" s="4"/>
      <c r="I17" s="4"/>
      <c r="J17" s="4"/>
      <c r="K17" s="4"/>
      <c r="L17" s="4"/>
      <c r="M17" s="4"/>
      <c r="N17" s="4"/>
      <c r="O17" s="4"/>
      <c r="P17" s="4"/>
      <c r="Q17" s="4"/>
      <c r="R17" s="4"/>
      <c r="S17" s="4"/>
      <c r="T17" s="4"/>
      <c r="U17" s="4"/>
      <c r="V17" s="4"/>
      <c r="W17" s="4"/>
      <c r="X17" s="4"/>
      <c r="Y17" s="4"/>
      <c r="Z17" s="4"/>
    </row>
    <row r="18" spans="2:26" ht="18" x14ac:dyDescent="0.35">
      <c r="B18" s="2023"/>
      <c r="C18" s="17" t="s">
        <v>18</v>
      </c>
      <c r="D18" s="2032">
        <f>'EGU Production ALL Units'!K395</f>
        <v>2.4133302497043454</v>
      </c>
      <c r="E18" s="4"/>
      <c r="F18" s="4"/>
      <c r="G18" s="4"/>
      <c r="H18" s="4"/>
      <c r="I18" s="4"/>
      <c r="J18" s="4"/>
      <c r="K18" s="4"/>
      <c r="L18" s="4"/>
      <c r="M18" s="4"/>
      <c r="N18" s="4"/>
      <c r="O18" s="4"/>
      <c r="P18" s="4"/>
      <c r="Q18" s="4"/>
      <c r="R18" s="4"/>
      <c r="S18" s="4"/>
      <c r="T18" s="4"/>
      <c r="U18" s="4"/>
      <c r="V18" s="4"/>
      <c r="W18" s="4"/>
      <c r="X18" s="4"/>
      <c r="Y18" s="4"/>
      <c r="Z18" s="4"/>
    </row>
    <row r="19" spans="2:26" ht="18" x14ac:dyDescent="0.35">
      <c r="B19" s="2023"/>
      <c r="C19" s="17" t="s">
        <v>19</v>
      </c>
      <c r="D19" s="2032">
        <f>'EGU Production ALL Units'!L395</f>
        <v>1.171455295336233E-3</v>
      </c>
      <c r="E19" s="4"/>
      <c r="F19" s="4"/>
      <c r="G19" s="4"/>
      <c r="H19" s="4"/>
      <c r="I19" s="4"/>
      <c r="J19" s="4"/>
      <c r="K19" s="4"/>
      <c r="L19" s="4"/>
      <c r="M19" s="4"/>
      <c r="N19" s="4"/>
      <c r="O19" s="4"/>
      <c r="P19" s="4"/>
      <c r="Q19" s="4"/>
      <c r="R19" s="4"/>
      <c r="S19" s="4"/>
      <c r="T19" s="4"/>
      <c r="U19" s="4"/>
      <c r="V19" s="4"/>
      <c r="W19" s="4"/>
      <c r="X19" s="4"/>
      <c r="Y19" s="4"/>
      <c r="Z19" s="4"/>
    </row>
    <row r="20" spans="2:26" ht="18" x14ac:dyDescent="0.35">
      <c r="B20" s="2023"/>
      <c r="C20" s="17" t="s">
        <v>20</v>
      </c>
      <c r="D20" s="2032">
        <f>'EGU Production ALL Units'!M395</f>
        <v>3.9469814886254635E-3</v>
      </c>
      <c r="E20" s="4"/>
      <c r="F20" s="4"/>
      <c r="G20" s="4"/>
      <c r="H20" s="4"/>
      <c r="I20" s="4"/>
      <c r="J20" s="4"/>
      <c r="K20" s="4"/>
      <c r="L20" s="4"/>
      <c r="M20" s="4"/>
      <c r="N20" s="4"/>
      <c r="O20" s="4"/>
      <c r="P20" s="4"/>
      <c r="Q20" s="4"/>
      <c r="R20" s="4"/>
      <c r="S20" s="4"/>
      <c r="T20" s="4"/>
      <c r="U20" s="4"/>
      <c r="V20" s="4"/>
      <c r="W20" s="4"/>
      <c r="X20" s="4"/>
      <c r="Y20" s="4"/>
      <c r="Z20" s="4"/>
    </row>
    <row r="21" spans="2:26" ht="15" x14ac:dyDescent="0.25">
      <c r="B21" s="2023"/>
      <c r="C21" s="15" t="s">
        <v>21</v>
      </c>
      <c r="D21" s="2025">
        <f>SUM(D22:D24)</f>
        <v>0.19590192892052455</v>
      </c>
      <c r="E21" s="4"/>
      <c r="F21" s="4"/>
      <c r="G21" s="4"/>
      <c r="H21" s="4"/>
      <c r="I21" s="4"/>
      <c r="J21" s="4"/>
      <c r="K21" s="4"/>
      <c r="L21" s="4"/>
      <c r="M21" s="4"/>
      <c r="N21" s="4"/>
      <c r="O21" s="4"/>
      <c r="P21" s="4"/>
      <c r="Q21" s="4"/>
      <c r="R21" s="4"/>
      <c r="S21" s="4"/>
      <c r="T21" s="4"/>
      <c r="U21" s="4"/>
      <c r="V21" s="4"/>
      <c r="W21" s="4"/>
      <c r="X21" s="4"/>
      <c r="Y21" s="4"/>
      <c r="Z21" s="4"/>
    </row>
    <row r="22" spans="2:26" ht="18" x14ac:dyDescent="0.35">
      <c r="B22" s="2023"/>
      <c r="C22" s="17" t="s">
        <v>22</v>
      </c>
      <c r="D22" s="2032">
        <f>'EGU Production ALL Units'!K293</f>
        <v>0.1946277957923413</v>
      </c>
      <c r="E22" s="4"/>
      <c r="F22" s="4"/>
      <c r="G22" s="4"/>
      <c r="H22" s="4"/>
      <c r="I22" s="4"/>
      <c r="J22" s="4"/>
      <c r="K22" s="4"/>
      <c r="L22" s="4"/>
      <c r="M22" s="4"/>
      <c r="N22" s="4"/>
      <c r="O22" s="4"/>
      <c r="P22" s="4"/>
      <c r="Q22" s="4"/>
      <c r="R22" s="4"/>
      <c r="S22" s="4"/>
      <c r="T22" s="4"/>
      <c r="U22" s="4"/>
      <c r="V22" s="4"/>
      <c r="W22" s="4"/>
      <c r="X22" s="4"/>
      <c r="Y22" s="4"/>
      <c r="Z22" s="4"/>
    </row>
    <row r="23" spans="2:26" ht="18" x14ac:dyDescent="0.35">
      <c r="B23" s="2023"/>
      <c r="C23" s="17" t="s">
        <v>23</v>
      </c>
      <c r="D23" s="2032">
        <f>'EGU Production ALL Units'!L293</f>
        <v>1.3457560317107012E-4</v>
      </c>
      <c r="E23" s="4"/>
      <c r="F23" s="4"/>
      <c r="G23" s="4"/>
      <c r="H23" s="4"/>
      <c r="I23" s="4"/>
      <c r="J23" s="4"/>
      <c r="K23" s="4"/>
      <c r="L23" s="4"/>
      <c r="M23" s="4"/>
      <c r="N23" s="4"/>
      <c r="O23" s="4"/>
      <c r="P23" s="4"/>
      <c r="Q23" s="4"/>
      <c r="R23" s="4"/>
      <c r="S23" s="4"/>
      <c r="T23" s="4"/>
      <c r="U23" s="4"/>
      <c r="V23" s="4"/>
      <c r="W23" s="4"/>
      <c r="X23" s="4"/>
      <c r="Y23" s="4"/>
      <c r="Z23" s="4"/>
    </row>
    <row r="24" spans="2:26" ht="18" x14ac:dyDescent="0.35">
      <c r="B24" s="2023"/>
      <c r="C24" s="17" t="s">
        <v>24</v>
      </c>
      <c r="D24" s="2032">
        <f>'EGU Production ALL Units'!M293</f>
        <v>1.1395575250121828E-3</v>
      </c>
      <c r="E24" s="4"/>
      <c r="F24" s="4"/>
      <c r="G24" s="4"/>
      <c r="H24" s="4"/>
      <c r="I24" s="4"/>
      <c r="J24" s="4"/>
      <c r="K24" s="4"/>
      <c r="L24" s="4"/>
      <c r="M24" s="4"/>
      <c r="N24" s="4"/>
      <c r="O24" s="4"/>
      <c r="P24" s="4"/>
      <c r="Q24" s="4"/>
      <c r="R24" s="4"/>
      <c r="S24" s="4"/>
      <c r="T24" s="4"/>
      <c r="U24" s="4"/>
      <c r="V24" s="4"/>
      <c r="W24" s="4"/>
      <c r="X24" s="4"/>
      <c r="Y24" s="4"/>
      <c r="Z24" s="4"/>
    </row>
    <row r="25" spans="2:26" ht="15" x14ac:dyDescent="0.25">
      <c r="B25" s="2023"/>
      <c r="C25" s="15" t="s">
        <v>25</v>
      </c>
      <c r="D25" s="2025">
        <f>SUM(D26:D28)</f>
        <v>4.7054111904030228E-3</v>
      </c>
      <c r="E25" s="4"/>
      <c r="F25" s="4"/>
      <c r="G25" s="4"/>
      <c r="H25" s="4"/>
      <c r="I25" s="4"/>
      <c r="J25" s="4"/>
      <c r="K25" s="4"/>
      <c r="L25" s="4"/>
      <c r="M25" s="4"/>
      <c r="N25" s="4"/>
      <c r="O25" s="4"/>
      <c r="P25" s="4"/>
      <c r="Q25" s="4"/>
      <c r="R25" s="4"/>
      <c r="S25" s="4"/>
      <c r="T25" s="4"/>
      <c r="U25" s="4"/>
      <c r="V25" s="4"/>
      <c r="W25" s="4"/>
      <c r="X25" s="4"/>
      <c r="Y25" s="4"/>
      <c r="Z25" s="4"/>
    </row>
    <row r="26" spans="2:26" ht="18" x14ac:dyDescent="0.35">
      <c r="B26" s="2023"/>
      <c r="C26" s="17" t="s">
        <v>26</v>
      </c>
      <c r="D26" s="2032">
        <f>'EGU Production ALL Units'!K64</f>
        <v>4.6682246945562601E-3</v>
      </c>
      <c r="E26" s="4"/>
      <c r="F26" s="4"/>
      <c r="G26" s="4"/>
      <c r="H26" s="4"/>
      <c r="I26" s="4"/>
      <c r="J26" s="4"/>
      <c r="K26" s="4"/>
      <c r="L26" s="4"/>
      <c r="M26" s="4"/>
      <c r="N26" s="4"/>
      <c r="O26" s="4"/>
      <c r="P26" s="4"/>
      <c r="Q26" s="4"/>
      <c r="R26" s="4"/>
      <c r="S26" s="4"/>
      <c r="T26" s="4"/>
      <c r="U26" s="4"/>
      <c r="V26" s="4"/>
      <c r="W26" s="4"/>
      <c r="X26" s="4"/>
      <c r="Y26" s="4"/>
      <c r="Z26" s="4"/>
    </row>
    <row r="27" spans="2:26" ht="18" x14ac:dyDescent="0.35">
      <c r="B27" s="2023"/>
      <c r="C27" s="17" t="s">
        <v>27</v>
      </c>
      <c r="D27" s="2032">
        <f>'EGU Production ALL Units'!L64</f>
        <v>1.5536962940288479E-5</v>
      </c>
      <c r="E27" s="4"/>
      <c r="F27" s="4"/>
      <c r="G27" s="4"/>
      <c r="H27" s="4"/>
      <c r="I27" s="4"/>
      <c r="J27" s="4"/>
      <c r="K27" s="4"/>
      <c r="L27" s="4"/>
      <c r="M27" s="4"/>
      <c r="N27" s="4"/>
      <c r="O27" s="4"/>
      <c r="P27" s="4"/>
      <c r="Q27" s="4"/>
      <c r="R27" s="4"/>
      <c r="S27" s="4"/>
      <c r="T27" s="4"/>
      <c r="U27" s="4"/>
      <c r="V27" s="4"/>
      <c r="W27" s="4"/>
      <c r="X27" s="4"/>
      <c r="Y27" s="4"/>
      <c r="Z27" s="4"/>
    </row>
    <row r="28" spans="2:26" ht="18" x14ac:dyDescent="0.35">
      <c r="B28" s="2023"/>
      <c r="C28" s="17" t="s">
        <v>28</v>
      </c>
      <c r="D28" s="2032">
        <f>'EGU Production ALL Units'!M64</f>
        <v>2.1649532906474776E-5</v>
      </c>
      <c r="E28" s="4"/>
      <c r="F28" s="4"/>
      <c r="G28" s="4"/>
      <c r="H28" s="4"/>
      <c r="I28" s="4"/>
      <c r="J28" s="4"/>
      <c r="K28" s="4"/>
      <c r="L28" s="4"/>
      <c r="M28" s="4"/>
      <c r="N28" s="4"/>
      <c r="O28" s="4"/>
      <c r="P28" s="4"/>
      <c r="Q28" s="4"/>
      <c r="R28" s="4"/>
      <c r="S28" s="4"/>
      <c r="T28" s="4"/>
      <c r="U28" s="4"/>
      <c r="V28" s="4"/>
      <c r="W28" s="4"/>
      <c r="X28" s="4"/>
      <c r="Y28" s="4"/>
      <c r="Z28" s="4"/>
    </row>
    <row r="29" spans="2:26" ht="15" x14ac:dyDescent="0.25">
      <c r="B29" s="2023"/>
      <c r="C29" s="15" t="s">
        <v>29</v>
      </c>
      <c r="D29" s="2032"/>
      <c r="E29" s="4"/>
      <c r="F29" s="4"/>
      <c r="G29" s="4"/>
      <c r="H29" s="4"/>
      <c r="I29" s="4"/>
      <c r="J29" s="4"/>
      <c r="K29" s="4"/>
      <c r="L29" s="4"/>
      <c r="M29" s="4"/>
      <c r="N29" s="4"/>
      <c r="O29" s="4"/>
      <c r="P29" s="4"/>
      <c r="Q29" s="4"/>
      <c r="R29" s="4"/>
      <c r="S29" s="4"/>
      <c r="T29" s="4"/>
      <c r="U29" s="4"/>
      <c r="V29" s="4"/>
      <c r="W29" s="4"/>
      <c r="X29" s="4"/>
      <c r="Y29" s="4"/>
      <c r="Z29" s="4"/>
    </row>
    <row r="30" spans="2:26" ht="15" x14ac:dyDescent="0.25">
      <c r="B30" s="2026"/>
      <c r="C30" s="22" t="s">
        <v>30</v>
      </c>
      <c r="D30" s="2032">
        <f>'Imported Electricity'!N78</f>
        <v>13.309032908833277</v>
      </c>
      <c r="E30" s="4"/>
      <c r="F30" s="4"/>
      <c r="G30" s="4"/>
      <c r="H30" s="4"/>
      <c r="I30" s="4"/>
      <c r="J30" s="4"/>
      <c r="K30" s="4"/>
      <c r="L30" s="4"/>
      <c r="M30" s="4"/>
      <c r="N30" s="4"/>
      <c r="O30" s="4"/>
      <c r="P30" s="4"/>
      <c r="Q30" s="4"/>
      <c r="R30" s="4"/>
      <c r="S30" s="4"/>
      <c r="T30" s="4"/>
      <c r="U30" s="4"/>
      <c r="V30" s="4"/>
      <c r="W30" s="4"/>
      <c r="X30" s="4"/>
      <c r="Y30" s="4"/>
      <c r="Z30" s="4"/>
    </row>
    <row r="31" spans="2:26" ht="15" x14ac:dyDescent="0.25">
      <c r="B31" s="2020" t="s">
        <v>31</v>
      </c>
      <c r="C31" s="9"/>
      <c r="D31" s="2027">
        <f>D32+D36+D40+D44</f>
        <v>17.02937483120277</v>
      </c>
      <c r="E31" s="4"/>
      <c r="F31" s="4"/>
      <c r="G31" s="4"/>
      <c r="H31" s="4"/>
      <c r="I31" s="4"/>
      <c r="J31" s="4"/>
      <c r="K31" s="4"/>
      <c r="L31" s="4"/>
      <c r="M31" s="4"/>
      <c r="N31" s="4"/>
      <c r="O31" s="4"/>
      <c r="P31" s="4"/>
      <c r="Q31" s="4"/>
      <c r="R31" s="4"/>
      <c r="S31" s="4"/>
      <c r="T31" s="4"/>
      <c r="U31" s="4"/>
      <c r="V31" s="4"/>
      <c r="W31" s="4"/>
      <c r="X31" s="4"/>
      <c r="Y31" s="4"/>
      <c r="Z31" s="4"/>
    </row>
    <row r="32" spans="2:26" ht="15" x14ac:dyDescent="0.25">
      <c r="B32" s="2022"/>
      <c r="C32" s="24" t="s">
        <v>32</v>
      </c>
      <c r="D32" s="2025">
        <f>SUM(D33:D35)</f>
        <v>2.9566005242604039</v>
      </c>
      <c r="E32" s="4"/>
      <c r="F32" s="4"/>
      <c r="G32" s="4"/>
      <c r="H32" s="4"/>
      <c r="I32" s="4"/>
      <c r="J32" s="4"/>
      <c r="K32" s="4"/>
      <c r="L32" s="4"/>
      <c r="M32" s="4"/>
      <c r="N32" s="4"/>
      <c r="O32" s="4"/>
      <c r="P32" s="4"/>
      <c r="Q32" s="4"/>
      <c r="R32" s="4"/>
      <c r="S32" s="4"/>
      <c r="T32" s="4"/>
      <c r="U32" s="4"/>
      <c r="V32" s="4"/>
      <c r="W32" s="4"/>
      <c r="X32" s="4"/>
      <c r="Y32" s="4"/>
      <c r="Z32" s="4"/>
    </row>
    <row r="33" spans="2:26" ht="18" x14ac:dyDescent="0.35">
      <c r="B33" s="2023"/>
      <c r="C33" s="17" t="s">
        <v>33</v>
      </c>
      <c r="D33" s="2032">
        <f>Residential!C46+Commercial!D54+Industrial!E101</f>
        <v>2.9357259289580111</v>
      </c>
      <c r="E33" s="4"/>
      <c r="F33" s="4"/>
      <c r="G33" s="4"/>
      <c r="H33" s="4"/>
      <c r="I33" s="4"/>
      <c r="J33" s="4"/>
      <c r="K33" s="4"/>
      <c r="L33" s="4"/>
      <c r="M33" s="4"/>
      <c r="N33" s="4"/>
      <c r="O33" s="4"/>
      <c r="P33" s="4"/>
      <c r="Q33" s="4"/>
      <c r="R33" s="4"/>
      <c r="S33" s="4"/>
      <c r="T33" s="4"/>
      <c r="U33" s="4"/>
      <c r="V33" s="4"/>
      <c r="W33" s="4"/>
      <c r="X33" s="4"/>
      <c r="Y33" s="4"/>
      <c r="Z33" s="4"/>
    </row>
    <row r="34" spans="2:26" ht="18" x14ac:dyDescent="0.35">
      <c r="B34" s="2023"/>
      <c r="C34" s="17" t="s">
        <v>34</v>
      </c>
      <c r="D34" s="2032">
        <f>Residential!E46+Commercial!E54+Industrial!F101</f>
        <v>8.6271390179631403E-3</v>
      </c>
      <c r="E34" s="4"/>
      <c r="F34" s="4"/>
      <c r="G34" s="4"/>
      <c r="H34" s="4"/>
      <c r="I34" s="4"/>
      <c r="J34" s="4"/>
      <c r="K34" s="4"/>
      <c r="L34" s="4"/>
      <c r="M34" s="4"/>
      <c r="N34" s="4"/>
      <c r="O34" s="4"/>
      <c r="P34" s="4"/>
      <c r="Q34" s="4"/>
      <c r="R34" s="4"/>
      <c r="S34" s="4"/>
      <c r="T34" s="4"/>
      <c r="U34" s="4"/>
      <c r="V34" s="4"/>
      <c r="W34" s="4"/>
      <c r="X34" s="4"/>
      <c r="Y34" s="4"/>
      <c r="Z34" s="4"/>
    </row>
    <row r="35" spans="2:26" ht="18" x14ac:dyDescent="0.35">
      <c r="B35" s="2023"/>
      <c r="C35" s="17" t="s">
        <v>35</v>
      </c>
      <c r="D35" s="2032">
        <f>Residential!D46+Commercial!F54+Industrial!G101</f>
        <v>1.2247456284429852E-2</v>
      </c>
      <c r="E35" s="4"/>
      <c r="F35" s="4"/>
      <c r="G35" s="4"/>
      <c r="H35" s="4"/>
      <c r="I35" s="4"/>
      <c r="J35" s="4"/>
      <c r="K35" s="4"/>
      <c r="L35" s="4"/>
      <c r="M35" s="4"/>
      <c r="N35" s="4"/>
      <c r="O35" s="4"/>
      <c r="P35" s="4"/>
      <c r="Q35" s="4"/>
      <c r="R35" s="4"/>
      <c r="S35" s="4"/>
      <c r="T35" s="4"/>
      <c r="U35" s="4"/>
      <c r="V35" s="4"/>
      <c r="W35" s="4"/>
      <c r="X35" s="4"/>
      <c r="Y35" s="4"/>
      <c r="Z35" s="4"/>
    </row>
    <row r="36" spans="2:26" ht="15" x14ac:dyDescent="0.25">
      <c r="B36" s="2023"/>
      <c r="C36" s="17" t="s">
        <v>36</v>
      </c>
      <c r="D36" s="2025">
        <f>SUM(D37:D39)</f>
        <v>9.9866108915850322</v>
      </c>
      <c r="E36" s="4"/>
      <c r="F36" s="4"/>
      <c r="G36" s="4"/>
      <c r="H36" s="4"/>
      <c r="I36" s="4"/>
      <c r="J36" s="4"/>
      <c r="K36" s="4"/>
      <c r="L36" s="4"/>
      <c r="M36" s="4"/>
      <c r="N36" s="4"/>
      <c r="O36" s="4"/>
      <c r="P36" s="4"/>
      <c r="Q36" s="4"/>
      <c r="R36" s="4"/>
      <c r="S36" s="4"/>
      <c r="T36" s="4"/>
      <c r="U36" s="4"/>
      <c r="V36" s="4"/>
      <c r="W36" s="4"/>
      <c r="X36" s="4"/>
      <c r="Y36" s="4"/>
      <c r="Z36" s="4"/>
    </row>
    <row r="37" spans="2:26" ht="18" x14ac:dyDescent="0.35">
      <c r="B37" s="2023"/>
      <c r="C37" s="17" t="s">
        <v>37</v>
      </c>
      <c r="D37" s="2032">
        <f>Residential!C49+Residential!C50+Commercial!D57+Commercial!D60+Industrial!E109+Industrial!E121</f>
        <v>9.956569199153952</v>
      </c>
      <c r="E37" s="4"/>
      <c r="F37" s="4"/>
      <c r="G37" s="4"/>
      <c r="H37" s="4"/>
      <c r="I37" s="4"/>
      <c r="J37" s="4"/>
      <c r="K37" s="4"/>
      <c r="L37" s="4"/>
      <c r="M37" s="4"/>
      <c r="N37" s="4"/>
      <c r="O37" s="4"/>
      <c r="P37" s="4"/>
      <c r="Q37" s="4"/>
      <c r="R37" s="4"/>
      <c r="S37" s="4"/>
      <c r="T37" s="4"/>
      <c r="U37" s="4"/>
      <c r="V37" s="4"/>
      <c r="W37" s="4"/>
      <c r="X37" s="4"/>
      <c r="Y37" s="4"/>
      <c r="Z37" s="4"/>
    </row>
    <row r="38" spans="2:26" ht="18" x14ac:dyDescent="0.35">
      <c r="B38" s="2023"/>
      <c r="C38" s="17" t="s">
        <v>38</v>
      </c>
      <c r="D38" s="2032">
        <f>Residential!E49+Residential!E50+Commercial!E57+Commercial!E60+Industrial!F109+Industrial!F121</f>
        <v>2.37412930211497E-2</v>
      </c>
      <c r="E38" s="4"/>
      <c r="F38" s="4"/>
      <c r="G38" s="4"/>
      <c r="H38" s="4"/>
      <c r="I38" s="4"/>
      <c r="J38" s="4"/>
      <c r="K38" s="4"/>
      <c r="L38" s="4"/>
      <c r="M38" s="4"/>
      <c r="N38" s="4"/>
      <c r="O38" s="4"/>
      <c r="P38" s="4"/>
      <c r="Q38" s="4"/>
      <c r="R38" s="4"/>
      <c r="S38" s="4"/>
      <c r="T38" s="4"/>
      <c r="U38" s="4"/>
      <c r="V38" s="4"/>
      <c r="W38" s="4"/>
      <c r="X38" s="4"/>
      <c r="Y38" s="4"/>
      <c r="Z38" s="4"/>
    </row>
    <row r="39" spans="2:26" ht="18" x14ac:dyDescent="0.35">
      <c r="B39" s="2023"/>
      <c r="C39" s="17" t="s">
        <v>39</v>
      </c>
      <c r="D39" s="2032">
        <f>Residential!D49+Residential!D50+Commercial!F57+Commercial!F60+Industrial!G109+Industrial!G121</f>
        <v>6.3003994099298062E-3</v>
      </c>
      <c r="E39" s="4"/>
      <c r="F39" s="4"/>
      <c r="G39" s="4"/>
      <c r="H39" s="4"/>
      <c r="I39" s="4"/>
      <c r="J39" s="4"/>
      <c r="K39" s="4"/>
      <c r="L39" s="4"/>
      <c r="M39" s="4"/>
      <c r="N39" s="4"/>
      <c r="O39" s="4"/>
      <c r="P39" s="4"/>
      <c r="Q39" s="4"/>
      <c r="R39" s="4"/>
      <c r="S39" s="4"/>
      <c r="T39" s="4"/>
      <c r="U39" s="4"/>
      <c r="V39" s="4"/>
      <c r="W39" s="4"/>
      <c r="X39" s="4"/>
      <c r="Y39" s="4"/>
      <c r="Z39" s="4"/>
    </row>
    <row r="40" spans="2:26" ht="15" x14ac:dyDescent="0.25">
      <c r="B40" s="2023"/>
      <c r="C40" s="17" t="s">
        <v>40</v>
      </c>
      <c r="D40" s="2025">
        <f>SUM(D41:D43)</f>
        <v>3.9522094776251984</v>
      </c>
      <c r="E40" s="4"/>
      <c r="F40" s="4"/>
      <c r="G40" s="4"/>
      <c r="H40" s="4"/>
      <c r="I40" s="4"/>
      <c r="J40" s="4"/>
      <c r="K40" s="4"/>
      <c r="L40" s="4"/>
      <c r="M40" s="4"/>
      <c r="N40" s="4"/>
      <c r="O40" s="4"/>
      <c r="P40" s="4"/>
      <c r="Q40" s="4"/>
      <c r="R40" s="4"/>
      <c r="S40" s="4"/>
      <c r="T40" s="4"/>
      <c r="U40" s="4"/>
      <c r="V40" s="4"/>
      <c r="W40" s="4"/>
      <c r="X40" s="4"/>
      <c r="Y40" s="4"/>
      <c r="Z40" s="4"/>
    </row>
    <row r="41" spans="2:26" ht="18" x14ac:dyDescent="0.35">
      <c r="B41" s="2023"/>
      <c r="C41" s="17" t="s">
        <v>41</v>
      </c>
      <c r="D41" s="2032">
        <f>Residential!C47+Residential!C48+Commercial!D55+Commercial!D56+Commercial!D58+Commercial!D59+Industrial!E105+Industrial!E106+Industrial!E107+Industrial!E108+Industrial!E110+Industrial!E111+Industrial!E113+Industrial!E115+Industrial!E116+Industrial!E118+Industrial!E120</f>
        <v>3.9357243119608962</v>
      </c>
      <c r="E41" s="4"/>
      <c r="F41" s="4"/>
      <c r="G41" s="4"/>
      <c r="H41" s="4"/>
      <c r="I41" s="4"/>
      <c r="J41" s="4"/>
      <c r="K41" s="4"/>
      <c r="L41" s="4"/>
      <c r="M41" s="4"/>
      <c r="N41" s="4"/>
      <c r="O41" s="4"/>
      <c r="P41" s="4"/>
      <c r="Q41" s="4"/>
      <c r="R41" s="4"/>
      <c r="S41" s="4"/>
      <c r="T41" s="4"/>
      <c r="U41" s="4"/>
      <c r="V41" s="4"/>
      <c r="W41" s="4"/>
      <c r="X41" s="4"/>
      <c r="Y41" s="4"/>
      <c r="Z41" s="4"/>
    </row>
    <row r="42" spans="2:26" ht="18" x14ac:dyDescent="0.35">
      <c r="B42" s="2023"/>
      <c r="C42" s="17" t="s">
        <v>42</v>
      </c>
      <c r="D42" s="2032">
        <f>Residential!E47+Residential!E48+Commercial!E55+Commercial!E56+Commercial!E58+Commercial!E59+Industrial!F105+Industrial!F106+Industrial!F107+Industrial!F108+Industrial!F111+Industrial!F115+Industrial!F116+Industrial!F118</f>
        <v>8.8775547613982059E-3</v>
      </c>
      <c r="E42" s="4"/>
      <c r="F42" s="4"/>
      <c r="G42" s="4"/>
      <c r="H42" s="4"/>
      <c r="I42" s="4"/>
      <c r="J42" s="4"/>
      <c r="K42" s="4"/>
      <c r="L42" s="4"/>
      <c r="M42" s="4"/>
      <c r="N42" s="4"/>
      <c r="O42" s="4"/>
      <c r="P42" s="4"/>
      <c r="Q42" s="4"/>
      <c r="R42" s="4"/>
      <c r="S42" s="4"/>
      <c r="T42" s="4"/>
      <c r="U42" s="4"/>
      <c r="V42" s="4"/>
      <c r="W42" s="4"/>
      <c r="X42" s="4"/>
      <c r="Y42" s="4"/>
      <c r="Z42" s="4"/>
    </row>
    <row r="43" spans="2:26" ht="18" x14ac:dyDescent="0.35">
      <c r="B43" s="2023"/>
      <c r="C43" s="17" t="s">
        <v>43</v>
      </c>
      <c r="D43" s="2032">
        <f>Residential!D47+Residential!D48+Commercial!F55+Commercial!F56+Commercial!F58+Commercial!F59+Industrial!G105+Industrial!G106+Industrial!G107+Industrial!G108+Industrial!G111+Industrial!G115+Industrial!G116+Industrial!G118</f>
        <v>7.6076109029039095E-3</v>
      </c>
      <c r="E43" s="4"/>
      <c r="F43" s="4"/>
      <c r="G43" s="4"/>
      <c r="H43" s="4"/>
      <c r="I43" s="4"/>
      <c r="J43" s="4"/>
      <c r="K43" s="4"/>
      <c r="L43" s="4"/>
      <c r="M43" s="4"/>
      <c r="N43" s="4"/>
      <c r="O43" s="4"/>
      <c r="P43" s="4"/>
      <c r="Q43" s="4"/>
      <c r="R43" s="4"/>
      <c r="S43" s="4"/>
      <c r="T43" s="4"/>
      <c r="U43" s="4"/>
      <c r="V43" s="4"/>
      <c r="W43" s="4"/>
      <c r="X43" s="4"/>
      <c r="Y43" s="4"/>
      <c r="Z43" s="4"/>
    </row>
    <row r="44" spans="2:26" ht="15" x14ac:dyDescent="0.25">
      <c r="B44" s="2023"/>
      <c r="C44" s="17" t="s">
        <v>44</v>
      </c>
      <c r="D44" s="2025">
        <f>SUM(D45:D47)</f>
        <v>0.13395393773213335</v>
      </c>
      <c r="E44" s="4"/>
      <c r="F44" s="4"/>
      <c r="G44" s="4"/>
      <c r="H44" s="4"/>
      <c r="I44" s="4"/>
      <c r="J44" s="4"/>
      <c r="K44" s="4"/>
      <c r="L44" s="4"/>
      <c r="M44" s="4"/>
      <c r="N44" s="4"/>
      <c r="O44" s="4"/>
      <c r="P44" s="4"/>
      <c r="Q44" s="4"/>
      <c r="R44" s="4"/>
      <c r="S44" s="4"/>
      <c r="T44" s="4"/>
      <c r="U44" s="4"/>
      <c r="V44" s="4"/>
      <c r="W44" s="4"/>
      <c r="X44" s="4"/>
      <c r="Y44" s="4"/>
      <c r="Z44" s="4"/>
    </row>
    <row r="45" spans="2:26" ht="18" x14ac:dyDescent="0.35">
      <c r="B45" s="2023"/>
      <c r="C45" s="17" t="s">
        <v>45</v>
      </c>
      <c r="D45" s="2032">
        <f>Residential!C51+Commercial!D61+Industrial!E122</f>
        <v>0</v>
      </c>
      <c r="E45" s="4"/>
      <c r="F45" s="4"/>
      <c r="G45" s="4"/>
      <c r="H45" s="4"/>
      <c r="I45" s="4"/>
      <c r="J45" s="4"/>
      <c r="K45" s="4"/>
      <c r="L45" s="4"/>
      <c r="M45" s="4"/>
      <c r="N45" s="4"/>
      <c r="O45" s="4"/>
      <c r="P45" s="4"/>
      <c r="Q45" s="4"/>
      <c r="R45" s="4"/>
      <c r="S45" s="4"/>
      <c r="T45" s="4"/>
      <c r="U45" s="4"/>
      <c r="V45" s="4"/>
      <c r="W45" s="4"/>
      <c r="X45" s="4"/>
      <c r="Y45" s="4"/>
      <c r="Z45" s="4"/>
    </row>
    <row r="46" spans="2:26" ht="18" x14ac:dyDescent="0.35">
      <c r="B46" s="2023"/>
      <c r="C46" s="17" t="s">
        <v>46</v>
      </c>
      <c r="D46" s="2032">
        <f>Residential!E51+Commercial!E61+Industrial!F122</f>
        <v>0.1091588785155502</v>
      </c>
      <c r="E46" s="4"/>
      <c r="F46" s="4"/>
      <c r="G46" s="4"/>
      <c r="H46" s="4"/>
      <c r="I46" s="4"/>
      <c r="J46" s="4"/>
      <c r="K46" s="4"/>
      <c r="L46" s="4"/>
      <c r="M46" s="4"/>
      <c r="N46" s="4"/>
      <c r="O46" s="4"/>
      <c r="P46" s="4"/>
      <c r="Q46" s="4"/>
      <c r="R46" s="4"/>
      <c r="S46" s="4"/>
      <c r="T46" s="4"/>
      <c r="U46" s="4"/>
      <c r="V46" s="4"/>
      <c r="W46" s="4"/>
      <c r="X46" s="4"/>
      <c r="Y46" s="4"/>
      <c r="Z46" s="4"/>
    </row>
    <row r="47" spans="2:26" ht="18" x14ac:dyDescent="0.35">
      <c r="B47" s="2026"/>
      <c r="C47" s="25" t="s">
        <v>47</v>
      </c>
      <c r="D47" s="2032">
        <f>Residential!D51+Commercial!F61+Industrial!G122</f>
        <v>2.4795059216583155E-2</v>
      </c>
      <c r="E47" s="4"/>
      <c r="F47" s="4"/>
      <c r="G47" s="4"/>
      <c r="H47" s="4"/>
      <c r="I47" s="4"/>
      <c r="J47" s="4"/>
      <c r="K47" s="4"/>
      <c r="L47" s="4"/>
      <c r="M47" s="4"/>
      <c r="N47" s="4"/>
      <c r="O47" s="4"/>
      <c r="P47" s="4"/>
      <c r="Q47" s="4"/>
      <c r="R47" s="4"/>
      <c r="S47" s="4"/>
      <c r="T47" s="4"/>
      <c r="U47" s="4"/>
      <c r="V47" s="4"/>
      <c r="W47" s="4"/>
      <c r="X47" s="4"/>
      <c r="Y47" s="4"/>
      <c r="Z47" s="4"/>
    </row>
    <row r="48" spans="2:26" ht="15" x14ac:dyDescent="0.25">
      <c r="B48" s="2020" t="s">
        <v>48</v>
      </c>
      <c r="C48" s="9"/>
      <c r="D48" s="2027">
        <f>D49+D53+D57+D61+D65+D69+D73+D77</f>
        <v>35.269389255970857</v>
      </c>
      <c r="E48" s="4"/>
      <c r="F48" s="4"/>
      <c r="G48" s="4"/>
      <c r="H48" s="4"/>
      <c r="I48" s="4"/>
      <c r="J48" s="4"/>
      <c r="K48" s="4"/>
      <c r="L48" s="4"/>
      <c r="M48" s="4"/>
      <c r="N48" s="4"/>
      <c r="O48" s="4"/>
      <c r="P48" s="4"/>
      <c r="Q48" s="4"/>
      <c r="R48" s="4"/>
      <c r="S48" s="4"/>
      <c r="T48" s="4"/>
      <c r="U48" s="4"/>
      <c r="V48" s="4"/>
      <c r="W48" s="4"/>
      <c r="X48" s="4"/>
      <c r="Y48" s="4"/>
      <c r="Z48" s="4"/>
    </row>
    <row r="49" spans="2:26" ht="15" x14ac:dyDescent="0.25">
      <c r="B49" s="2022"/>
      <c r="C49" s="24" t="s">
        <v>49</v>
      </c>
      <c r="D49" s="2025">
        <f>SUM(D50:D52)</f>
        <v>22.528256978430264</v>
      </c>
      <c r="E49" s="4"/>
      <c r="F49" s="4"/>
      <c r="G49" s="4"/>
      <c r="H49" s="4"/>
      <c r="I49" s="4"/>
      <c r="J49" s="4"/>
      <c r="K49" s="4"/>
      <c r="L49" s="4"/>
      <c r="M49" s="4"/>
      <c r="N49" s="4"/>
      <c r="O49" s="4"/>
      <c r="P49" s="4"/>
      <c r="Q49" s="4"/>
      <c r="R49" s="4"/>
      <c r="S49" s="4"/>
      <c r="T49" s="4"/>
      <c r="U49" s="4"/>
      <c r="V49" s="4"/>
      <c r="W49" s="4"/>
      <c r="X49" s="4"/>
      <c r="Y49" s="4"/>
      <c r="Z49" s="4"/>
    </row>
    <row r="50" spans="2:26" ht="18" x14ac:dyDescent="0.35">
      <c r="B50" s="2023"/>
      <c r="C50" s="17" t="s">
        <v>50</v>
      </c>
      <c r="D50" s="2032">
        <f>Transportation!O107</f>
        <v>22.519055143367485</v>
      </c>
      <c r="E50" s="4"/>
      <c r="F50" s="4"/>
      <c r="G50" s="4"/>
      <c r="H50" s="4"/>
      <c r="I50" s="4"/>
      <c r="J50" s="4"/>
      <c r="K50" s="4"/>
      <c r="L50" s="4"/>
      <c r="M50" s="4"/>
      <c r="N50" s="4"/>
      <c r="O50" s="4"/>
      <c r="P50" s="4"/>
      <c r="Q50" s="4"/>
      <c r="R50" s="4"/>
      <c r="S50" s="4"/>
      <c r="T50" s="4"/>
      <c r="U50" s="4"/>
      <c r="V50" s="4"/>
      <c r="W50" s="4"/>
      <c r="X50" s="4"/>
      <c r="Y50" s="4"/>
      <c r="Z50" s="4"/>
    </row>
    <row r="51" spans="2:26" ht="18" x14ac:dyDescent="0.35">
      <c r="B51" s="2023"/>
      <c r="C51" s="17" t="s">
        <v>51</v>
      </c>
      <c r="D51" s="2032">
        <f>Transportation!AE107/1000000</f>
        <v>8.4877834400449003E-3</v>
      </c>
      <c r="E51" s="4"/>
      <c r="F51" s="4"/>
      <c r="G51" s="4"/>
      <c r="H51" s="4"/>
      <c r="I51" s="4"/>
      <c r="J51" s="4"/>
      <c r="K51" s="4"/>
      <c r="L51" s="4"/>
      <c r="M51" s="4"/>
      <c r="N51" s="4"/>
      <c r="O51" s="4"/>
      <c r="P51" s="4"/>
      <c r="Q51" s="4"/>
      <c r="R51" s="4"/>
      <c r="S51" s="4"/>
      <c r="T51" s="4"/>
      <c r="U51" s="4"/>
      <c r="V51" s="4"/>
      <c r="W51" s="4"/>
      <c r="X51" s="4"/>
      <c r="Y51" s="4"/>
      <c r="Z51" s="4"/>
    </row>
    <row r="52" spans="2:26" ht="18" x14ac:dyDescent="0.35">
      <c r="B52" s="2023"/>
      <c r="C52" s="17" t="s">
        <v>52</v>
      </c>
      <c r="D52" s="2032">
        <f>Transportation!X107/1000000</f>
        <v>7.140516227339363E-4</v>
      </c>
      <c r="E52" s="4"/>
      <c r="F52" s="4"/>
      <c r="G52" s="4"/>
      <c r="H52" s="4"/>
      <c r="I52" s="4"/>
      <c r="J52" s="4"/>
      <c r="K52" s="4"/>
      <c r="L52" s="4"/>
      <c r="M52" s="4"/>
      <c r="N52" s="4"/>
      <c r="O52" s="4"/>
      <c r="P52" s="4"/>
      <c r="Q52" s="4"/>
      <c r="R52" s="4"/>
      <c r="S52" s="4"/>
      <c r="T52" s="4"/>
      <c r="U52" s="4"/>
      <c r="V52" s="4"/>
      <c r="W52" s="4"/>
      <c r="X52" s="4"/>
      <c r="Y52" s="4"/>
      <c r="Z52" s="4"/>
    </row>
    <row r="53" spans="2:26" ht="15" x14ac:dyDescent="0.25">
      <c r="B53" s="2023"/>
      <c r="C53" s="17" t="s">
        <v>53</v>
      </c>
      <c r="D53" s="2025">
        <f>SUM(D54:D56)</f>
        <v>2.7363948935832223</v>
      </c>
      <c r="E53" s="4"/>
      <c r="F53" s="4"/>
      <c r="G53" s="4"/>
      <c r="H53" s="4"/>
      <c r="I53" s="4"/>
      <c r="J53" s="4"/>
      <c r="K53" s="4"/>
      <c r="L53" s="4"/>
      <c r="M53" s="4"/>
      <c r="N53" s="4"/>
      <c r="O53" s="4"/>
      <c r="P53" s="4"/>
      <c r="Q53" s="4"/>
      <c r="R53" s="4"/>
      <c r="S53" s="4"/>
      <c r="T53" s="4"/>
      <c r="U53" s="4"/>
      <c r="V53" s="4"/>
      <c r="W53" s="4"/>
      <c r="X53" s="4"/>
      <c r="Y53" s="4"/>
      <c r="Z53" s="4"/>
    </row>
    <row r="54" spans="2:26" ht="18" x14ac:dyDescent="0.35">
      <c r="B54" s="2023"/>
      <c r="C54" s="17" t="s">
        <v>54</v>
      </c>
      <c r="D54" s="2032">
        <f>Transportation!O66+Transportation!O67+Transportation!O68+Transportation!O69</f>
        <v>2.7318932899032262</v>
      </c>
      <c r="E54" s="4"/>
      <c r="F54" s="4"/>
      <c r="G54" s="4"/>
      <c r="H54" s="4"/>
      <c r="I54" s="4"/>
      <c r="J54" s="4"/>
      <c r="K54" s="4"/>
      <c r="L54" s="4"/>
      <c r="M54" s="4"/>
      <c r="N54" s="4"/>
      <c r="O54" s="4"/>
      <c r="P54" s="4"/>
      <c r="Q54" s="4"/>
      <c r="R54" s="4"/>
      <c r="S54" s="4"/>
      <c r="T54" s="4"/>
      <c r="U54" s="4"/>
      <c r="V54" s="4"/>
      <c r="W54" s="4"/>
      <c r="X54" s="4"/>
      <c r="Y54" s="4"/>
      <c r="Z54" s="4"/>
    </row>
    <row r="55" spans="2:26" ht="18" x14ac:dyDescent="0.35">
      <c r="B55" s="2023"/>
      <c r="C55" s="17" t="s">
        <v>55</v>
      </c>
      <c r="D55" s="2032">
        <f>(Transportation!AE66+Transportation!AE67+Transportation!AE68+Transportation!AE69)/1000000</f>
        <v>1.2600644910018479E-3</v>
      </c>
      <c r="E55" s="4"/>
      <c r="F55" s="4"/>
      <c r="G55" s="4"/>
      <c r="H55" s="4"/>
      <c r="I55" s="4"/>
      <c r="J55" s="4"/>
      <c r="K55" s="4"/>
      <c r="L55" s="4"/>
      <c r="M55" s="4"/>
      <c r="N55" s="4"/>
      <c r="O55" s="4"/>
      <c r="P55" s="4"/>
      <c r="Q55" s="4"/>
      <c r="R55" s="4"/>
      <c r="S55" s="4"/>
      <c r="T55" s="4"/>
      <c r="U55" s="4"/>
      <c r="V55" s="4"/>
      <c r="W55" s="4"/>
      <c r="X55" s="4"/>
      <c r="Y55" s="4"/>
      <c r="Z55" s="4"/>
    </row>
    <row r="56" spans="2:26" ht="18" x14ac:dyDescent="0.35">
      <c r="B56" s="2023"/>
      <c r="C56" s="17" t="s">
        <v>56</v>
      </c>
      <c r="D56" s="2032">
        <f>SUM(Transportation!X66:X69)/1000000</f>
        <v>3.2415391889944402E-3</v>
      </c>
      <c r="E56" s="4"/>
      <c r="F56" s="4"/>
      <c r="G56" s="4"/>
      <c r="H56" s="4"/>
      <c r="I56" s="4"/>
      <c r="J56" s="4"/>
      <c r="K56" s="4"/>
      <c r="L56" s="4"/>
      <c r="M56" s="4"/>
      <c r="N56" s="4"/>
      <c r="O56" s="4"/>
      <c r="P56" s="4"/>
      <c r="Q56" s="4"/>
      <c r="R56" s="4"/>
      <c r="S56" s="4"/>
      <c r="T56" s="4"/>
      <c r="U56" s="4"/>
      <c r="V56" s="4"/>
      <c r="W56" s="4"/>
      <c r="X56" s="4"/>
      <c r="Y56" s="4"/>
      <c r="Z56" s="4"/>
    </row>
    <row r="57" spans="2:26" ht="15" x14ac:dyDescent="0.25">
      <c r="B57" s="2023"/>
      <c r="C57" s="17" t="s">
        <v>57</v>
      </c>
      <c r="D57" s="2025">
        <f>SUM(D58:D60)</f>
        <v>5.7208162079635656</v>
      </c>
      <c r="E57" s="4"/>
      <c r="F57" s="4"/>
      <c r="G57" s="4"/>
      <c r="H57" s="4"/>
      <c r="I57" s="4"/>
      <c r="J57" s="4"/>
      <c r="K57" s="4"/>
      <c r="L57" s="4"/>
      <c r="M57" s="4"/>
      <c r="N57" s="4"/>
      <c r="O57" s="4"/>
      <c r="P57" s="4"/>
      <c r="Q57" s="4"/>
      <c r="R57" s="4"/>
      <c r="S57" s="4"/>
      <c r="T57" s="4"/>
      <c r="U57" s="4"/>
      <c r="V57" s="4"/>
      <c r="W57" s="4"/>
      <c r="X57" s="4"/>
      <c r="Y57" s="4"/>
      <c r="Z57" s="4"/>
    </row>
    <row r="58" spans="2:26" ht="18" x14ac:dyDescent="0.35">
      <c r="B58" s="2023"/>
      <c r="C58" s="17" t="s">
        <v>58</v>
      </c>
      <c r="D58" s="2032">
        <f>Transportation!O106</f>
        <v>5.720528738777328</v>
      </c>
      <c r="E58" s="4"/>
      <c r="F58" s="4"/>
      <c r="G58" s="4"/>
      <c r="H58" s="4"/>
      <c r="I58" s="4"/>
      <c r="J58" s="4"/>
      <c r="K58" s="4"/>
      <c r="L58" s="4"/>
      <c r="M58" s="4"/>
      <c r="N58" s="4"/>
      <c r="O58" s="4"/>
      <c r="P58" s="4"/>
      <c r="Q58" s="4"/>
      <c r="R58" s="4"/>
      <c r="S58" s="4"/>
      <c r="T58" s="4"/>
      <c r="U58" s="4"/>
      <c r="V58" s="4"/>
      <c r="W58" s="4"/>
      <c r="X58" s="4"/>
      <c r="Y58" s="4"/>
      <c r="Z58" s="4"/>
    </row>
    <row r="59" spans="2:26" ht="18" x14ac:dyDescent="0.35">
      <c r="B59" s="2023"/>
      <c r="C59" s="17" t="s">
        <v>59</v>
      </c>
      <c r="D59" s="2032">
        <f>Transportation!AE106/1000000</f>
        <v>1.0864445770952928E-4</v>
      </c>
      <c r="E59" s="4"/>
      <c r="F59" s="4"/>
      <c r="G59" s="4"/>
      <c r="H59" s="4"/>
      <c r="I59" s="4"/>
      <c r="J59" s="4"/>
      <c r="K59" s="4"/>
      <c r="L59" s="4"/>
      <c r="M59" s="4"/>
      <c r="N59" s="4"/>
      <c r="O59" s="4"/>
      <c r="P59" s="4"/>
      <c r="Q59" s="4"/>
      <c r="R59" s="4"/>
      <c r="S59" s="4"/>
      <c r="T59" s="4"/>
      <c r="U59" s="4"/>
      <c r="V59" s="4"/>
      <c r="W59" s="4"/>
      <c r="X59" s="4"/>
      <c r="Y59" s="4"/>
      <c r="Z59" s="4"/>
    </row>
    <row r="60" spans="2:26" ht="18" x14ac:dyDescent="0.35">
      <c r="B60" s="2023"/>
      <c r="C60" s="17" t="s">
        <v>60</v>
      </c>
      <c r="D60" s="2032">
        <f>Transportation!X106/1000000</f>
        <v>1.7882472852810721E-4</v>
      </c>
      <c r="E60" s="4"/>
      <c r="F60" s="4"/>
      <c r="G60" s="4"/>
      <c r="H60" s="4"/>
      <c r="I60" s="4"/>
      <c r="J60" s="4"/>
      <c r="K60" s="4"/>
      <c r="L60" s="4"/>
      <c r="M60" s="4"/>
      <c r="N60" s="4"/>
      <c r="O60" s="4"/>
      <c r="P60" s="4"/>
      <c r="Q60" s="4"/>
      <c r="R60" s="4"/>
      <c r="S60" s="4"/>
      <c r="T60" s="4"/>
      <c r="U60" s="4"/>
      <c r="V60" s="4"/>
      <c r="W60" s="4"/>
      <c r="X60" s="4"/>
      <c r="Y60" s="4"/>
      <c r="Z60" s="4"/>
    </row>
    <row r="61" spans="2:26" ht="15" x14ac:dyDescent="0.25">
      <c r="B61" s="2023"/>
      <c r="C61" s="17" t="s">
        <v>61</v>
      </c>
      <c r="D61" s="2025">
        <f>SUM(D62:D64)</f>
        <v>2.1554378835589696</v>
      </c>
      <c r="E61" s="4"/>
      <c r="F61" s="4"/>
      <c r="G61" s="4"/>
      <c r="H61" s="4"/>
      <c r="I61" s="4"/>
      <c r="J61" s="4"/>
      <c r="K61" s="4"/>
      <c r="L61" s="4"/>
      <c r="M61" s="4"/>
      <c r="N61" s="4"/>
      <c r="O61" s="4"/>
      <c r="P61" s="4"/>
      <c r="Q61" s="4"/>
      <c r="R61" s="4"/>
      <c r="S61" s="4"/>
      <c r="T61" s="4"/>
      <c r="U61" s="4"/>
      <c r="V61" s="4"/>
      <c r="W61" s="4"/>
      <c r="X61" s="4"/>
      <c r="Y61" s="4"/>
      <c r="Z61" s="4"/>
    </row>
    <row r="62" spans="2:26" ht="18" x14ac:dyDescent="0.35">
      <c r="B62" s="2023"/>
      <c r="C62" s="17" t="s">
        <v>62</v>
      </c>
      <c r="D62" s="2032">
        <f>SUM(Transportation!O58:O60)</f>
        <v>2.133145964549084</v>
      </c>
      <c r="E62" s="4"/>
      <c r="F62" s="4"/>
      <c r="G62" s="4"/>
      <c r="H62" s="4"/>
      <c r="I62" s="4"/>
      <c r="J62" s="4"/>
      <c r="K62" s="4"/>
      <c r="L62" s="4"/>
      <c r="M62" s="4"/>
      <c r="N62" s="4"/>
      <c r="O62" s="4"/>
      <c r="P62" s="4"/>
      <c r="Q62" s="4"/>
      <c r="R62" s="4"/>
      <c r="S62" s="4"/>
      <c r="T62" s="4"/>
      <c r="U62" s="4"/>
      <c r="V62" s="4"/>
      <c r="W62" s="4"/>
      <c r="X62" s="4"/>
      <c r="Y62" s="4"/>
      <c r="Z62" s="4"/>
    </row>
    <row r="63" spans="2:26" ht="18" x14ac:dyDescent="0.35">
      <c r="B63" s="2023"/>
      <c r="C63" s="17" t="s">
        <v>63</v>
      </c>
      <c r="D63" s="2032">
        <f>SUM(Transportation!AE58:AE60)/1000000</f>
        <v>8.2067946726830394E-3</v>
      </c>
      <c r="E63" s="4"/>
      <c r="F63" s="4"/>
      <c r="G63" s="4"/>
      <c r="H63" s="4"/>
      <c r="I63" s="4"/>
      <c r="J63" s="4"/>
      <c r="K63" s="4"/>
      <c r="L63" s="4"/>
      <c r="M63" s="4"/>
      <c r="N63" s="4"/>
      <c r="O63" s="4"/>
      <c r="P63" s="4"/>
      <c r="Q63" s="4"/>
      <c r="R63" s="4"/>
      <c r="S63" s="4"/>
      <c r="T63" s="4"/>
      <c r="U63" s="4"/>
      <c r="V63" s="4"/>
      <c r="W63" s="4"/>
      <c r="X63" s="4"/>
      <c r="Y63" s="4"/>
      <c r="Z63" s="4"/>
    </row>
    <row r="64" spans="2:26" ht="18" x14ac:dyDescent="0.35">
      <c r="B64" s="2023"/>
      <c r="C64" s="17" t="s">
        <v>64</v>
      </c>
      <c r="D64" s="2032">
        <f>SUM(Transportation!X58:X60)/1000000</f>
        <v>1.4085124337202243E-2</v>
      </c>
      <c r="E64" s="4"/>
      <c r="F64" s="4"/>
      <c r="G64" s="4"/>
      <c r="H64" s="4"/>
      <c r="I64" s="4"/>
      <c r="J64" s="4"/>
      <c r="K64" s="4"/>
      <c r="L64" s="4"/>
      <c r="M64" s="4"/>
      <c r="N64" s="4"/>
      <c r="O64" s="4"/>
      <c r="P64" s="4"/>
      <c r="Q64" s="4"/>
      <c r="R64" s="4"/>
      <c r="S64" s="4"/>
      <c r="T64" s="4"/>
      <c r="U64" s="4"/>
      <c r="V64" s="4"/>
      <c r="W64" s="4"/>
      <c r="X64" s="4"/>
      <c r="Y64" s="4"/>
      <c r="Z64" s="4"/>
    </row>
    <row r="65" spans="2:26" ht="15" x14ac:dyDescent="0.25">
      <c r="B65" s="2023"/>
      <c r="C65" s="17" t="s">
        <v>65</v>
      </c>
      <c r="D65" s="2025">
        <f>SUM(D66:D68)</f>
        <v>0.1869326530195651</v>
      </c>
      <c r="E65" s="4"/>
      <c r="F65" s="4"/>
      <c r="G65" s="4"/>
      <c r="H65" s="4"/>
      <c r="I65" s="4"/>
      <c r="J65" s="4"/>
      <c r="K65" s="4"/>
      <c r="L65" s="4"/>
      <c r="M65" s="4"/>
      <c r="N65" s="4"/>
      <c r="O65" s="4"/>
      <c r="P65" s="4"/>
      <c r="Q65" s="4"/>
      <c r="R65" s="4"/>
      <c r="S65" s="4"/>
      <c r="T65" s="4"/>
      <c r="U65" s="4"/>
      <c r="V65" s="4"/>
      <c r="W65" s="4"/>
      <c r="X65" s="4"/>
      <c r="Y65" s="4"/>
      <c r="Z65" s="4"/>
    </row>
    <row r="66" spans="2:26" ht="18" x14ac:dyDescent="0.35">
      <c r="B66" s="2023"/>
      <c r="C66" s="17" t="s">
        <v>66</v>
      </c>
      <c r="D66" s="2032">
        <f>Transportation!O61</f>
        <v>0.18530507924942111</v>
      </c>
      <c r="E66" s="4"/>
      <c r="F66" s="4"/>
      <c r="G66" s="4"/>
      <c r="H66" s="4"/>
      <c r="I66" s="4"/>
      <c r="J66" s="4"/>
      <c r="K66" s="4"/>
      <c r="L66" s="4"/>
      <c r="M66" s="4"/>
      <c r="N66" s="4"/>
      <c r="O66" s="4"/>
      <c r="P66" s="4"/>
      <c r="Q66" s="4"/>
      <c r="R66" s="4"/>
      <c r="S66" s="4"/>
      <c r="T66" s="4"/>
      <c r="U66" s="4"/>
      <c r="V66" s="4"/>
      <c r="W66" s="4"/>
      <c r="X66" s="4"/>
      <c r="Y66" s="4"/>
      <c r="Z66" s="4"/>
    </row>
    <row r="67" spans="2:26" ht="18" x14ac:dyDescent="0.35">
      <c r="B67" s="2023"/>
      <c r="C67" s="17" t="s">
        <v>67</v>
      </c>
      <c r="D67" s="2032">
        <f>Transportation!AE61/1000000</f>
        <v>4.0400767344000001E-4</v>
      </c>
      <c r="E67" s="4"/>
      <c r="F67" s="4"/>
      <c r="G67" s="4"/>
      <c r="H67" s="4"/>
      <c r="I67" s="4"/>
      <c r="J67" s="4"/>
      <c r="K67" s="4"/>
      <c r="L67" s="4"/>
      <c r="M67" s="4"/>
      <c r="N67" s="4"/>
      <c r="O67" s="4"/>
      <c r="P67" s="4"/>
      <c r="Q67" s="4"/>
      <c r="R67" s="4"/>
      <c r="S67" s="4"/>
      <c r="T67" s="4"/>
      <c r="U67" s="4"/>
      <c r="V67" s="4"/>
      <c r="W67" s="4"/>
      <c r="X67" s="4"/>
      <c r="Y67" s="4"/>
      <c r="Z67" s="4"/>
    </row>
    <row r="68" spans="2:26" ht="18" x14ac:dyDescent="0.35">
      <c r="B68" s="2023"/>
      <c r="C68" s="17" t="s">
        <v>68</v>
      </c>
      <c r="D68" s="2032">
        <f>Transportation!X61/1000000</f>
        <v>1.2235660967039998E-3</v>
      </c>
      <c r="E68" s="4"/>
      <c r="F68" s="4"/>
      <c r="G68" s="4"/>
      <c r="H68" s="4"/>
      <c r="I68" s="4"/>
      <c r="J68" s="4"/>
      <c r="K68" s="4"/>
      <c r="L68" s="4"/>
      <c r="M68" s="4"/>
      <c r="N68" s="4"/>
      <c r="O68" s="4"/>
      <c r="P68" s="4"/>
      <c r="Q68" s="4"/>
      <c r="R68" s="4"/>
      <c r="S68" s="4"/>
      <c r="T68" s="4"/>
      <c r="U68" s="4"/>
      <c r="V68" s="4"/>
      <c r="W68" s="4"/>
      <c r="X68" s="4"/>
      <c r="Y68" s="4"/>
      <c r="Z68" s="4"/>
    </row>
    <row r="69" spans="2:26" ht="15" x14ac:dyDescent="0.25">
      <c r="B69" s="2023"/>
      <c r="C69" s="17" t="s">
        <v>69</v>
      </c>
      <c r="D69" s="2025">
        <f>SUM(D70:D72)</f>
        <v>0.35372820000769467</v>
      </c>
      <c r="E69" s="4"/>
      <c r="F69" s="4"/>
      <c r="G69" s="4"/>
      <c r="H69" s="4"/>
      <c r="I69" s="4"/>
      <c r="J69" s="4"/>
      <c r="K69" s="4"/>
      <c r="L69" s="4"/>
      <c r="M69" s="4"/>
      <c r="N69" s="4"/>
      <c r="O69" s="4"/>
      <c r="P69" s="4"/>
      <c r="Q69" s="4"/>
      <c r="R69" s="4"/>
      <c r="S69" s="4"/>
      <c r="T69" s="4"/>
      <c r="U69" s="4"/>
      <c r="V69" s="4"/>
      <c r="W69" s="4"/>
      <c r="X69" s="4"/>
      <c r="Y69" s="4"/>
      <c r="Z69" s="4"/>
    </row>
    <row r="70" spans="2:26" ht="18" x14ac:dyDescent="0.35">
      <c r="B70" s="2023"/>
      <c r="C70" s="17" t="s">
        <v>70</v>
      </c>
      <c r="D70" s="2032">
        <f>Transportation!O62+Transportation!O70+Transportation!O71</f>
        <v>0.35066338940802455</v>
      </c>
      <c r="E70" s="4"/>
      <c r="F70" s="4"/>
      <c r="G70" s="4"/>
      <c r="H70" s="4"/>
      <c r="I70" s="4"/>
      <c r="J70" s="4"/>
      <c r="K70" s="4"/>
      <c r="L70" s="4"/>
      <c r="M70" s="4"/>
      <c r="N70" s="4"/>
      <c r="O70" s="4"/>
      <c r="P70" s="4"/>
      <c r="Q70" s="4"/>
      <c r="R70" s="4"/>
      <c r="S70" s="4"/>
      <c r="T70" s="4"/>
      <c r="U70" s="4"/>
      <c r="V70" s="4"/>
      <c r="W70" s="4"/>
      <c r="X70" s="4"/>
      <c r="Y70" s="4"/>
      <c r="Z70" s="4"/>
    </row>
    <row r="71" spans="2:26" ht="18" x14ac:dyDescent="0.35">
      <c r="B71" s="2023"/>
      <c r="C71" s="17" t="s">
        <v>71</v>
      </c>
      <c r="D71" s="2032">
        <f>(Transportation!AE62+Transportation!AE70+Transportation!AE71)/1000000</f>
        <v>7.1408756374367996E-4</v>
      </c>
      <c r="E71" s="4"/>
      <c r="F71" s="4"/>
      <c r="G71" s="4"/>
      <c r="H71" s="4"/>
      <c r="I71" s="4"/>
      <c r="J71" s="4"/>
      <c r="K71" s="4"/>
      <c r="L71" s="4"/>
      <c r="M71" s="4"/>
      <c r="N71" s="4"/>
      <c r="O71" s="4"/>
      <c r="P71" s="4"/>
      <c r="Q71" s="4"/>
      <c r="R71" s="4"/>
      <c r="S71" s="4"/>
      <c r="T71" s="4"/>
      <c r="U71" s="4"/>
      <c r="V71" s="4"/>
      <c r="W71" s="4"/>
      <c r="X71" s="4"/>
      <c r="Y71" s="4"/>
      <c r="Z71" s="4"/>
    </row>
    <row r="72" spans="2:26" ht="18" x14ac:dyDescent="0.35">
      <c r="B72" s="2023"/>
      <c r="C72" s="17" t="s">
        <v>72</v>
      </c>
      <c r="D72" s="2032">
        <f>(Transportation!X62+Transportation!X70+Transportation!X71)/1000000</f>
        <v>2.3507230359263998E-3</v>
      </c>
      <c r="E72" s="4"/>
      <c r="F72" s="4"/>
      <c r="G72" s="4"/>
      <c r="H72" s="4"/>
      <c r="I72" s="4"/>
      <c r="J72" s="4"/>
      <c r="K72" s="4"/>
      <c r="L72" s="4"/>
      <c r="M72" s="4"/>
      <c r="N72" s="4"/>
      <c r="O72" s="4"/>
      <c r="P72" s="4"/>
      <c r="Q72" s="4"/>
      <c r="R72" s="4"/>
      <c r="S72" s="4"/>
      <c r="T72" s="4"/>
      <c r="U72" s="4"/>
      <c r="V72" s="4"/>
      <c r="W72" s="4"/>
      <c r="X72" s="4"/>
      <c r="Y72" s="4"/>
      <c r="Z72" s="4"/>
    </row>
    <row r="73" spans="2:26" ht="15" x14ac:dyDescent="0.25">
      <c r="B73" s="2023"/>
      <c r="C73" s="17" t="s">
        <v>73</v>
      </c>
      <c r="D73" s="2025">
        <f>SUM(D74:D76)</f>
        <v>0.45504484889968855</v>
      </c>
      <c r="E73" s="4"/>
      <c r="F73" s="4"/>
      <c r="G73" s="4"/>
      <c r="H73" s="4"/>
      <c r="I73" s="4"/>
      <c r="J73" s="4"/>
      <c r="K73" s="4"/>
      <c r="L73" s="4"/>
      <c r="M73" s="4"/>
      <c r="N73" s="4"/>
      <c r="O73" s="4"/>
      <c r="P73" s="4"/>
      <c r="Q73" s="4"/>
      <c r="R73" s="4"/>
      <c r="S73" s="4"/>
      <c r="T73" s="4"/>
      <c r="U73" s="4"/>
      <c r="V73" s="4"/>
      <c r="W73" s="4"/>
      <c r="X73" s="4"/>
      <c r="Y73" s="4"/>
      <c r="Z73" s="4"/>
    </row>
    <row r="74" spans="2:26" ht="18" x14ac:dyDescent="0.35">
      <c r="B74" s="2023"/>
      <c r="C74" s="17" t="s">
        <v>74</v>
      </c>
      <c r="D74" s="2032">
        <f>Transportation!O65+Transportation!O72+Transportation!S82</f>
        <v>0.45504484889968855</v>
      </c>
      <c r="E74" s="4"/>
      <c r="F74" s="4"/>
      <c r="G74" s="4"/>
      <c r="H74" s="4"/>
      <c r="I74" s="4"/>
      <c r="J74" s="4"/>
      <c r="K74" s="4"/>
      <c r="L74" s="4"/>
      <c r="M74" s="4"/>
      <c r="N74" s="4"/>
      <c r="O74" s="4"/>
      <c r="P74" s="4"/>
      <c r="Q74" s="4"/>
      <c r="R74" s="4"/>
      <c r="S74" s="4"/>
      <c r="T74" s="4"/>
      <c r="U74" s="4"/>
      <c r="V74" s="4"/>
      <c r="W74" s="4"/>
      <c r="X74" s="4"/>
      <c r="Y74" s="4"/>
      <c r="Z74" s="4"/>
    </row>
    <row r="75" spans="2:26" ht="18" x14ac:dyDescent="0.35">
      <c r="B75" s="2023"/>
      <c r="C75" s="17" t="s">
        <v>75</v>
      </c>
      <c r="D75" s="2032">
        <v>0</v>
      </c>
      <c r="E75" s="4"/>
      <c r="F75" s="4"/>
      <c r="G75" s="4"/>
      <c r="H75" s="4"/>
      <c r="I75" s="4"/>
      <c r="J75" s="4"/>
      <c r="K75" s="4"/>
      <c r="L75" s="4"/>
      <c r="M75" s="4"/>
      <c r="N75" s="4"/>
      <c r="O75" s="4"/>
      <c r="P75" s="4"/>
      <c r="Q75" s="4"/>
      <c r="R75" s="4"/>
      <c r="S75" s="4"/>
      <c r="T75" s="4"/>
      <c r="U75" s="4"/>
      <c r="V75" s="4"/>
      <c r="W75" s="4"/>
      <c r="X75" s="4"/>
      <c r="Y75" s="4"/>
      <c r="Z75" s="4"/>
    </row>
    <row r="76" spans="2:26" ht="18" x14ac:dyDescent="0.35">
      <c r="B76" s="2023"/>
      <c r="C76" s="17" t="s">
        <v>76</v>
      </c>
      <c r="D76" s="2032">
        <v>0</v>
      </c>
      <c r="E76" s="4"/>
      <c r="F76" s="4"/>
      <c r="G76" s="4"/>
      <c r="H76" s="4"/>
      <c r="I76" s="4"/>
      <c r="J76" s="4"/>
      <c r="K76" s="4"/>
      <c r="L76" s="4"/>
      <c r="M76" s="4"/>
      <c r="N76" s="4"/>
      <c r="O76" s="4"/>
      <c r="P76" s="4"/>
      <c r="Q76" s="4"/>
      <c r="R76" s="4"/>
      <c r="S76" s="4"/>
      <c r="T76" s="4"/>
      <c r="U76" s="4"/>
      <c r="V76" s="4"/>
      <c r="W76" s="4"/>
      <c r="X76" s="4"/>
      <c r="Y76" s="4"/>
      <c r="Z76" s="4"/>
    </row>
    <row r="77" spans="2:26" ht="15" x14ac:dyDescent="0.25">
      <c r="B77" s="2023"/>
      <c r="C77" s="17" t="s">
        <v>77</v>
      </c>
      <c r="D77" s="2025">
        <f>SUM(D78:D80)</f>
        <v>1.1327775905078847</v>
      </c>
      <c r="E77" s="4"/>
      <c r="F77" s="4"/>
      <c r="G77" s="4"/>
      <c r="H77" s="4"/>
      <c r="I77" s="4"/>
      <c r="J77" s="4"/>
      <c r="K77" s="4"/>
      <c r="L77" s="4"/>
      <c r="M77" s="4"/>
      <c r="N77" s="4"/>
      <c r="O77" s="4"/>
      <c r="P77" s="4"/>
      <c r="Q77" s="4"/>
      <c r="R77" s="4"/>
      <c r="S77" s="4"/>
      <c r="T77" s="4"/>
      <c r="U77" s="4"/>
      <c r="V77" s="4"/>
      <c r="W77" s="4"/>
      <c r="X77" s="4"/>
      <c r="Y77" s="4"/>
      <c r="Z77" s="4"/>
    </row>
    <row r="78" spans="2:26" ht="18" x14ac:dyDescent="0.35">
      <c r="B78" s="2023"/>
      <c r="C78" s="17" t="s">
        <v>78</v>
      </c>
      <c r="D78" s="2032">
        <f>Transportation!O57+Transportation!O63+Transportation!O64</f>
        <v>1.1225113202933246</v>
      </c>
      <c r="E78" s="4"/>
      <c r="F78" s="4"/>
      <c r="G78" s="4"/>
      <c r="H78" s="4"/>
      <c r="I78" s="4"/>
      <c r="J78" s="4"/>
      <c r="K78" s="4"/>
      <c r="L78" s="4"/>
      <c r="M78" s="4"/>
      <c r="N78" s="4"/>
      <c r="O78" s="4"/>
      <c r="P78" s="4"/>
      <c r="Q78" s="4"/>
      <c r="R78" s="4"/>
      <c r="S78" s="4"/>
      <c r="T78" s="4"/>
      <c r="U78" s="4"/>
      <c r="V78" s="4"/>
      <c r="W78" s="4"/>
      <c r="X78" s="4"/>
      <c r="Y78" s="4"/>
      <c r="Z78" s="4"/>
    </row>
    <row r="79" spans="2:26" ht="18" x14ac:dyDescent="0.35">
      <c r="B79" s="2023"/>
      <c r="C79" s="17" t="s">
        <v>79</v>
      </c>
      <c r="D79" s="2032">
        <f>(Transportation!AE57+Transportation!AE63+Transportation!AE64)/1000000</f>
        <v>1.17653086656E-3</v>
      </c>
      <c r="E79" s="4"/>
      <c r="F79" s="4"/>
      <c r="G79" s="4"/>
      <c r="H79" s="4"/>
      <c r="I79" s="4"/>
      <c r="J79" s="4"/>
      <c r="K79" s="4"/>
      <c r="L79" s="4"/>
      <c r="M79" s="4"/>
      <c r="N79" s="4"/>
      <c r="O79" s="4"/>
      <c r="P79" s="4"/>
      <c r="Q79" s="4"/>
      <c r="R79" s="4"/>
      <c r="S79" s="4"/>
      <c r="T79" s="4"/>
      <c r="U79" s="4"/>
      <c r="V79" s="4"/>
      <c r="W79" s="4"/>
      <c r="X79" s="4"/>
      <c r="Y79" s="4"/>
      <c r="Z79" s="4"/>
    </row>
    <row r="80" spans="2:26" ht="18" x14ac:dyDescent="0.35">
      <c r="B80" s="2026"/>
      <c r="C80" s="25" t="s">
        <v>80</v>
      </c>
      <c r="D80" s="2032">
        <f>(Transportation!X57+Transportation!X63+Transportation!X64)/1000000</f>
        <v>9.0897393480000015E-3</v>
      </c>
      <c r="E80" s="4"/>
      <c r="F80" s="4"/>
      <c r="G80" s="4"/>
      <c r="H80" s="4"/>
      <c r="I80" s="4"/>
      <c r="J80" s="4"/>
      <c r="K80" s="4"/>
      <c r="L80" s="4"/>
      <c r="M80" s="4"/>
      <c r="N80" s="4"/>
      <c r="O80" s="4"/>
      <c r="P80" s="4"/>
      <c r="Q80" s="4"/>
      <c r="R80" s="4"/>
      <c r="S80" s="4"/>
      <c r="T80" s="4"/>
      <c r="U80" s="4"/>
      <c r="V80" s="4"/>
      <c r="W80" s="4"/>
      <c r="X80" s="4"/>
      <c r="Y80" s="4"/>
      <c r="Z80" s="4"/>
    </row>
    <row r="81" spans="2:26" ht="15" x14ac:dyDescent="0.25">
      <c r="B81" s="2020" t="s">
        <v>81</v>
      </c>
      <c r="C81" s="9"/>
      <c r="D81" s="2027">
        <f>D82+D86+D90</f>
        <v>1.1145936217095791</v>
      </c>
      <c r="E81" s="4"/>
      <c r="F81" s="4"/>
      <c r="G81" s="4"/>
      <c r="H81" s="4"/>
      <c r="I81" s="4"/>
      <c r="J81" s="4"/>
      <c r="K81" s="4"/>
      <c r="L81" s="4"/>
      <c r="M81" s="4"/>
      <c r="N81" s="4"/>
      <c r="O81" s="4"/>
      <c r="P81" s="4"/>
      <c r="Q81" s="4"/>
      <c r="R81" s="4"/>
      <c r="S81" s="4"/>
      <c r="T81" s="4"/>
      <c r="U81" s="4"/>
      <c r="V81" s="4"/>
      <c r="W81" s="4"/>
      <c r="X81" s="4"/>
      <c r="Y81" s="4"/>
      <c r="Z81" s="4"/>
    </row>
    <row r="82" spans="2:26" ht="15" x14ac:dyDescent="0.25">
      <c r="B82" s="2022"/>
      <c r="C82" s="24" t="s">
        <v>82</v>
      </c>
      <c r="D82" s="2025">
        <f>SUM(D83:D85)</f>
        <v>0.92553033165197907</v>
      </c>
      <c r="E82" s="4"/>
      <c r="F82" s="4"/>
      <c r="G82" s="4"/>
      <c r="H82" s="4"/>
      <c r="I82" s="4"/>
      <c r="J82" s="4"/>
      <c r="K82" s="4"/>
      <c r="L82" s="4"/>
      <c r="M82" s="4"/>
      <c r="N82" s="4"/>
      <c r="O82" s="4"/>
      <c r="P82" s="4"/>
      <c r="Q82" s="4"/>
      <c r="R82" s="4"/>
      <c r="S82" s="4"/>
      <c r="T82" s="4"/>
      <c r="U82" s="4"/>
      <c r="V82" s="4"/>
      <c r="W82" s="4"/>
      <c r="X82" s="4"/>
      <c r="Y82" s="4"/>
      <c r="Z82" s="4"/>
    </row>
    <row r="83" spans="2:26" ht="18" x14ac:dyDescent="0.35">
      <c r="B83" s="2023"/>
      <c r="C83" s="17" t="s">
        <v>83</v>
      </c>
      <c r="D83" s="2032">
        <f>'Natural Gas and Oil'!H70</f>
        <v>3.271486645917849E-4</v>
      </c>
      <c r="E83" s="4"/>
      <c r="F83" s="4"/>
      <c r="G83" s="4"/>
      <c r="H83" s="4"/>
      <c r="I83" s="4"/>
      <c r="J83" s="4"/>
      <c r="K83" s="4"/>
      <c r="L83" s="4"/>
      <c r="M83" s="4"/>
      <c r="N83" s="4"/>
      <c r="O83" s="4"/>
      <c r="P83" s="4"/>
      <c r="Q83" s="4"/>
      <c r="R83" s="4"/>
      <c r="S83" s="4"/>
      <c r="T83" s="4"/>
      <c r="U83" s="4"/>
      <c r="V83" s="4"/>
      <c r="W83" s="4"/>
      <c r="X83" s="4"/>
      <c r="Y83" s="4"/>
      <c r="Z83" s="4"/>
    </row>
    <row r="84" spans="2:26" ht="18" x14ac:dyDescent="0.35">
      <c r="B84" s="2023"/>
      <c r="C84" s="17" t="s">
        <v>84</v>
      </c>
      <c r="D84" s="2032">
        <f>'Natural Gas and Oil'!J70+'Natural Gas and Oil'!F51+'Natural Gas and Oil'!F34+'Natural Gas and Oil'!F10</f>
        <v>0.92504787644475872</v>
      </c>
      <c r="E84" s="4"/>
      <c r="F84" s="4"/>
      <c r="G84" s="4"/>
      <c r="H84" s="4"/>
      <c r="I84" s="4"/>
      <c r="J84" s="4"/>
      <c r="K84" s="4"/>
      <c r="L84" s="4"/>
      <c r="M84" s="4"/>
      <c r="N84" s="4"/>
      <c r="O84" s="4"/>
      <c r="P84" s="4"/>
      <c r="Q84" s="4"/>
      <c r="R84" s="4"/>
      <c r="S84" s="4"/>
      <c r="T84" s="4"/>
      <c r="U84" s="4"/>
      <c r="V84" s="4"/>
      <c r="W84" s="4"/>
      <c r="X84" s="4"/>
      <c r="Y84" s="4"/>
      <c r="Z84" s="4"/>
    </row>
    <row r="85" spans="2:26" ht="18" x14ac:dyDescent="0.35">
      <c r="B85" s="2023"/>
      <c r="C85" s="17" t="s">
        <v>85</v>
      </c>
      <c r="D85" s="2032">
        <f>'Natural Gas and Oil'!I70</f>
        <v>1.5530654262853981E-4</v>
      </c>
      <c r="E85" s="4"/>
      <c r="F85" s="4"/>
      <c r="G85" s="4"/>
      <c r="H85" s="4"/>
      <c r="I85" s="4"/>
      <c r="J85" s="4"/>
      <c r="K85" s="4"/>
      <c r="L85" s="4"/>
      <c r="M85" s="4"/>
      <c r="N85" s="4"/>
      <c r="O85" s="4"/>
      <c r="P85" s="4"/>
      <c r="Q85" s="4"/>
      <c r="R85" s="4"/>
      <c r="S85" s="4"/>
      <c r="T85" s="4"/>
      <c r="U85" s="4"/>
      <c r="V85" s="4"/>
      <c r="W85" s="4"/>
      <c r="X85" s="4"/>
      <c r="Y85" s="4"/>
      <c r="Z85" s="4"/>
    </row>
    <row r="86" spans="2:26" ht="15" x14ac:dyDescent="0.25">
      <c r="B86" s="2023"/>
      <c r="C86" s="17" t="s">
        <v>86</v>
      </c>
      <c r="D86" s="2025">
        <f>SUM(D87:D89)</f>
        <v>0</v>
      </c>
      <c r="E86" s="4"/>
      <c r="F86" s="4"/>
      <c r="G86" s="4"/>
      <c r="H86" s="4"/>
      <c r="I86" s="4"/>
      <c r="J86" s="4"/>
      <c r="K86" s="4"/>
      <c r="L86" s="4"/>
      <c r="M86" s="4"/>
      <c r="N86" s="4"/>
      <c r="O86" s="4"/>
      <c r="P86" s="4"/>
      <c r="Q86" s="4"/>
      <c r="R86" s="4"/>
      <c r="S86" s="4"/>
      <c r="T86" s="4"/>
      <c r="U86" s="4"/>
      <c r="V86" s="4"/>
      <c r="W86" s="4"/>
      <c r="X86" s="4"/>
      <c r="Y86" s="4"/>
      <c r="Z86" s="4"/>
    </row>
    <row r="87" spans="2:26" ht="18" x14ac:dyDescent="0.35">
      <c r="B87" s="2023"/>
      <c r="C87" s="17" t="s">
        <v>87</v>
      </c>
      <c r="D87" s="2032">
        <v>0</v>
      </c>
      <c r="E87" s="4"/>
      <c r="F87" s="4"/>
      <c r="G87" s="4"/>
      <c r="H87" s="4"/>
      <c r="I87" s="4"/>
      <c r="J87" s="4"/>
      <c r="K87" s="4"/>
      <c r="L87" s="4"/>
      <c r="M87" s="4"/>
      <c r="N87" s="4"/>
      <c r="O87" s="4"/>
      <c r="P87" s="4"/>
      <c r="Q87" s="4"/>
      <c r="R87" s="4"/>
      <c r="S87" s="4"/>
      <c r="T87" s="4"/>
      <c r="U87" s="4"/>
      <c r="V87" s="4"/>
      <c r="W87" s="4"/>
      <c r="X87" s="4"/>
      <c r="Y87" s="4"/>
      <c r="Z87" s="4"/>
    </row>
    <row r="88" spans="2:26" ht="18" x14ac:dyDescent="0.35">
      <c r="B88" s="2023"/>
      <c r="C88" s="17" t="s">
        <v>88</v>
      </c>
      <c r="D88" s="2032">
        <v>0</v>
      </c>
      <c r="E88" s="4"/>
      <c r="F88" s="4"/>
      <c r="G88" s="4"/>
      <c r="H88" s="4"/>
      <c r="I88" s="4"/>
      <c r="J88" s="4"/>
      <c r="K88" s="4"/>
      <c r="L88" s="4"/>
      <c r="M88" s="4"/>
      <c r="N88" s="4"/>
      <c r="O88" s="4"/>
      <c r="P88" s="4"/>
      <c r="Q88" s="4"/>
      <c r="R88" s="4"/>
      <c r="S88" s="4"/>
      <c r="T88" s="4"/>
      <c r="U88" s="4"/>
      <c r="V88" s="4"/>
      <c r="W88" s="4"/>
      <c r="X88" s="4"/>
      <c r="Y88" s="4"/>
      <c r="Z88" s="4"/>
    </row>
    <row r="89" spans="2:26" ht="18" x14ac:dyDescent="0.35">
      <c r="B89" s="2023"/>
      <c r="C89" s="17" t="s">
        <v>89</v>
      </c>
      <c r="D89" s="2032">
        <v>0</v>
      </c>
      <c r="E89" s="4"/>
      <c r="F89" s="4"/>
      <c r="G89" s="4"/>
      <c r="H89" s="4"/>
      <c r="I89" s="4"/>
      <c r="J89" s="4"/>
      <c r="K89" s="4"/>
      <c r="L89" s="4"/>
      <c r="M89" s="4"/>
      <c r="N89" s="4"/>
      <c r="O89" s="4"/>
      <c r="P89" s="4"/>
      <c r="Q89" s="4"/>
      <c r="R89" s="4"/>
      <c r="S89" s="4"/>
      <c r="T89" s="4"/>
      <c r="U89" s="4"/>
      <c r="V89" s="4"/>
      <c r="W89" s="4"/>
      <c r="X89" s="4"/>
      <c r="Y89" s="4"/>
      <c r="Z89" s="4"/>
    </row>
    <row r="90" spans="2:26" ht="15" x14ac:dyDescent="0.25">
      <c r="B90" s="2023"/>
      <c r="C90" s="17" t="s">
        <v>90</v>
      </c>
      <c r="D90" s="2025">
        <f>SUM(D91:D93)</f>
        <v>0.18906329005759998</v>
      </c>
      <c r="E90" s="4"/>
      <c r="F90" s="4"/>
      <c r="G90" s="4"/>
      <c r="H90" s="4"/>
      <c r="I90" s="4"/>
      <c r="J90" s="4"/>
      <c r="K90" s="4"/>
      <c r="L90" s="4"/>
      <c r="M90" s="4"/>
      <c r="N90" s="4"/>
      <c r="O90" s="4"/>
      <c r="P90" s="4"/>
      <c r="Q90" s="4"/>
      <c r="R90" s="4"/>
      <c r="S90" s="4"/>
      <c r="T90" s="4"/>
      <c r="U90" s="4"/>
      <c r="V90" s="4"/>
      <c r="W90" s="4"/>
      <c r="X90" s="4"/>
      <c r="Y90" s="4"/>
      <c r="Z90" s="4"/>
    </row>
    <row r="91" spans="2:26" ht="18" x14ac:dyDescent="0.35">
      <c r="B91" s="2023"/>
      <c r="C91" s="17" t="s">
        <v>91</v>
      </c>
      <c r="D91" s="2032">
        <v>0</v>
      </c>
      <c r="E91" s="4"/>
      <c r="F91" s="4"/>
      <c r="G91" s="4"/>
      <c r="H91" s="4"/>
      <c r="I91" s="4"/>
      <c r="J91" s="4"/>
      <c r="K91" s="4"/>
      <c r="L91" s="4"/>
      <c r="M91" s="4"/>
      <c r="N91" s="4"/>
      <c r="O91" s="4"/>
      <c r="P91" s="4"/>
      <c r="Q91" s="4"/>
      <c r="R91" s="4"/>
      <c r="S91" s="4"/>
      <c r="T91" s="4"/>
      <c r="U91" s="4"/>
      <c r="V91" s="4"/>
      <c r="W91" s="4"/>
      <c r="X91" s="4"/>
      <c r="Y91" s="4"/>
      <c r="Z91" s="4"/>
    </row>
    <row r="92" spans="2:26" ht="18" x14ac:dyDescent="0.35">
      <c r="B92" s="2023"/>
      <c r="C92" s="17" t="s">
        <v>92</v>
      </c>
      <c r="D92" s="2032">
        <f>Mining!C35+Mining!C36</f>
        <v>0.18906329005759998</v>
      </c>
      <c r="E92" s="4"/>
      <c r="F92" s="4"/>
      <c r="G92" s="4"/>
      <c r="H92" s="4"/>
      <c r="I92" s="4"/>
      <c r="J92" s="4"/>
      <c r="K92" s="4"/>
      <c r="L92" s="4"/>
      <c r="M92" s="4"/>
      <c r="N92" s="4"/>
      <c r="O92" s="4"/>
      <c r="P92" s="4"/>
      <c r="Q92" s="4"/>
      <c r="R92" s="4"/>
      <c r="S92" s="4"/>
      <c r="T92" s="4"/>
      <c r="U92" s="4"/>
      <c r="V92" s="4"/>
      <c r="W92" s="4"/>
      <c r="X92" s="4"/>
      <c r="Y92" s="4"/>
      <c r="Z92" s="4"/>
    </row>
    <row r="93" spans="2:26" ht="18" x14ac:dyDescent="0.35">
      <c r="B93" s="2026"/>
      <c r="C93" s="25" t="s">
        <v>93</v>
      </c>
      <c r="D93" s="2032">
        <v>0</v>
      </c>
      <c r="E93" s="4"/>
      <c r="F93" s="4"/>
      <c r="G93" s="4"/>
      <c r="H93" s="4"/>
      <c r="I93" s="4"/>
      <c r="J93" s="4"/>
      <c r="K93" s="4"/>
      <c r="L93" s="4"/>
      <c r="M93" s="4"/>
      <c r="N93" s="4"/>
      <c r="O93" s="4"/>
      <c r="P93" s="4"/>
      <c r="Q93" s="4"/>
      <c r="R93" s="4"/>
      <c r="S93" s="4"/>
      <c r="T93" s="4"/>
      <c r="U93" s="4"/>
      <c r="V93" s="4"/>
      <c r="W93" s="4"/>
      <c r="X93" s="4"/>
      <c r="Y93" s="4"/>
      <c r="Z93" s="4"/>
    </row>
    <row r="94" spans="2:26" ht="15" x14ac:dyDescent="0.25">
      <c r="B94" s="2020" t="s">
        <v>94</v>
      </c>
      <c r="C94" s="28"/>
      <c r="D94" s="2028">
        <f>D95+D99+D103+D107+D111+D115+D119+D123+D127</f>
        <v>4.3957727448193964</v>
      </c>
      <c r="E94" s="4"/>
      <c r="F94" s="4"/>
      <c r="G94" s="4"/>
      <c r="H94" s="4"/>
      <c r="I94" s="4"/>
      <c r="J94" s="4"/>
      <c r="K94" s="4"/>
      <c r="L94" s="4"/>
      <c r="M94" s="4"/>
      <c r="N94" s="4"/>
      <c r="O94" s="4"/>
      <c r="P94" s="4"/>
      <c r="Q94" s="4"/>
      <c r="R94" s="4"/>
      <c r="S94" s="4"/>
      <c r="T94" s="4"/>
      <c r="U94" s="4"/>
      <c r="V94" s="4"/>
      <c r="W94" s="4"/>
      <c r="X94" s="4"/>
      <c r="Y94" s="4"/>
      <c r="Z94" s="4"/>
    </row>
    <row r="95" spans="2:26" ht="15" x14ac:dyDescent="0.25">
      <c r="B95" s="2022"/>
      <c r="C95" s="12" t="s">
        <v>95</v>
      </c>
      <c r="D95" s="2025">
        <f>SUM(D96:D98)</f>
        <v>0.91825561308231174</v>
      </c>
      <c r="E95" s="4"/>
      <c r="F95" s="4"/>
      <c r="G95" s="4"/>
      <c r="H95" s="4"/>
      <c r="I95" s="4"/>
      <c r="J95" s="4"/>
      <c r="K95" s="4"/>
      <c r="L95" s="4"/>
      <c r="M95" s="4"/>
      <c r="N95" s="4"/>
      <c r="O95" s="4"/>
      <c r="P95" s="4"/>
      <c r="Q95" s="4"/>
      <c r="R95" s="4"/>
      <c r="S95" s="4"/>
      <c r="T95" s="4"/>
      <c r="U95" s="4"/>
      <c r="V95" s="4"/>
      <c r="W95" s="4"/>
      <c r="X95" s="4"/>
      <c r="Y95" s="4"/>
      <c r="Z95" s="4"/>
    </row>
    <row r="96" spans="2:26" ht="18" x14ac:dyDescent="0.35">
      <c r="B96" s="2023"/>
      <c r="C96" s="17" t="s">
        <v>96</v>
      </c>
      <c r="D96" s="2032">
        <f>Cement!G80</f>
        <v>0.91825561308231174</v>
      </c>
      <c r="E96" s="4"/>
      <c r="F96" s="4"/>
      <c r="G96" s="4"/>
      <c r="H96" s="4"/>
      <c r="I96" s="4"/>
      <c r="J96" s="4"/>
      <c r="K96" s="4"/>
      <c r="L96" s="4"/>
      <c r="M96" s="4"/>
      <c r="N96" s="4"/>
      <c r="O96" s="4"/>
      <c r="P96" s="4"/>
      <c r="Q96" s="4"/>
      <c r="R96" s="4"/>
      <c r="S96" s="4"/>
      <c r="T96" s="4"/>
      <c r="U96" s="4"/>
      <c r="V96" s="4"/>
      <c r="W96" s="4"/>
      <c r="X96" s="4"/>
      <c r="Y96" s="4"/>
      <c r="Z96" s="4"/>
    </row>
    <row r="97" spans="2:26" ht="18" x14ac:dyDescent="0.35">
      <c r="B97" s="2023"/>
      <c r="C97" s="17" t="s">
        <v>97</v>
      </c>
      <c r="D97" s="2032">
        <v>0</v>
      </c>
      <c r="E97" s="4"/>
      <c r="F97" s="4"/>
      <c r="G97" s="4"/>
      <c r="H97" s="4"/>
      <c r="I97" s="4"/>
      <c r="J97" s="4"/>
      <c r="K97" s="4"/>
      <c r="L97" s="4"/>
      <c r="M97" s="4"/>
      <c r="N97" s="4"/>
      <c r="O97" s="4"/>
      <c r="P97" s="4"/>
      <c r="Q97" s="4"/>
      <c r="R97" s="4"/>
      <c r="S97" s="4"/>
      <c r="T97" s="4"/>
      <c r="U97" s="4"/>
      <c r="V97" s="4"/>
      <c r="W97" s="4"/>
      <c r="X97" s="4"/>
      <c r="Y97" s="4"/>
      <c r="Z97" s="4"/>
    </row>
    <row r="98" spans="2:26" ht="18" x14ac:dyDescent="0.35">
      <c r="B98" s="2023"/>
      <c r="C98" s="17" t="s">
        <v>98</v>
      </c>
      <c r="D98" s="2032">
        <v>0</v>
      </c>
      <c r="E98" s="4"/>
      <c r="F98" s="4"/>
      <c r="G98" s="4"/>
      <c r="H98" s="4"/>
      <c r="I98" s="4"/>
      <c r="J98" s="4"/>
      <c r="K98" s="4"/>
      <c r="L98" s="4"/>
      <c r="M98" s="4"/>
      <c r="N98" s="4"/>
      <c r="O98" s="4"/>
      <c r="P98" s="4"/>
      <c r="Q98" s="4"/>
      <c r="R98" s="4"/>
      <c r="S98" s="4"/>
      <c r="T98" s="4"/>
      <c r="U98" s="4"/>
      <c r="V98" s="4"/>
      <c r="W98" s="4"/>
      <c r="X98" s="4"/>
      <c r="Y98" s="4"/>
      <c r="Z98" s="4"/>
    </row>
    <row r="99" spans="2:26" ht="15" x14ac:dyDescent="0.25">
      <c r="B99" s="2023"/>
      <c r="C99" s="30" t="s">
        <v>99</v>
      </c>
      <c r="D99" s="2025">
        <f>SUM(D100:D102)</f>
        <v>8.5604639999999996E-2</v>
      </c>
      <c r="E99" s="4"/>
      <c r="F99" s="4"/>
      <c r="G99" s="4"/>
      <c r="H99" s="4"/>
      <c r="I99" s="4"/>
      <c r="J99" s="4"/>
      <c r="K99" s="4"/>
      <c r="L99" s="4"/>
      <c r="M99" s="4"/>
      <c r="N99" s="4"/>
      <c r="O99" s="4"/>
      <c r="P99" s="4"/>
      <c r="Q99" s="4"/>
      <c r="R99" s="4"/>
      <c r="S99" s="4"/>
      <c r="T99" s="4"/>
      <c r="U99" s="4"/>
      <c r="V99" s="4"/>
      <c r="W99" s="4"/>
      <c r="X99" s="4"/>
      <c r="Y99" s="4"/>
      <c r="Z99" s="4"/>
    </row>
    <row r="100" spans="2:26" ht="18" x14ac:dyDescent="0.35">
      <c r="B100" s="2023"/>
      <c r="C100" s="17" t="s">
        <v>100</v>
      </c>
      <c r="D100" s="2032">
        <f>'LimeT&amp;DSodaODS'!D43/1000000</f>
        <v>8.5604639999999996E-2</v>
      </c>
      <c r="E100" s="4"/>
      <c r="F100" s="4"/>
      <c r="G100" s="4"/>
      <c r="H100" s="4"/>
      <c r="I100" s="4"/>
      <c r="J100" s="4"/>
      <c r="K100" s="4"/>
      <c r="L100" s="4"/>
      <c r="M100" s="4"/>
      <c r="N100" s="4"/>
      <c r="O100" s="4"/>
      <c r="P100" s="4"/>
      <c r="Q100" s="4"/>
      <c r="R100" s="4"/>
      <c r="S100" s="4"/>
      <c r="T100" s="4"/>
      <c r="U100" s="4"/>
      <c r="V100" s="4"/>
      <c r="W100" s="4"/>
      <c r="X100" s="4"/>
      <c r="Y100" s="4"/>
      <c r="Z100" s="4"/>
    </row>
    <row r="101" spans="2:26" ht="18" x14ac:dyDescent="0.35">
      <c r="B101" s="2023"/>
      <c r="C101" s="17" t="s">
        <v>101</v>
      </c>
      <c r="D101" s="2032">
        <v>0</v>
      </c>
      <c r="E101" s="4"/>
      <c r="F101" s="4"/>
      <c r="G101" s="4"/>
      <c r="H101" s="4"/>
      <c r="I101" s="4"/>
      <c r="J101" s="4"/>
      <c r="K101" s="4"/>
      <c r="L101" s="4"/>
      <c r="M101" s="4"/>
      <c r="N101" s="4"/>
      <c r="O101" s="4"/>
      <c r="P101" s="4"/>
      <c r="Q101" s="4"/>
      <c r="R101" s="4"/>
      <c r="S101" s="4"/>
      <c r="T101" s="4"/>
      <c r="U101" s="4"/>
      <c r="V101" s="4"/>
      <c r="W101" s="4"/>
      <c r="X101" s="4"/>
      <c r="Y101" s="4"/>
      <c r="Z101" s="4"/>
    </row>
    <row r="102" spans="2:26" ht="18" x14ac:dyDescent="0.35">
      <c r="B102" s="2023"/>
      <c r="C102" s="17" t="s">
        <v>102</v>
      </c>
      <c r="D102" s="2032">
        <v>0</v>
      </c>
      <c r="E102" s="4"/>
      <c r="F102" s="4"/>
      <c r="G102" s="4"/>
      <c r="H102" s="4"/>
      <c r="I102" s="4"/>
      <c r="J102" s="4"/>
      <c r="K102" s="4"/>
      <c r="L102" s="4"/>
      <c r="M102" s="4"/>
      <c r="N102" s="4"/>
      <c r="O102" s="4"/>
      <c r="P102" s="4"/>
      <c r="Q102" s="4"/>
      <c r="R102" s="4"/>
      <c r="S102" s="4"/>
      <c r="T102" s="4"/>
      <c r="U102" s="4"/>
      <c r="V102" s="4"/>
      <c r="W102" s="4"/>
      <c r="X102" s="4"/>
      <c r="Y102" s="4"/>
      <c r="Z102" s="4"/>
    </row>
    <row r="103" spans="2:26" ht="15" x14ac:dyDescent="0.25">
      <c r="B103" s="2023"/>
      <c r="C103" s="30" t="s">
        <v>103</v>
      </c>
      <c r="D103" s="2025">
        <f>SUM(D104:D106)</f>
        <v>4.0365128549999997E-2</v>
      </c>
      <c r="E103" s="4"/>
      <c r="F103" s="4"/>
      <c r="G103" s="4"/>
      <c r="H103" s="4"/>
      <c r="I103" s="4"/>
      <c r="J103" s="4"/>
      <c r="K103" s="4"/>
      <c r="L103" s="4"/>
      <c r="M103" s="4"/>
      <c r="N103" s="4"/>
      <c r="O103" s="4"/>
      <c r="P103" s="4"/>
      <c r="Q103" s="4"/>
      <c r="R103" s="4"/>
      <c r="S103" s="4"/>
      <c r="T103" s="4"/>
      <c r="U103" s="4"/>
      <c r="V103" s="4"/>
      <c r="W103" s="4"/>
      <c r="X103" s="4"/>
      <c r="Y103" s="4"/>
      <c r="Z103" s="4"/>
    </row>
    <row r="104" spans="2:26" ht="18" x14ac:dyDescent="0.35">
      <c r="B104" s="2023"/>
      <c r="C104" s="17" t="s">
        <v>104</v>
      </c>
      <c r="D104" s="2032">
        <f>'LimeT&amp;DSodaODS'!D44/1000000</f>
        <v>4.0365128549999997E-2</v>
      </c>
      <c r="E104" s="4"/>
      <c r="F104" s="4"/>
      <c r="G104" s="4"/>
      <c r="H104" s="4"/>
      <c r="I104" s="4"/>
      <c r="J104" s="4"/>
      <c r="K104" s="4"/>
      <c r="L104" s="4"/>
      <c r="M104" s="4"/>
      <c r="N104" s="4"/>
      <c r="O104" s="4"/>
      <c r="P104" s="4"/>
      <c r="Q104" s="4"/>
      <c r="R104" s="4"/>
      <c r="S104" s="4"/>
      <c r="T104" s="4"/>
      <c r="U104" s="4"/>
      <c r="V104" s="4"/>
      <c r="W104" s="4"/>
      <c r="X104" s="4"/>
      <c r="Y104" s="4"/>
      <c r="Z104" s="4"/>
    </row>
    <row r="105" spans="2:26" ht="18" x14ac:dyDescent="0.35">
      <c r="B105" s="2023"/>
      <c r="C105" s="17" t="s">
        <v>105</v>
      </c>
      <c r="D105" s="2032">
        <v>0</v>
      </c>
      <c r="E105" s="4"/>
      <c r="F105" s="4"/>
      <c r="G105" s="4"/>
      <c r="H105" s="4"/>
      <c r="I105" s="4"/>
      <c r="J105" s="4"/>
      <c r="K105" s="4"/>
      <c r="L105" s="4"/>
      <c r="M105" s="4"/>
      <c r="N105" s="4"/>
      <c r="O105" s="4"/>
      <c r="P105" s="4"/>
      <c r="Q105" s="4"/>
      <c r="R105" s="4"/>
      <c r="S105" s="4"/>
      <c r="T105" s="4"/>
      <c r="U105" s="4"/>
      <c r="V105" s="4"/>
      <c r="W105" s="4"/>
      <c r="X105" s="4"/>
      <c r="Y105" s="4"/>
      <c r="Z105" s="4"/>
    </row>
    <row r="106" spans="2:26" ht="18" x14ac:dyDescent="0.35">
      <c r="B106" s="2023"/>
      <c r="C106" s="17" t="s">
        <v>106</v>
      </c>
      <c r="D106" s="2032">
        <v>0</v>
      </c>
      <c r="E106" s="4"/>
      <c r="F106" s="4"/>
      <c r="G106" s="4"/>
      <c r="H106" s="4"/>
      <c r="I106" s="4"/>
      <c r="J106" s="4"/>
      <c r="K106" s="4"/>
      <c r="L106" s="4"/>
      <c r="M106" s="4"/>
      <c r="N106" s="4"/>
      <c r="O106" s="4"/>
      <c r="P106" s="4"/>
      <c r="Q106" s="4"/>
      <c r="R106" s="4"/>
      <c r="S106" s="4"/>
      <c r="T106" s="4"/>
      <c r="U106" s="4"/>
      <c r="V106" s="4"/>
      <c r="W106" s="4"/>
      <c r="X106" s="4"/>
      <c r="Y106" s="4"/>
      <c r="Z106" s="4"/>
    </row>
    <row r="107" spans="2:26" ht="15" x14ac:dyDescent="0.25">
      <c r="B107" s="2023"/>
      <c r="C107" s="30" t="s">
        <v>107</v>
      </c>
      <c r="D107" s="2025">
        <f>SUM(D108:D110)</f>
        <v>0.90971243984396266</v>
      </c>
      <c r="E107" s="4"/>
      <c r="F107" s="4"/>
      <c r="G107" s="4"/>
      <c r="H107" s="4"/>
      <c r="I107" s="4"/>
      <c r="J107" s="4"/>
      <c r="K107" s="4"/>
      <c r="L107" s="4"/>
      <c r="M107" s="4"/>
      <c r="N107" s="4"/>
      <c r="O107" s="4"/>
      <c r="P107" s="4"/>
      <c r="Q107" s="4"/>
      <c r="R107" s="4"/>
      <c r="S107" s="4"/>
      <c r="T107" s="4"/>
      <c r="U107" s="4"/>
      <c r="V107" s="4"/>
      <c r="W107" s="4"/>
      <c r="X107" s="4"/>
      <c r="Y107" s="4"/>
      <c r="Z107" s="4"/>
    </row>
    <row r="108" spans="2:26" ht="18" x14ac:dyDescent="0.35">
      <c r="B108" s="2023"/>
      <c r="C108" s="17" t="s">
        <v>108</v>
      </c>
      <c r="D108" s="2032">
        <f>'Iron And Steel'!F18/1000000</f>
        <v>0.90971243984396266</v>
      </c>
      <c r="E108" s="4"/>
      <c r="F108" s="4"/>
      <c r="G108" s="4"/>
      <c r="H108" s="4"/>
      <c r="I108" s="4"/>
      <c r="J108" s="4"/>
      <c r="K108" s="4"/>
      <c r="L108" s="4"/>
      <c r="M108" s="4"/>
      <c r="N108" s="4"/>
      <c r="O108" s="4"/>
      <c r="P108" s="4"/>
      <c r="Q108" s="4"/>
      <c r="R108" s="4"/>
      <c r="S108" s="4"/>
      <c r="T108" s="4"/>
      <c r="U108" s="4"/>
      <c r="V108" s="4"/>
      <c r="W108" s="4"/>
      <c r="X108" s="4"/>
      <c r="Y108" s="4"/>
      <c r="Z108" s="4"/>
    </row>
    <row r="109" spans="2:26" ht="18" x14ac:dyDescent="0.35">
      <c r="B109" s="2023"/>
      <c r="C109" s="17" t="s">
        <v>109</v>
      </c>
      <c r="D109" s="2032">
        <v>0</v>
      </c>
      <c r="E109" s="4"/>
      <c r="F109" s="4"/>
      <c r="G109" s="4"/>
      <c r="H109" s="4"/>
      <c r="I109" s="4"/>
      <c r="J109" s="4"/>
      <c r="K109" s="4"/>
      <c r="L109" s="4"/>
      <c r="M109" s="4"/>
      <c r="N109" s="4"/>
      <c r="O109" s="4"/>
      <c r="P109" s="4"/>
      <c r="Q109" s="4"/>
      <c r="R109" s="4"/>
      <c r="S109" s="4"/>
      <c r="T109" s="4"/>
      <c r="U109" s="4"/>
      <c r="V109" s="4"/>
      <c r="W109" s="4"/>
      <c r="X109" s="4"/>
      <c r="Y109" s="4"/>
      <c r="Z109" s="4"/>
    </row>
    <row r="110" spans="2:26" ht="18" x14ac:dyDescent="0.35">
      <c r="B110" s="2023"/>
      <c r="C110" s="17" t="s">
        <v>110</v>
      </c>
      <c r="D110" s="2032">
        <v>0</v>
      </c>
      <c r="E110" s="4"/>
      <c r="F110" s="4"/>
      <c r="G110" s="4"/>
      <c r="H110" s="4"/>
      <c r="I110" s="4"/>
      <c r="J110" s="4"/>
      <c r="K110" s="4"/>
      <c r="L110" s="4"/>
      <c r="M110" s="4"/>
      <c r="N110" s="4"/>
      <c r="O110" s="4"/>
      <c r="P110" s="4"/>
      <c r="Q110" s="4"/>
      <c r="R110" s="4"/>
      <c r="S110" s="4"/>
      <c r="T110" s="4"/>
      <c r="U110" s="4"/>
      <c r="V110" s="4"/>
      <c r="W110" s="4"/>
      <c r="X110" s="4"/>
      <c r="Y110" s="4"/>
      <c r="Z110" s="4"/>
    </row>
    <row r="111" spans="2:26" ht="15" x14ac:dyDescent="0.25">
      <c r="B111" s="2023"/>
      <c r="C111" s="30" t="s">
        <v>111</v>
      </c>
      <c r="D111" s="2025">
        <f>SUM(D112:D114)</f>
        <v>2.2763837333431209</v>
      </c>
      <c r="E111" s="4"/>
      <c r="F111" s="4"/>
      <c r="G111" s="4"/>
      <c r="H111" s="4"/>
      <c r="I111" s="4"/>
      <c r="J111" s="4"/>
      <c r="K111" s="4"/>
      <c r="L111" s="4"/>
      <c r="M111" s="4"/>
      <c r="N111" s="4"/>
      <c r="O111" s="4"/>
      <c r="P111" s="4"/>
      <c r="Q111" s="4"/>
      <c r="R111" s="4"/>
      <c r="S111" s="4"/>
      <c r="T111" s="4"/>
      <c r="U111" s="4"/>
      <c r="V111" s="4"/>
      <c r="W111" s="4"/>
      <c r="X111" s="4"/>
      <c r="Y111" s="4"/>
      <c r="Z111" s="4"/>
    </row>
    <row r="112" spans="2:26" ht="18" x14ac:dyDescent="0.35">
      <c r="B112" s="2023"/>
      <c r="C112" s="17" t="s">
        <v>112</v>
      </c>
      <c r="D112" s="2032">
        <v>0</v>
      </c>
      <c r="E112" s="4"/>
      <c r="F112" s="4"/>
      <c r="G112" s="4"/>
      <c r="H112" s="4"/>
      <c r="I112" s="4"/>
      <c r="J112" s="4"/>
      <c r="K112" s="4"/>
      <c r="L112" s="4"/>
      <c r="M112" s="4"/>
      <c r="N112" s="4"/>
      <c r="O112" s="4"/>
      <c r="P112" s="4"/>
      <c r="Q112" s="4"/>
      <c r="R112" s="4"/>
      <c r="S112" s="4"/>
      <c r="T112" s="4"/>
      <c r="U112" s="4"/>
      <c r="V112" s="4"/>
      <c r="W112" s="4"/>
      <c r="X112" s="4"/>
      <c r="Y112" s="4"/>
      <c r="Z112" s="4"/>
    </row>
    <row r="113" spans="2:26" ht="18" x14ac:dyDescent="0.35">
      <c r="B113" s="2023"/>
      <c r="C113" s="17" t="s">
        <v>113</v>
      </c>
      <c r="D113" s="2032">
        <v>0</v>
      </c>
      <c r="E113" s="4"/>
      <c r="F113" s="4"/>
      <c r="G113" s="4"/>
      <c r="H113" s="4"/>
      <c r="I113" s="4"/>
      <c r="J113" s="4"/>
      <c r="K113" s="4"/>
      <c r="L113" s="4"/>
      <c r="M113" s="4"/>
      <c r="N113" s="4"/>
      <c r="O113" s="4"/>
      <c r="P113" s="4"/>
      <c r="Q113" s="4"/>
      <c r="R113" s="4"/>
      <c r="S113" s="4"/>
      <c r="T113" s="4"/>
      <c r="U113" s="4"/>
      <c r="V113" s="4"/>
      <c r="W113" s="4"/>
      <c r="X113" s="4"/>
      <c r="Y113" s="4"/>
      <c r="Z113" s="4"/>
    </row>
    <row r="114" spans="2:26" ht="18" x14ac:dyDescent="0.35">
      <c r="B114" s="2023"/>
      <c r="C114" s="17" t="s">
        <v>114</v>
      </c>
      <c r="D114" s="2032">
        <f>'LimeT&amp;DSodaODS'!D51/1000000</f>
        <v>2.2763837333431209</v>
      </c>
      <c r="E114" s="4"/>
      <c r="F114" s="4"/>
      <c r="G114" s="4"/>
      <c r="H114" s="4"/>
      <c r="I114" s="4"/>
      <c r="J114" s="4"/>
      <c r="K114" s="4"/>
      <c r="L114" s="4"/>
      <c r="M114" s="4"/>
      <c r="N114" s="4"/>
      <c r="O114" s="4"/>
      <c r="P114" s="4"/>
      <c r="Q114" s="4"/>
      <c r="R114" s="4"/>
      <c r="S114" s="4"/>
      <c r="T114" s="4"/>
      <c r="U114" s="4"/>
      <c r="V114" s="4"/>
      <c r="W114" s="4"/>
      <c r="X114" s="4"/>
      <c r="Y114" s="4"/>
      <c r="Z114" s="4"/>
    </row>
    <row r="115" spans="2:26" ht="15" x14ac:dyDescent="0.25">
      <c r="B115" s="2023"/>
      <c r="C115" s="30" t="s">
        <v>115</v>
      </c>
      <c r="D115" s="2025">
        <f>SUM(D116:D118)</f>
        <v>0.16450000000000001</v>
      </c>
      <c r="E115" s="4"/>
      <c r="F115" s="4"/>
      <c r="G115" s="4"/>
      <c r="H115" s="4"/>
      <c r="I115" s="4"/>
      <c r="J115" s="4"/>
      <c r="K115" s="4"/>
      <c r="L115" s="4"/>
      <c r="M115" s="4"/>
      <c r="N115" s="4"/>
      <c r="O115" s="4"/>
      <c r="P115" s="4"/>
      <c r="Q115" s="4"/>
      <c r="R115" s="4"/>
      <c r="S115" s="4"/>
      <c r="T115" s="4"/>
      <c r="U115" s="4"/>
      <c r="V115" s="4"/>
      <c r="W115" s="4"/>
      <c r="X115" s="4"/>
      <c r="Y115" s="4"/>
      <c r="Z115" s="4"/>
    </row>
    <row r="116" spans="2:26" ht="18" x14ac:dyDescent="0.35">
      <c r="B116" s="2023"/>
      <c r="C116" s="17" t="s">
        <v>116</v>
      </c>
      <c r="D116" s="2032">
        <v>0</v>
      </c>
      <c r="E116" s="4"/>
      <c r="F116" s="4"/>
      <c r="G116" s="4"/>
      <c r="H116" s="4"/>
      <c r="I116" s="4"/>
      <c r="J116" s="4"/>
      <c r="K116" s="4"/>
      <c r="L116" s="4"/>
      <c r="M116" s="4"/>
      <c r="N116" s="4"/>
      <c r="O116" s="4"/>
      <c r="P116" s="4"/>
      <c r="Q116" s="4"/>
      <c r="R116" s="4"/>
      <c r="S116" s="4"/>
      <c r="T116" s="4"/>
      <c r="U116" s="4"/>
      <c r="V116" s="4"/>
      <c r="W116" s="4"/>
      <c r="X116" s="4"/>
      <c r="Y116" s="4"/>
      <c r="Z116" s="4"/>
    </row>
    <row r="117" spans="2:26" ht="18" x14ac:dyDescent="0.35">
      <c r="B117" s="2023"/>
      <c r="C117" s="17" t="s">
        <v>117</v>
      </c>
      <c r="D117" s="2032">
        <v>0</v>
      </c>
      <c r="E117" s="4"/>
      <c r="F117" s="4"/>
      <c r="G117" s="4"/>
      <c r="H117" s="4"/>
      <c r="I117" s="4"/>
      <c r="J117" s="4"/>
      <c r="K117" s="4"/>
      <c r="L117" s="4"/>
      <c r="M117" s="4"/>
      <c r="N117" s="4"/>
      <c r="O117" s="4"/>
      <c r="P117" s="4"/>
      <c r="Q117" s="4"/>
      <c r="R117" s="4"/>
      <c r="S117" s="4"/>
      <c r="T117" s="4"/>
      <c r="U117" s="4"/>
      <c r="V117" s="4"/>
      <c r="W117" s="4"/>
      <c r="X117" s="4"/>
      <c r="Y117" s="4"/>
      <c r="Z117" s="4"/>
    </row>
    <row r="118" spans="2:26" ht="18" x14ac:dyDescent="0.35">
      <c r="B118" s="2023"/>
      <c r="C118" s="17" t="s">
        <v>118</v>
      </c>
      <c r="D118" s="2032">
        <f>'LimeT&amp;DSodaODS'!D54/1000000</f>
        <v>0.16450000000000001</v>
      </c>
      <c r="E118" s="4"/>
      <c r="F118" s="4"/>
      <c r="G118" s="4"/>
      <c r="H118" s="4"/>
      <c r="I118" s="4"/>
      <c r="J118" s="4"/>
      <c r="K118" s="4"/>
      <c r="L118" s="4"/>
      <c r="M118" s="4"/>
      <c r="N118" s="4"/>
      <c r="O118" s="4"/>
      <c r="P118" s="4"/>
      <c r="Q118" s="4"/>
      <c r="R118" s="4"/>
      <c r="S118" s="4"/>
      <c r="T118" s="4"/>
      <c r="U118" s="4"/>
      <c r="V118" s="4"/>
      <c r="W118" s="4"/>
      <c r="X118" s="4"/>
      <c r="Y118" s="4"/>
      <c r="Z118" s="4"/>
    </row>
    <row r="119" spans="2:26" ht="15" x14ac:dyDescent="0.25">
      <c r="B119" s="2023"/>
      <c r="C119" s="30" t="s">
        <v>119</v>
      </c>
      <c r="D119" s="2025">
        <f>SUM(D120:D122)</f>
        <v>0</v>
      </c>
      <c r="E119" s="4"/>
      <c r="F119" s="4"/>
      <c r="G119" s="4"/>
      <c r="H119" s="4"/>
      <c r="I119" s="4"/>
      <c r="J119" s="4"/>
      <c r="K119" s="4"/>
      <c r="L119" s="4"/>
      <c r="M119" s="4"/>
      <c r="N119" s="4"/>
      <c r="O119" s="4"/>
      <c r="P119" s="4"/>
      <c r="Q119" s="4"/>
      <c r="R119" s="4"/>
      <c r="S119" s="4"/>
      <c r="T119" s="4"/>
      <c r="U119" s="4"/>
      <c r="V119" s="4"/>
      <c r="W119" s="4"/>
      <c r="X119" s="4"/>
      <c r="Y119" s="4"/>
      <c r="Z119" s="4"/>
    </row>
    <row r="120" spans="2:26" ht="18" x14ac:dyDescent="0.35">
      <c r="B120" s="2023"/>
      <c r="C120" s="17" t="s">
        <v>120</v>
      </c>
      <c r="D120" s="2032">
        <v>0</v>
      </c>
      <c r="E120" s="4"/>
      <c r="F120" s="4"/>
      <c r="G120" s="4"/>
      <c r="H120" s="4"/>
      <c r="I120" s="4"/>
      <c r="J120" s="4"/>
      <c r="K120" s="4"/>
      <c r="L120" s="4"/>
      <c r="M120" s="4"/>
      <c r="N120" s="4"/>
      <c r="O120" s="4"/>
      <c r="P120" s="4"/>
      <c r="Q120" s="4"/>
      <c r="R120" s="4"/>
      <c r="S120" s="4"/>
      <c r="T120" s="4"/>
      <c r="U120" s="4"/>
      <c r="V120" s="4"/>
      <c r="W120" s="4"/>
      <c r="X120" s="4"/>
      <c r="Y120" s="4"/>
      <c r="Z120" s="4"/>
    </row>
    <row r="121" spans="2:26" ht="18" x14ac:dyDescent="0.35">
      <c r="B121" s="2023"/>
      <c r="C121" s="17" t="s">
        <v>121</v>
      </c>
      <c r="D121" s="2032">
        <v>0</v>
      </c>
      <c r="E121" s="4"/>
      <c r="F121" s="4"/>
      <c r="G121" s="4"/>
      <c r="H121" s="4"/>
      <c r="I121" s="4"/>
      <c r="J121" s="4"/>
      <c r="K121" s="4"/>
      <c r="L121" s="4"/>
      <c r="M121" s="4"/>
      <c r="N121" s="4"/>
      <c r="O121" s="4"/>
      <c r="P121" s="4"/>
      <c r="Q121" s="4"/>
      <c r="R121" s="4"/>
      <c r="S121" s="4"/>
      <c r="T121" s="4"/>
      <c r="U121" s="4"/>
      <c r="V121" s="4"/>
      <c r="W121" s="4"/>
      <c r="X121" s="4"/>
      <c r="Y121" s="4"/>
      <c r="Z121" s="4"/>
    </row>
    <row r="122" spans="2:26" ht="18" x14ac:dyDescent="0.35">
      <c r="B122" s="2023"/>
      <c r="C122" s="17" t="s">
        <v>122</v>
      </c>
      <c r="D122" s="2032">
        <v>0</v>
      </c>
      <c r="E122" s="4"/>
      <c r="F122" s="4"/>
      <c r="G122" s="4"/>
      <c r="H122" s="4"/>
      <c r="I122" s="4"/>
      <c r="J122" s="4"/>
      <c r="K122" s="4"/>
      <c r="L122" s="4"/>
      <c r="M122" s="4"/>
      <c r="N122" s="4"/>
      <c r="O122" s="4"/>
      <c r="P122" s="4"/>
      <c r="Q122" s="4"/>
      <c r="R122" s="4"/>
      <c r="S122" s="4"/>
      <c r="T122" s="4"/>
      <c r="U122" s="4"/>
      <c r="V122" s="4"/>
      <c r="W122" s="4"/>
      <c r="X122" s="4"/>
      <c r="Y122" s="4"/>
      <c r="Z122" s="4"/>
    </row>
    <row r="123" spans="2:26" ht="15" x14ac:dyDescent="0.25">
      <c r="B123" s="2023"/>
      <c r="C123" s="30" t="s">
        <v>123</v>
      </c>
      <c r="D123" s="2025">
        <f>SUM(D124:D126)</f>
        <v>9.5118999999999998E-4</v>
      </c>
      <c r="E123" s="4"/>
      <c r="F123" s="4"/>
      <c r="G123" s="4"/>
      <c r="H123" s="4"/>
      <c r="I123" s="4"/>
      <c r="J123" s="4"/>
      <c r="K123" s="4"/>
      <c r="L123" s="4"/>
      <c r="M123" s="4"/>
      <c r="N123" s="4"/>
      <c r="O123" s="4"/>
      <c r="P123" s="4"/>
      <c r="Q123" s="4"/>
      <c r="R123" s="4"/>
      <c r="S123" s="4"/>
      <c r="T123" s="4"/>
      <c r="U123" s="4"/>
      <c r="V123" s="4"/>
      <c r="W123" s="4"/>
      <c r="X123" s="4"/>
      <c r="Y123" s="4"/>
      <c r="Z123" s="4"/>
    </row>
    <row r="124" spans="2:26" ht="18" x14ac:dyDescent="0.35">
      <c r="B124" s="2023"/>
      <c r="C124" s="17" t="s">
        <v>124</v>
      </c>
      <c r="D124" s="2032">
        <f>'LimeT&amp;DSodaODS'!D45/1000000</f>
        <v>9.5118999999999998E-4</v>
      </c>
      <c r="E124" s="4"/>
      <c r="F124" s="4"/>
      <c r="G124" s="4"/>
      <c r="H124" s="4"/>
      <c r="I124" s="4"/>
      <c r="J124" s="4"/>
      <c r="K124" s="4"/>
      <c r="L124" s="4"/>
      <c r="M124" s="4"/>
      <c r="N124" s="4"/>
      <c r="O124" s="4"/>
      <c r="P124" s="4"/>
      <c r="Q124" s="4"/>
      <c r="R124" s="4"/>
      <c r="S124" s="4"/>
      <c r="T124" s="4"/>
      <c r="U124" s="4"/>
      <c r="V124" s="4"/>
      <c r="W124" s="4"/>
      <c r="X124" s="4"/>
      <c r="Y124" s="4"/>
      <c r="Z124" s="4"/>
    </row>
    <row r="125" spans="2:26" ht="18" x14ac:dyDescent="0.35">
      <c r="B125" s="2023"/>
      <c r="C125" s="17" t="s">
        <v>125</v>
      </c>
      <c r="D125" s="2032">
        <v>0</v>
      </c>
      <c r="E125" s="4"/>
      <c r="F125" s="4"/>
      <c r="G125" s="4"/>
      <c r="H125" s="4"/>
      <c r="I125" s="4"/>
      <c r="J125" s="4"/>
      <c r="K125" s="4"/>
      <c r="L125" s="4"/>
      <c r="M125" s="4"/>
      <c r="N125" s="4"/>
      <c r="O125" s="4"/>
      <c r="P125" s="4"/>
      <c r="Q125" s="4"/>
      <c r="R125" s="4"/>
      <c r="S125" s="4"/>
      <c r="T125" s="4"/>
      <c r="U125" s="4"/>
      <c r="V125" s="4"/>
      <c r="W125" s="4"/>
      <c r="X125" s="4"/>
      <c r="Y125" s="4"/>
      <c r="Z125" s="4"/>
    </row>
    <row r="126" spans="2:26" ht="18" x14ac:dyDescent="0.35">
      <c r="B126" s="2023"/>
      <c r="C126" s="17" t="s">
        <v>126</v>
      </c>
      <c r="D126" s="2032">
        <v>0</v>
      </c>
      <c r="E126" s="4"/>
      <c r="F126" s="4"/>
      <c r="G126" s="4"/>
      <c r="H126" s="4"/>
      <c r="I126" s="4"/>
      <c r="J126" s="4"/>
      <c r="K126" s="4"/>
      <c r="L126" s="4"/>
      <c r="M126" s="4"/>
      <c r="N126" s="4"/>
      <c r="O126" s="4"/>
      <c r="P126" s="4"/>
      <c r="Q126" s="4"/>
      <c r="R126" s="4"/>
      <c r="S126" s="4"/>
      <c r="T126" s="4"/>
      <c r="U126" s="4"/>
      <c r="V126" s="4"/>
      <c r="W126" s="4"/>
      <c r="X126" s="4"/>
      <c r="Y126" s="4"/>
      <c r="Z126" s="4"/>
    </row>
    <row r="127" spans="2:26" ht="15" x14ac:dyDescent="0.25">
      <c r="B127" s="2023"/>
      <c r="C127" s="30" t="s">
        <v>127</v>
      </c>
      <c r="D127" s="2025">
        <f>SUM(D128:D130)</f>
        <v>0</v>
      </c>
      <c r="E127" s="4"/>
      <c r="F127" s="4"/>
      <c r="G127" s="4"/>
      <c r="H127" s="4"/>
      <c r="I127" s="4"/>
      <c r="J127" s="4"/>
      <c r="K127" s="4"/>
      <c r="L127" s="4"/>
      <c r="M127" s="4"/>
      <c r="N127" s="4"/>
      <c r="O127" s="4"/>
      <c r="P127" s="4"/>
      <c r="Q127" s="4"/>
      <c r="R127" s="4"/>
      <c r="S127" s="4"/>
      <c r="T127" s="4"/>
      <c r="U127" s="4"/>
      <c r="V127" s="4"/>
      <c r="W127" s="4"/>
      <c r="X127" s="4"/>
      <c r="Y127" s="4"/>
      <c r="Z127" s="4"/>
    </row>
    <row r="128" spans="2:26" ht="18" x14ac:dyDescent="0.35">
      <c r="B128" s="2023"/>
      <c r="C128" s="17" t="s">
        <v>128</v>
      </c>
      <c r="D128" s="2032">
        <v>0</v>
      </c>
      <c r="E128" s="4"/>
      <c r="F128" s="4"/>
      <c r="G128" s="4"/>
      <c r="H128" s="4"/>
      <c r="I128" s="4"/>
      <c r="J128" s="4"/>
      <c r="K128" s="4"/>
      <c r="L128" s="4"/>
      <c r="M128" s="4"/>
      <c r="N128" s="4"/>
      <c r="O128" s="4"/>
      <c r="P128" s="4"/>
      <c r="Q128" s="4"/>
      <c r="R128" s="4"/>
      <c r="S128" s="4"/>
      <c r="T128" s="4"/>
      <c r="U128" s="4"/>
      <c r="V128" s="4"/>
      <c r="W128" s="4"/>
      <c r="X128" s="4"/>
      <c r="Y128" s="4"/>
      <c r="Z128" s="4"/>
    </row>
    <row r="129" spans="2:26" ht="18" x14ac:dyDescent="0.35">
      <c r="B129" s="2023"/>
      <c r="C129" s="17" t="s">
        <v>129</v>
      </c>
      <c r="D129" s="2032">
        <v>0</v>
      </c>
      <c r="E129" s="4"/>
      <c r="F129" s="4"/>
      <c r="G129" s="4"/>
      <c r="H129" s="4"/>
      <c r="I129" s="4"/>
      <c r="J129" s="4"/>
      <c r="K129" s="4"/>
      <c r="L129" s="4"/>
      <c r="M129" s="4"/>
      <c r="N129" s="4"/>
      <c r="O129" s="4"/>
      <c r="P129" s="4"/>
      <c r="Q129" s="4"/>
      <c r="R129" s="4"/>
      <c r="S129" s="4"/>
      <c r="T129" s="4"/>
      <c r="U129" s="4"/>
      <c r="V129" s="4"/>
      <c r="W129" s="4"/>
      <c r="X129" s="4"/>
      <c r="Y129" s="4"/>
      <c r="Z129" s="4"/>
    </row>
    <row r="130" spans="2:26" ht="18" x14ac:dyDescent="0.35">
      <c r="B130" s="2026"/>
      <c r="C130" s="25" t="s">
        <v>130</v>
      </c>
      <c r="D130" s="2032">
        <v>0</v>
      </c>
      <c r="E130" s="4"/>
      <c r="F130" s="4"/>
      <c r="G130" s="4"/>
      <c r="H130" s="4"/>
      <c r="I130" s="4"/>
      <c r="J130" s="4"/>
      <c r="K130" s="4"/>
      <c r="L130" s="4"/>
      <c r="M130" s="4"/>
      <c r="N130" s="4"/>
      <c r="O130" s="4"/>
      <c r="P130" s="4"/>
      <c r="Q130" s="4"/>
      <c r="R130" s="4"/>
      <c r="S130" s="4"/>
      <c r="T130" s="4"/>
      <c r="U130" s="4"/>
      <c r="V130" s="4"/>
      <c r="W130" s="4"/>
      <c r="X130" s="4"/>
      <c r="Y130" s="4"/>
      <c r="Z130" s="4"/>
    </row>
    <row r="131" spans="2:26" ht="15" x14ac:dyDescent="0.25">
      <c r="B131" s="2029" t="s">
        <v>131</v>
      </c>
      <c r="C131" s="28"/>
      <c r="D131" s="2027">
        <f>D132+D136+D140+D144+D148</f>
        <v>1.6463033891700958</v>
      </c>
      <c r="E131" s="4"/>
      <c r="F131" s="4"/>
      <c r="G131" s="4"/>
      <c r="H131" s="4"/>
      <c r="I131" s="4"/>
      <c r="J131" s="4"/>
      <c r="K131" s="4"/>
      <c r="L131" s="4"/>
      <c r="M131" s="4"/>
      <c r="N131" s="4"/>
      <c r="O131" s="4"/>
      <c r="P131" s="4"/>
      <c r="Q131" s="4"/>
      <c r="R131" s="4"/>
      <c r="S131" s="4"/>
      <c r="T131" s="4"/>
      <c r="U131" s="4"/>
      <c r="V131" s="4"/>
      <c r="W131" s="4"/>
      <c r="X131" s="4"/>
      <c r="Y131" s="4"/>
      <c r="Z131" s="4"/>
    </row>
    <row r="132" spans="2:26" ht="15" x14ac:dyDescent="0.25">
      <c r="B132" s="2022"/>
      <c r="C132" s="12" t="s">
        <v>132</v>
      </c>
      <c r="D132" s="2025">
        <f>SUM(D133:D135)</f>
        <v>0.4958261590051557</v>
      </c>
      <c r="E132" s="4"/>
      <c r="F132" s="4"/>
      <c r="G132" s="4"/>
      <c r="H132" s="4"/>
      <c r="I132" s="4"/>
      <c r="J132" s="4"/>
      <c r="K132" s="4"/>
      <c r="L132" s="4"/>
      <c r="M132" s="4"/>
      <c r="N132" s="4"/>
      <c r="O132" s="4"/>
      <c r="P132" s="4"/>
      <c r="Q132" s="4"/>
      <c r="R132" s="4"/>
      <c r="S132" s="4"/>
      <c r="T132" s="4"/>
      <c r="U132" s="4"/>
      <c r="V132" s="4"/>
      <c r="W132" s="4"/>
      <c r="X132" s="4"/>
      <c r="Y132" s="4"/>
      <c r="Z132" s="4"/>
    </row>
    <row r="133" spans="2:26" ht="18" x14ac:dyDescent="0.35">
      <c r="B133" s="2023"/>
      <c r="C133" s="17" t="s">
        <v>133</v>
      </c>
      <c r="D133" s="2032">
        <v>0</v>
      </c>
      <c r="E133" s="4"/>
      <c r="F133" s="4"/>
      <c r="G133" s="4"/>
      <c r="H133" s="4"/>
      <c r="I133" s="4"/>
      <c r="J133" s="4"/>
      <c r="K133" s="4"/>
      <c r="L133" s="4"/>
      <c r="M133" s="4"/>
      <c r="N133" s="4"/>
      <c r="O133" s="4"/>
      <c r="P133" s="4"/>
      <c r="Q133" s="4"/>
      <c r="R133" s="4"/>
      <c r="S133" s="4"/>
      <c r="T133" s="4"/>
      <c r="U133" s="4"/>
      <c r="V133" s="4"/>
      <c r="W133" s="4"/>
      <c r="X133" s="4"/>
      <c r="Y133" s="4"/>
      <c r="Z133" s="4"/>
    </row>
    <row r="134" spans="2:26" ht="18" x14ac:dyDescent="0.35">
      <c r="B134" s="2023"/>
      <c r="C134" s="17" t="s">
        <v>134</v>
      </c>
      <c r="D134" s="2032">
        <f>Agricultural!M25</f>
        <v>0.4958261590051557</v>
      </c>
      <c r="E134" s="4"/>
      <c r="F134" s="4"/>
      <c r="G134" s="4"/>
      <c r="H134" s="4"/>
      <c r="I134" s="4"/>
      <c r="J134" s="4"/>
      <c r="K134" s="4"/>
      <c r="L134" s="4"/>
      <c r="M134" s="4"/>
      <c r="N134" s="4"/>
      <c r="O134" s="4"/>
      <c r="P134" s="4"/>
      <c r="Q134" s="4"/>
      <c r="R134" s="4"/>
      <c r="S134" s="4"/>
      <c r="T134" s="4"/>
      <c r="U134" s="4"/>
      <c r="V134" s="4"/>
      <c r="W134" s="4"/>
      <c r="X134" s="4"/>
      <c r="Y134" s="4"/>
      <c r="Z134" s="4"/>
    </row>
    <row r="135" spans="2:26" ht="18" x14ac:dyDescent="0.35">
      <c r="B135" s="2023"/>
      <c r="C135" s="17" t="s">
        <v>135</v>
      </c>
      <c r="D135" s="2032">
        <v>0</v>
      </c>
      <c r="E135" s="4"/>
      <c r="F135" s="4"/>
      <c r="G135" s="4"/>
      <c r="H135" s="4"/>
      <c r="I135" s="4"/>
      <c r="J135" s="4"/>
      <c r="K135" s="4"/>
      <c r="L135" s="4"/>
      <c r="M135" s="4"/>
      <c r="N135" s="4"/>
      <c r="O135" s="4"/>
      <c r="P135" s="4"/>
      <c r="Q135" s="4"/>
      <c r="R135" s="4"/>
      <c r="S135" s="4"/>
      <c r="T135" s="4"/>
      <c r="U135" s="4"/>
      <c r="V135" s="4"/>
      <c r="W135" s="4"/>
      <c r="X135" s="4"/>
      <c r="Y135" s="4"/>
      <c r="Z135" s="4"/>
    </row>
    <row r="136" spans="2:26" ht="15" x14ac:dyDescent="0.25">
      <c r="B136" s="2023"/>
      <c r="C136" s="30" t="s">
        <v>136</v>
      </c>
      <c r="D136" s="2025">
        <f>SUM(D137:D139)</f>
        <v>0.32251825305624321</v>
      </c>
      <c r="E136" s="4"/>
      <c r="F136" s="4"/>
      <c r="G136" s="4"/>
      <c r="H136" s="4"/>
      <c r="I136" s="4"/>
      <c r="J136" s="4"/>
      <c r="K136" s="4"/>
      <c r="L136" s="4"/>
      <c r="M136" s="4"/>
      <c r="N136" s="4"/>
      <c r="O136" s="4"/>
      <c r="P136" s="4"/>
      <c r="Q136" s="4"/>
      <c r="R136" s="4"/>
      <c r="S136" s="4"/>
      <c r="T136" s="4"/>
      <c r="U136" s="4"/>
      <c r="V136" s="4"/>
      <c r="W136" s="4"/>
      <c r="X136" s="4"/>
      <c r="Y136" s="4"/>
      <c r="Z136" s="4"/>
    </row>
    <row r="137" spans="2:26" ht="18" x14ac:dyDescent="0.35">
      <c r="B137" s="2023"/>
      <c r="C137" s="17" t="s">
        <v>137</v>
      </c>
      <c r="D137" s="2032">
        <v>0</v>
      </c>
      <c r="E137" s="4"/>
      <c r="F137" s="4"/>
      <c r="G137" s="4"/>
      <c r="H137" s="4"/>
      <c r="I137" s="4"/>
      <c r="J137" s="4"/>
      <c r="K137" s="4"/>
      <c r="L137" s="4"/>
      <c r="M137" s="4"/>
      <c r="N137" s="4"/>
      <c r="O137" s="4"/>
      <c r="P137" s="4"/>
      <c r="Q137" s="4"/>
      <c r="R137" s="4"/>
      <c r="S137" s="4"/>
      <c r="T137" s="4"/>
      <c r="U137" s="4"/>
      <c r="V137" s="4"/>
      <c r="W137" s="4"/>
      <c r="X137" s="4"/>
      <c r="Y137" s="4"/>
      <c r="Z137" s="4"/>
    </row>
    <row r="138" spans="2:26" ht="18" x14ac:dyDescent="0.35">
      <c r="B138" s="2023"/>
      <c r="C138" s="17" t="s">
        <v>138</v>
      </c>
      <c r="D138" s="2032">
        <f>Agricultural!W61</f>
        <v>0.12570615871004365</v>
      </c>
      <c r="E138" s="4"/>
      <c r="F138" s="4"/>
      <c r="G138" s="4"/>
      <c r="H138" s="4"/>
      <c r="I138" s="4"/>
      <c r="J138" s="4"/>
      <c r="K138" s="4"/>
      <c r="L138" s="4"/>
      <c r="M138" s="4"/>
      <c r="N138" s="4"/>
      <c r="O138" s="4"/>
      <c r="P138" s="4"/>
      <c r="Q138" s="4"/>
      <c r="R138" s="4"/>
      <c r="S138" s="4"/>
      <c r="T138" s="4"/>
      <c r="U138" s="4"/>
      <c r="V138" s="4"/>
      <c r="W138" s="4"/>
      <c r="X138" s="4"/>
      <c r="Y138" s="4"/>
      <c r="Z138" s="4"/>
    </row>
    <row r="139" spans="2:26" ht="18" x14ac:dyDescent="0.35">
      <c r="B139" s="2023"/>
      <c r="C139" s="17" t="s">
        <v>139</v>
      </c>
      <c r="D139" s="2032">
        <f>Agricultural!U89</f>
        <v>0.19681209434619956</v>
      </c>
      <c r="E139" s="4"/>
      <c r="F139" s="4"/>
      <c r="G139" s="4"/>
      <c r="H139" s="4"/>
      <c r="I139" s="4"/>
      <c r="J139" s="4"/>
      <c r="K139" s="4"/>
      <c r="L139" s="4"/>
      <c r="M139" s="4"/>
      <c r="N139" s="4"/>
      <c r="O139" s="4"/>
      <c r="P139" s="4"/>
      <c r="Q139" s="4"/>
      <c r="R139" s="4"/>
      <c r="S139" s="4"/>
      <c r="T139" s="4"/>
      <c r="U139" s="4"/>
      <c r="V139" s="4"/>
      <c r="W139" s="4"/>
      <c r="X139" s="4"/>
      <c r="Y139" s="4"/>
      <c r="Z139" s="4"/>
    </row>
    <row r="140" spans="2:26" ht="15" x14ac:dyDescent="0.25">
      <c r="B140" s="2023"/>
      <c r="C140" s="30" t="s">
        <v>140</v>
      </c>
      <c r="D140" s="2025">
        <f>SUM(D141:D143)</f>
        <v>0.81563348598611207</v>
      </c>
      <c r="E140" s="4"/>
      <c r="F140" s="4"/>
      <c r="G140" s="4"/>
      <c r="H140" s="4"/>
      <c r="I140" s="4"/>
      <c r="J140" s="4"/>
      <c r="K140" s="4"/>
      <c r="L140" s="4"/>
      <c r="M140" s="4"/>
      <c r="N140" s="4"/>
      <c r="O140" s="4"/>
      <c r="P140" s="4"/>
      <c r="Q140" s="4"/>
      <c r="R140" s="4"/>
      <c r="S140" s="4"/>
      <c r="T140" s="4"/>
      <c r="U140" s="4"/>
      <c r="V140" s="4"/>
      <c r="W140" s="4"/>
      <c r="X140" s="4"/>
      <c r="Y140" s="4"/>
      <c r="Z140" s="4"/>
    </row>
    <row r="141" spans="2:26" ht="18" x14ac:dyDescent="0.35">
      <c r="B141" s="2023"/>
      <c r="C141" s="17" t="s">
        <v>141</v>
      </c>
      <c r="D141" s="2032">
        <v>0</v>
      </c>
      <c r="E141" s="4"/>
      <c r="F141" s="4"/>
      <c r="G141" s="4"/>
      <c r="H141" s="4"/>
      <c r="I141" s="4"/>
      <c r="J141" s="4"/>
      <c r="K141" s="4"/>
      <c r="L141" s="4"/>
      <c r="M141" s="4"/>
      <c r="N141" s="4"/>
      <c r="O141" s="4"/>
      <c r="P141" s="4"/>
      <c r="Q141" s="4"/>
      <c r="R141" s="4"/>
      <c r="S141" s="4"/>
      <c r="T141" s="4"/>
      <c r="U141" s="4"/>
      <c r="V141" s="4"/>
      <c r="W141" s="4"/>
      <c r="X141" s="4"/>
      <c r="Y141" s="4"/>
      <c r="Z141" s="4"/>
    </row>
    <row r="142" spans="2:26" ht="18" x14ac:dyDescent="0.35">
      <c r="B142" s="2023"/>
      <c r="C142" s="17" t="s">
        <v>142</v>
      </c>
      <c r="D142" s="2032">
        <v>0</v>
      </c>
      <c r="E142" s="4"/>
      <c r="F142" s="4"/>
      <c r="G142" s="4"/>
      <c r="H142" s="4"/>
      <c r="I142" s="4"/>
      <c r="J142" s="4"/>
      <c r="K142" s="4"/>
      <c r="L142" s="4"/>
      <c r="M142" s="4"/>
      <c r="N142" s="4"/>
      <c r="O142" s="4"/>
      <c r="P142" s="4"/>
      <c r="Q142" s="4"/>
      <c r="R142" s="4"/>
      <c r="S142" s="4"/>
      <c r="T142" s="4"/>
      <c r="U142" s="4"/>
      <c r="V142" s="4"/>
      <c r="W142" s="4"/>
      <c r="X142" s="4"/>
      <c r="Y142" s="4"/>
      <c r="Z142" s="4"/>
    </row>
    <row r="143" spans="2:26" ht="18" x14ac:dyDescent="0.35">
      <c r="B143" s="2023"/>
      <c r="C143" s="17" t="s">
        <v>143</v>
      </c>
      <c r="D143" s="2032">
        <f>Agricultural!E233</f>
        <v>0.81563348598611207</v>
      </c>
      <c r="E143" s="4"/>
      <c r="F143" s="4"/>
      <c r="G143" s="4"/>
      <c r="H143" s="4"/>
      <c r="I143" s="4"/>
      <c r="J143" s="4"/>
      <c r="K143" s="4"/>
      <c r="L143" s="4"/>
      <c r="M143" s="4"/>
      <c r="N143" s="4"/>
      <c r="O143" s="4"/>
      <c r="P143" s="4"/>
      <c r="Q143" s="4"/>
      <c r="R143" s="4"/>
      <c r="S143" s="4"/>
      <c r="T143" s="4"/>
      <c r="U143" s="4"/>
      <c r="V143" s="4"/>
      <c r="W143" s="4"/>
      <c r="X143" s="4"/>
      <c r="Y143" s="4"/>
      <c r="Z143" s="4"/>
    </row>
    <row r="144" spans="2:26" ht="15" x14ac:dyDescent="0.25">
      <c r="B144" s="2023"/>
      <c r="C144" s="30" t="s">
        <v>144</v>
      </c>
      <c r="D144" s="2025">
        <f>SUM(D145:D147)</f>
        <v>7.1772343261893648E-3</v>
      </c>
      <c r="E144" s="4"/>
      <c r="F144" s="4"/>
      <c r="G144" s="4"/>
      <c r="H144" s="4"/>
      <c r="I144" s="4"/>
      <c r="J144" s="4"/>
      <c r="K144" s="4"/>
      <c r="L144" s="4"/>
      <c r="M144" s="4"/>
      <c r="N144" s="4"/>
      <c r="O144" s="4"/>
      <c r="P144" s="4"/>
      <c r="Q144" s="4"/>
      <c r="R144" s="4"/>
      <c r="S144" s="4"/>
      <c r="T144" s="4"/>
      <c r="U144" s="4"/>
      <c r="V144" s="4"/>
      <c r="W144" s="4"/>
      <c r="X144" s="4"/>
      <c r="Y144" s="4"/>
      <c r="Z144" s="4"/>
    </row>
    <row r="145" spans="2:26" ht="18" x14ac:dyDescent="0.35">
      <c r="B145" s="2023"/>
      <c r="C145" s="17" t="s">
        <v>145</v>
      </c>
      <c r="D145" s="2032">
        <v>0</v>
      </c>
      <c r="E145" s="4"/>
      <c r="F145" s="4"/>
      <c r="G145" s="4"/>
      <c r="H145" s="4"/>
      <c r="I145" s="4"/>
      <c r="J145" s="4"/>
      <c r="K145" s="4"/>
      <c r="L145" s="4"/>
      <c r="M145" s="4"/>
      <c r="N145" s="4"/>
      <c r="O145" s="4"/>
      <c r="P145" s="4"/>
      <c r="Q145" s="4"/>
      <c r="R145" s="4"/>
      <c r="S145" s="4"/>
      <c r="T145" s="4"/>
      <c r="U145" s="4"/>
      <c r="V145" s="4"/>
      <c r="W145" s="4"/>
      <c r="X145" s="4"/>
      <c r="Y145" s="4"/>
      <c r="Z145" s="4"/>
    </row>
    <row r="146" spans="2:26" ht="18" x14ac:dyDescent="0.35">
      <c r="B146" s="2023"/>
      <c r="C146" s="17" t="s">
        <v>146</v>
      </c>
      <c r="D146" s="2032">
        <f>Agricultural!E243</f>
        <v>5.0405285415034019E-3</v>
      </c>
      <c r="E146" s="4"/>
      <c r="F146" s="4"/>
      <c r="G146" s="4"/>
      <c r="H146" s="4"/>
      <c r="I146" s="4"/>
      <c r="J146" s="4"/>
      <c r="K146" s="4"/>
      <c r="L146" s="4"/>
      <c r="M146" s="4"/>
      <c r="N146" s="4"/>
      <c r="O146" s="4"/>
      <c r="P146" s="4"/>
      <c r="Q146" s="4"/>
      <c r="R146" s="4"/>
      <c r="S146" s="4"/>
      <c r="T146" s="4"/>
      <c r="U146" s="4"/>
      <c r="V146" s="4"/>
      <c r="W146" s="4"/>
      <c r="X146" s="4"/>
      <c r="Y146" s="4"/>
      <c r="Z146" s="4"/>
    </row>
    <row r="147" spans="2:26" ht="18" x14ac:dyDescent="0.35">
      <c r="B147" s="2023"/>
      <c r="C147" s="17" t="s">
        <v>147</v>
      </c>
      <c r="D147" s="2032">
        <f>Agricultural!E247</f>
        <v>2.1367057846859625E-3</v>
      </c>
      <c r="E147" s="4"/>
      <c r="F147" s="4"/>
      <c r="G147" s="4"/>
      <c r="H147" s="4"/>
      <c r="I147" s="4"/>
      <c r="J147" s="4"/>
      <c r="K147" s="4"/>
      <c r="L147" s="4"/>
      <c r="M147" s="4"/>
      <c r="N147" s="4"/>
      <c r="O147" s="4"/>
      <c r="P147" s="4"/>
      <c r="Q147" s="4"/>
      <c r="R147" s="4"/>
      <c r="S147" s="4"/>
      <c r="T147" s="4"/>
      <c r="U147" s="4"/>
      <c r="V147" s="4"/>
      <c r="W147" s="4"/>
      <c r="X147" s="4"/>
      <c r="Y147" s="4"/>
      <c r="Z147" s="4"/>
    </row>
    <row r="148" spans="2:26" ht="15" x14ac:dyDescent="0.25">
      <c r="B148" s="2023"/>
      <c r="C148" s="17" t="s">
        <v>148</v>
      </c>
      <c r="D148" s="2025">
        <f>SUM(D149:D151)</f>
        <v>5.1482567963954153E-3</v>
      </c>
      <c r="E148" s="4"/>
      <c r="F148" s="4"/>
      <c r="G148" s="4"/>
      <c r="H148" s="4"/>
      <c r="I148" s="4"/>
      <c r="J148" s="4"/>
      <c r="K148" s="4"/>
      <c r="L148" s="4"/>
      <c r="M148" s="4"/>
      <c r="N148" s="4"/>
      <c r="O148" s="4"/>
      <c r="P148" s="4"/>
      <c r="Q148" s="4"/>
      <c r="R148" s="4"/>
      <c r="S148" s="4"/>
      <c r="T148" s="4"/>
      <c r="U148" s="4"/>
      <c r="V148" s="4"/>
      <c r="W148" s="4"/>
      <c r="X148" s="4"/>
      <c r="Y148" s="4"/>
      <c r="Z148" s="4"/>
    </row>
    <row r="149" spans="2:26" ht="18" x14ac:dyDescent="0.35">
      <c r="B149" s="2023"/>
      <c r="C149" s="17" t="s">
        <v>149</v>
      </c>
      <c r="D149" s="2032">
        <f>'Land Use'!T15</f>
        <v>5.1482567963954153E-3</v>
      </c>
      <c r="E149" s="4"/>
      <c r="F149" s="4"/>
      <c r="G149" s="4"/>
      <c r="H149" s="4"/>
      <c r="I149" s="4"/>
      <c r="J149" s="4"/>
      <c r="K149" s="4"/>
      <c r="L149" s="4"/>
      <c r="M149" s="4"/>
      <c r="N149" s="4"/>
      <c r="O149" s="4"/>
      <c r="P149" s="4"/>
      <c r="Q149" s="4"/>
      <c r="R149" s="4"/>
      <c r="S149" s="4"/>
      <c r="T149" s="4"/>
      <c r="U149" s="4"/>
      <c r="V149" s="4"/>
      <c r="W149" s="4"/>
      <c r="X149" s="4"/>
      <c r="Y149" s="4"/>
      <c r="Z149" s="4"/>
    </row>
    <row r="150" spans="2:26" ht="18" x14ac:dyDescent="0.35">
      <c r="B150" s="2023"/>
      <c r="C150" s="17" t="s">
        <v>150</v>
      </c>
      <c r="D150" s="2032">
        <v>0</v>
      </c>
      <c r="E150" s="4"/>
      <c r="F150" s="4"/>
      <c r="G150" s="4"/>
      <c r="H150" s="4"/>
      <c r="I150" s="4"/>
      <c r="J150" s="4"/>
      <c r="K150" s="4"/>
      <c r="L150" s="4"/>
      <c r="M150" s="4"/>
      <c r="N150" s="4"/>
      <c r="O150" s="4"/>
      <c r="P150" s="4"/>
      <c r="Q150" s="4"/>
      <c r="R150" s="4"/>
      <c r="S150" s="4"/>
      <c r="T150" s="4"/>
      <c r="U150" s="4"/>
      <c r="V150" s="4"/>
      <c r="W150" s="4"/>
      <c r="X150" s="4"/>
      <c r="Y150" s="4"/>
      <c r="Z150" s="4"/>
    </row>
    <row r="151" spans="2:26" ht="18" x14ac:dyDescent="0.35">
      <c r="B151" s="2026"/>
      <c r="C151" s="25" t="s">
        <v>151</v>
      </c>
      <c r="D151" s="2032">
        <v>0</v>
      </c>
      <c r="E151" s="4"/>
      <c r="F151" s="4"/>
      <c r="G151" s="4"/>
      <c r="H151" s="4"/>
      <c r="I151" s="4"/>
      <c r="J151" s="4"/>
      <c r="K151" s="4"/>
      <c r="L151" s="4"/>
      <c r="M151" s="4"/>
      <c r="N151" s="4"/>
      <c r="O151" s="4"/>
      <c r="P151" s="4"/>
      <c r="Q151" s="4"/>
      <c r="R151" s="4"/>
      <c r="S151" s="4"/>
      <c r="T151" s="4"/>
      <c r="U151" s="4"/>
      <c r="V151" s="4"/>
      <c r="W151" s="4"/>
      <c r="X151" s="4"/>
      <c r="Y151" s="4"/>
      <c r="Z151" s="4"/>
    </row>
    <row r="152" spans="2:26" ht="15" x14ac:dyDescent="0.25">
      <c r="B152" s="2020" t="s">
        <v>152</v>
      </c>
      <c r="C152" s="28"/>
      <c r="D152" s="2028">
        <f>D153+D157+D161+D165</f>
        <v>4.6018621258690979</v>
      </c>
      <c r="E152" s="4"/>
      <c r="F152" s="4"/>
      <c r="G152" s="4"/>
      <c r="H152" s="4"/>
      <c r="I152" s="4"/>
      <c r="J152" s="4"/>
      <c r="K152" s="4"/>
      <c r="L152" s="4"/>
      <c r="M152" s="4"/>
      <c r="N152" s="4"/>
      <c r="O152" s="4"/>
      <c r="P152" s="4"/>
      <c r="Q152" s="4"/>
      <c r="R152" s="4"/>
      <c r="S152" s="4"/>
      <c r="T152" s="4"/>
      <c r="U152" s="4"/>
      <c r="V152" s="4"/>
      <c r="W152" s="4"/>
      <c r="X152" s="4"/>
      <c r="Y152" s="4"/>
      <c r="Z152" s="4"/>
    </row>
    <row r="153" spans="2:26" ht="15" x14ac:dyDescent="0.25">
      <c r="B153" s="2022"/>
      <c r="C153" s="12" t="s">
        <v>153</v>
      </c>
      <c r="D153" s="2019">
        <f>SUM(D154:D156)</f>
        <v>1.4383505426152741</v>
      </c>
      <c r="E153" s="4"/>
      <c r="F153" s="4"/>
      <c r="G153" s="4"/>
      <c r="H153" s="4"/>
      <c r="I153" s="4"/>
      <c r="J153" s="4"/>
      <c r="K153" s="4"/>
      <c r="L153" s="4"/>
      <c r="M153" s="4"/>
      <c r="N153" s="4"/>
      <c r="O153" s="4"/>
      <c r="P153" s="4"/>
      <c r="Q153" s="4"/>
      <c r="R153" s="4"/>
      <c r="S153" s="4"/>
      <c r="T153" s="4"/>
      <c r="U153" s="4"/>
      <c r="V153" s="4"/>
      <c r="W153" s="4"/>
      <c r="X153" s="4"/>
      <c r="Y153" s="4"/>
      <c r="Z153" s="4"/>
    </row>
    <row r="154" spans="2:26" ht="18" x14ac:dyDescent="0.35">
      <c r="B154" s="2023"/>
      <c r="C154" s="17" t="s">
        <v>154</v>
      </c>
      <c r="D154" s="2032">
        <f>(Incinerators!AC23*0.9072)/1000000</f>
        <v>1.4294177546745599</v>
      </c>
      <c r="E154" s="4"/>
      <c r="F154" s="4"/>
      <c r="G154" s="4"/>
      <c r="H154" s="4"/>
      <c r="I154" s="4"/>
      <c r="J154" s="4"/>
      <c r="K154" s="4"/>
      <c r="L154" s="4"/>
      <c r="M154" s="4"/>
      <c r="N154" s="4"/>
      <c r="O154" s="4"/>
      <c r="P154" s="4"/>
      <c r="Q154" s="4"/>
      <c r="R154" s="4"/>
      <c r="S154" s="4"/>
      <c r="T154" s="4"/>
      <c r="U154" s="4"/>
      <c r="V154" s="4"/>
      <c r="W154" s="4"/>
      <c r="X154" s="4"/>
      <c r="Y154" s="4"/>
      <c r="Z154" s="4"/>
    </row>
    <row r="155" spans="2:26" ht="18" x14ac:dyDescent="0.35">
      <c r="B155" s="2023"/>
      <c r="C155" s="17" t="s">
        <v>155</v>
      </c>
      <c r="D155" s="2032">
        <f>(Incinerators!AC29*0.9072)/1000000</f>
        <v>2.4811144679422317E-4</v>
      </c>
      <c r="E155" s="4"/>
      <c r="F155" s="4"/>
      <c r="G155" s="4"/>
      <c r="H155" s="4"/>
      <c r="I155" s="4"/>
      <c r="J155" s="4"/>
      <c r="K155" s="4"/>
      <c r="L155" s="4"/>
      <c r="M155" s="4"/>
      <c r="N155" s="4"/>
      <c r="O155" s="4"/>
      <c r="P155" s="4"/>
      <c r="Q155" s="4"/>
      <c r="R155" s="4"/>
      <c r="S155" s="4"/>
      <c r="T155" s="4"/>
      <c r="U155" s="4"/>
      <c r="V155" s="4"/>
      <c r="W155" s="4"/>
      <c r="X155" s="4"/>
      <c r="Y155" s="4"/>
      <c r="Z155" s="4"/>
    </row>
    <row r="156" spans="2:26" ht="18" x14ac:dyDescent="0.35">
      <c r="B156" s="2023"/>
      <c r="C156" s="17" t="s">
        <v>156</v>
      </c>
      <c r="D156" s="2032">
        <f>Incinerators!AC35*0.9072/1000000</f>
        <v>8.6846764939199992E-3</v>
      </c>
      <c r="E156" s="4"/>
      <c r="F156" s="4"/>
      <c r="G156" s="4"/>
      <c r="H156" s="4"/>
      <c r="I156" s="4"/>
      <c r="J156" s="4"/>
      <c r="K156" s="4"/>
      <c r="L156" s="4"/>
      <c r="M156" s="4"/>
      <c r="N156" s="4"/>
      <c r="O156" s="4"/>
      <c r="P156" s="4"/>
      <c r="Q156" s="4"/>
      <c r="R156" s="4"/>
      <c r="S156" s="4"/>
      <c r="T156" s="4"/>
      <c r="U156" s="4"/>
      <c r="V156" s="4"/>
      <c r="W156" s="4"/>
      <c r="X156" s="4"/>
      <c r="Y156" s="4"/>
      <c r="Z156" s="4"/>
    </row>
    <row r="157" spans="2:26" ht="15" x14ac:dyDescent="0.25">
      <c r="B157" s="2023"/>
      <c r="C157" s="30" t="s">
        <v>157</v>
      </c>
      <c r="D157" s="2019">
        <f>SUM(D158:D160)</f>
        <v>2.4577647810036094</v>
      </c>
      <c r="E157" s="4"/>
      <c r="F157" s="4"/>
      <c r="G157" s="4"/>
      <c r="H157" s="4"/>
      <c r="I157" s="4"/>
      <c r="J157" s="4"/>
      <c r="K157" s="4"/>
      <c r="L157" s="4"/>
      <c r="M157" s="4"/>
      <c r="N157" s="4"/>
      <c r="O157" s="4"/>
      <c r="P157" s="4"/>
      <c r="Q157" s="4"/>
      <c r="R157" s="4"/>
      <c r="S157" s="4"/>
      <c r="T157" s="4"/>
      <c r="U157" s="4"/>
      <c r="V157" s="4"/>
      <c r="W157" s="4"/>
      <c r="X157" s="4"/>
      <c r="Y157" s="4"/>
      <c r="Z157" s="4"/>
    </row>
    <row r="158" spans="2:26" ht="18" x14ac:dyDescent="0.35">
      <c r="B158" s="2023"/>
      <c r="C158" s="17" t="s">
        <v>158</v>
      </c>
      <c r="D158" s="2032">
        <f>Landfills!U103+Landfills!U107</f>
        <v>0.49521990366453977</v>
      </c>
      <c r="E158" s="4"/>
      <c r="F158" s="4"/>
      <c r="G158" s="4"/>
      <c r="H158" s="4"/>
      <c r="I158" s="4"/>
      <c r="J158" s="4"/>
      <c r="K158" s="4"/>
      <c r="L158" s="4"/>
      <c r="M158" s="4"/>
      <c r="N158" s="4"/>
      <c r="O158" s="4"/>
      <c r="P158" s="4"/>
      <c r="Q158" s="4"/>
      <c r="R158" s="4"/>
      <c r="S158" s="4"/>
      <c r="T158" s="4"/>
      <c r="U158" s="4"/>
      <c r="V158" s="4"/>
      <c r="W158" s="4"/>
      <c r="X158" s="4"/>
      <c r="Y158" s="4"/>
      <c r="Z158" s="4"/>
    </row>
    <row r="159" spans="2:26" ht="18" x14ac:dyDescent="0.35">
      <c r="B159" s="2023"/>
      <c r="C159" s="17" t="s">
        <v>159</v>
      </c>
      <c r="D159" s="2032">
        <f>Landfills!U110</f>
        <v>1.9625448773390695</v>
      </c>
      <c r="E159" s="4"/>
      <c r="F159" s="4"/>
      <c r="G159" s="4"/>
      <c r="H159" s="4"/>
      <c r="I159" s="4"/>
      <c r="J159" s="4"/>
      <c r="K159" s="4"/>
      <c r="L159" s="4"/>
      <c r="M159" s="4"/>
      <c r="N159" s="4"/>
      <c r="O159" s="4"/>
      <c r="P159" s="4"/>
      <c r="Q159" s="4"/>
      <c r="R159" s="4"/>
      <c r="S159" s="4"/>
      <c r="T159" s="4"/>
      <c r="U159" s="4"/>
      <c r="V159" s="4"/>
      <c r="W159" s="4"/>
      <c r="X159" s="4"/>
      <c r="Y159" s="4"/>
      <c r="Z159" s="4"/>
    </row>
    <row r="160" spans="2:26" ht="18" x14ac:dyDescent="0.35">
      <c r="B160" s="2023"/>
      <c r="C160" s="17" t="s">
        <v>160</v>
      </c>
      <c r="D160" s="2032">
        <v>0</v>
      </c>
      <c r="E160" s="4"/>
      <c r="F160" s="4"/>
      <c r="G160" s="4"/>
      <c r="H160" s="4"/>
      <c r="I160" s="4"/>
      <c r="J160" s="4"/>
      <c r="K160" s="4"/>
      <c r="L160" s="4"/>
      <c r="M160" s="4"/>
      <c r="N160" s="4"/>
      <c r="O160" s="4"/>
      <c r="P160" s="4"/>
      <c r="Q160" s="4"/>
      <c r="R160" s="4"/>
      <c r="S160" s="4"/>
      <c r="T160" s="4"/>
      <c r="U160" s="4"/>
      <c r="V160" s="4"/>
      <c r="W160" s="4"/>
      <c r="X160" s="4"/>
      <c r="Y160" s="4"/>
      <c r="Z160" s="4"/>
    </row>
    <row r="161" spans="2:26" ht="15" x14ac:dyDescent="0.25">
      <c r="B161" s="2023"/>
      <c r="C161" s="30" t="s">
        <v>161</v>
      </c>
      <c r="D161" s="2019">
        <f>SUM(D162:D164)</f>
        <v>0.67274680225021388</v>
      </c>
      <c r="E161" s="4"/>
      <c r="F161" s="4"/>
      <c r="G161" s="4"/>
      <c r="H161" s="4"/>
      <c r="I161" s="4"/>
      <c r="J161" s="4"/>
      <c r="K161" s="4"/>
      <c r="L161" s="4"/>
      <c r="M161" s="4"/>
      <c r="N161" s="4"/>
      <c r="O161" s="4"/>
      <c r="P161" s="4"/>
      <c r="Q161" s="4"/>
      <c r="R161" s="4"/>
      <c r="S161" s="4"/>
      <c r="T161" s="4"/>
      <c r="U161" s="4"/>
      <c r="V161" s="4"/>
      <c r="W161" s="4"/>
      <c r="X161" s="4"/>
      <c r="Y161" s="4"/>
      <c r="Z161" s="4"/>
    </row>
    <row r="162" spans="2:26" ht="18" x14ac:dyDescent="0.35">
      <c r="B162" s="2023"/>
      <c r="C162" s="17" t="s">
        <v>162</v>
      </c>
      <c r="D162" s="2032">
        <v>0</v>
      </c>
      <c r="E162" s="4"/>
      <c r="F162" s="4"/>
      <c r="G162" s="4"/>
      <c r="H162" s="4"/>
      <c r="I162" s="4"/>
      <c r="J162" s="4"/>
      <c r="K162" s="4"/>
      <c r="L162" s="4"/>
      <c r="M162" s="4"/>
      <c r="N162" s="4"/>
      <c r="O162" s="4"/>
      <c r="P162" s="4"/>
      <c r="Q162" s="4"/>
      <c r="R162" s="4"/>
      <c r="S162" s="4"/>
      <c r="T162" s="4"/>
      <c r="U162" s="4"/>
      <c r="V162" s="4"/>
      <c r="W162" s="4"/>
      <c r="X162" s="4"/>
      <c r="Y162" s="4"/>
      <c r="Z162" s="4"/>
    </row>
    <row r="163" spans="2:26" ht="18" x14ac:dyDescent="0.35">
      <c r="B163" s="2023"/>
      <c r="C163" s="17" t="s">
        <v>163</v>
      </c>
      <c r="D163" s="2032">
        <f>Wastewater!C29+Wastewater!C31</f>
        <v>0.52332870810905985</v>
      </c>
      <c r="E163" s="4"/>
      <c r="F163" s="4"/>
      <c r="G163" s="4"/>
      <c r="H163" s="4"/>
      <c r="I163" s="4"/>
      <c r="J163" s="4"/>
      <c r="K163" s="4"/>
      <c r="L163" s="4"/>
      <c r="M163" s="4"/>
      <c r="N163" s="4"/>
      <c r="O163" s="4"/>
      <c r="P163" s="4"/>
      <c r="Q163" s="4"/>
      <c r="R163" s="4"/>
      <c r="S163" s="4"/>
      <c r="T163" s="4"/>
      <c r="U163" s="4"/>
      <c r="V163" s="4"/>
      <c r="W163" s="4"/>
      <c r="X163" s="4"/>
      <c r="Y163" s="4"/>
      <c r="Z163" s="4"/>
    </row>
    <row r="164" spans="2:26" ht="18" x14ac:dyDescent="0.35">
      <c r="B164" s="2023"/>
      <c r="C164" s="17" t="s">
        <v>164</v>
      </c>
      <c r="D164" s="2032">
        <f>Wastewater!C30</f>
        <v>0.14941809414115398</v>
      </c>
      <c r="E164" s="4"/>
      <c r="F164" s="4"/>
      <c r="G164" s="4"/>
      <c r="H164" s="4"/>
      <c r="I164" s="4"/>
      <c r="J164" s="4"/>
      <c r="K164" s="4"/>
      <c r="L164" s="4"/>
      <c r="M164" s="4"/>
      <c r="N164" s="4"/>
      <c r="O164" s="4"/>
      <c r="P164" s="4"/>
      <c r="Q164" s="4"/>
      <c r="R164" s="4"/>
      <c r="S164" s="4"/>
      <c r="T164" s="4"/>
      <c r="U164" s="4"/>
      <c r="V164" s="4"/>
      <c r="W164" s="4"/>
      <c r="X164" s="4"/>
      <c r="Y164" s="4"/>
      <c r="Z164" s="4"/>
    </row>
    <row r="165" spans="2:26" ht="15" x14ac:dyDescent="0.25">
      <c r="B165" s="2023"/>
      <c r="C165" s="30" t="s">
        <v>165</v>
      </c>
      <c r="D165" s="2019">
        <f>SUM(D166:D168)</f>
        <v>3.3000000000000002E-2</v>
      </c>
      <c r="E165" s="4"/>
      <c r="F165" s="4"/>
      <c r="G165" s="4"/>
      <c r="H165" s="4"/>
      <c r="I165" s="4"/>
      <c r="J165" s="4"/>
      <c r="K165" s="4"/>
      <c r="L165" s="4"/>
      <c r="M165" s="4"/>
      <c r="N165" s="4"/>
      <c r="O165" s="4"/>
      <c r="P165" s="4"/>
      <c r="Q165" s="4"/>
      <c r="R165" s="4"/>
      <c r="S165" s="4"/>
      <c r="T165" s="4"/>
      <c r="U165" s="4"/>
      <c r="V165" s="4"/>
      <c r="W165" s="4"/>
      <c r="X165" s="4"/>
      <c r="Y165" s="4"/>
      <c r="Z165" s="4"/>
    </row>
    <row r="166" spans="2:26" ht="18" x14ac:dyDescent="0.35">
      <c r="B166" s="2023"/>
      <c r="C166" s="17" t="s">
        <v>166</v>
      </c>
      <c r="D166" s="2032">
        <f>OpenBurn!D7</f>
        <v>3.3000000000000002E-2</v>
      </c>
      <c r="E166" s="4"/>
      <c r="F166" s="4"/>
      <c r="G166" s="4"/>
      <c r="H166" s="4"/>
      <c r="I166" s="4"/>
      <c r="J166" s="4"/>
      <c r="K166" s="4"/>
      <c r="L166" s="4"/>
      <c r="M166" s="4"/>
      <c r="N166" s="4"/>
      <c r="O166" s="4"/>
      <c r="P166" s="4"/>
      <c r="Q166" s="4"/>
      <c r="R166" s="4"/>
      <c r="S166" s="4"/>
      <c r="T166" s="4"/>
      <c r="U166" s="4"/>
      <c r="V166" s="4"/>
      <c r="W166" s="4"/>
      <c r="X166" s="4"/>
      <c r="Y166" s="4"/>
      <c r="Z166" s="4"/>
    </row>
    <row r="167" spans="2:26" ht="18" x14ac:dyDescent="0.35">
      <c r="B167" s="2023"/>
      <c r="C167" s="17" t="s">
        <v>167</v>
      </c>
      <c r="D167" s="2032">
        <v>0</v>
      </c>
      <c r="E167" s="4"/>
      <c r="F167" s="4"/>
      <c r="G167" s="4"/>
      <c r="H167" s="4"/>
      <c r="I167" s="4"/>
      <c r="J167" s="4"/>
      <c r="K167" s="4"/>
      <c r="L167" s="4"/>
      <c r="M167" s="4"/>
      <c r="N167" s="4"/>
      <c r="O167" s="4"/>
      <c r="P167" s="4"/>
      <c r="Q167" s="4"/>
      <c r="R167" s="4"/>
      <c r="S167" s="4"/>
      <c r="T167" s="4"/>
      <c r="U167" s="4"/>
      <c r="V167" s="4"/>
      <c r="W167" s="4"/>
      <c r="X167" s="4"/>
      <c r="Y167" s="4"/>
      <c r="Z167" s="4"/>
    </row>
    <row r="168" spans="2:26" ht="18" x14ac:dyDescent="0.35">
      <c r="B168" s="2026"/>
      <c r="C168" s="25" t="s">
        <v>168</v>
      </c>
      <c r="D168" s="2032">
        <v>0</v>
      </c>
      <c r="E168" s="4"/>
      <c r="F168" s="4"/>
      <c r="G168" s="4"/>
      <c r="H168" s="4"/>
      <c r="I168" s="4"/>
      <c r="J168" s="4"/>
      <c r="K168" s="4"/>
      <c r="L168" s="4"/>
      <c r="M168" s="4"/>
      <c r="N168" s="4"/>
      <c r="O168" s="4"/>
      <c r="P168" s="4"/>
      <c r="Q168" s="4"/>
      <c r="R168" s="4"/>
      <c r="S168" s="4"/>
      <c r="T168" s="4"/>
      <c r="U168" s="4"/>
      <c r="V168" s="4"/>
      <c r="W168" s="4"/>
      <c r="X168" s="4"/>
      <c r="Y168" s="4"/>
      <c r="Z168" s="4"/>
    </row>
    <row r="169" spans="2:26" ht="15" x14ac:dyDescent="0.25">
      <c r="B169" s="2134" t="s">
        <v>169</v>
      </c>
      <c r="C169" s="2135"/>
      <c r="D169" s="2038">
        <f>D152+D131+D94+D81+D48+D31+D11</f>
        <v>101.90892738332543</v>
      </c>
      <c r="E169" s="4"/>
      <c r="F169" s="4"/>
      <c r="G169" s="4"/>
      <c r="H169" s="4"/>
      <c r="I169" s="4"/>
      <c r="J169" s="4"/>
      <c r="K169" s="4"/>
      <c r="L169" s="4"/>
      <c r="M169" s="4"/>
      <c r="N169" s="4"/>
      <c r="O169" s="4"/>
      <c r="P169" s="4"/>
      <c r="Q169" s="4"/>
      <c r="R169" s="4"/>
      <c r="S169" s="4"/>
      <c r="T169" s="4"/>
      <c r="U169" s="4"/>
      <c r="V169" s="4"/>
      <c r="W169" s="4"/>
      <c r="X169" s="4"/>
      <c r="Y169" s="4"/>
      <c r="Z169" s="4"/>
    </row>
    <row r="170" spans="2:26" ht="15" x14ac:dyDescent="0.25">
      <c r="B170" s="2049"/>
      <c r="C170" s="2050"/>
      <c r="D170" s="2032"/>
      <c r="E170" s="4"/>
      <c r="F170" s="4"/>
      <c r="G170" s="4"/>
      <c r="H170" s="4"/>
      <c r="I170" s="4"/>
      <c r="J170" s="4"/>
      <c r="K170" s="4"/>
      <c r="L170" s="4"/>
      <c r="M170" s="4"/>
      <c r="N170" s="4"/>
      <c r="O170" s="4"/>
      <c r="P170" s="4"/>
      <c r="Q170" s="4"/>
      <c r="R170" s="4"/>
      <c r="S170" s="4"/>
      <c r="T170" s="4"/>
      <c r="U170" s="4"/>
      <c r="V170" s="4"/>
      <c r="W170" s="4"/>
      <c r="X170" s="4"/>
      <c r="Y170" s="4"/>
      <c r="Z170" s="4"/>
    </row>
    <row r="171" spans="2:26" ht="15" x14ac:dyDescent="0.25">
      <c r="B171" s="2134" t="s">
        <v>171</v>
      </c>
      <c r="C171" s="2135"/>
      <c r="D171" s="2030">
        <f>SUM(D172:D175)</f>
        <v>-11.848196268530806</v>
      </c>
      <c r="E171" s="4"/>
      <c r="F171" s="4"/>
      <c r="G171" s="4"/>
      <c r="H171" s="4"/>
      <c r="I171" s="4"/>
      <c r="J171" s="4"/>
      <c r="K171" s="4"/>
      <c r="L171" s="4"/>
      <c r="M171" s="4"/>
      <c r="N171" s="4"/>
      <c r="O171" s="4"/>
      <c r="P171" s="4"/>
      <c r="Q171" s="4"/>
      <c r="R171" s="4"/>
      <c r="S171" s="4"/>
      <c r="T171" s="4"/>
      <c r="U171" s="4"/>
      <c r="V171" s="4"/>
      <c r="W171" s="4"/>
      <c r="X171" s="4"/>
      <c r="Y171" s="4"/>
      <c r="Z171" s="4"/>
    </row>
    <row r="172" spans="2:26" ht="15" x14ac:dyDescent="0.25">
      <c r="B172" s="2031"/>
      <c r="C172" s="12" t="s">
        <v>172</v>
      </c>
      <c r="D172" s="2032">
        <f>'Land Use'!Y6+'Land Use'!Y7+'Land Use'!Y8+'Land Use'!Y9+'Land Use'!Y11</f>
        <v>-10.446577825333891</v>
      </c>
      <c r="E172" s="4"/>
      <c r="F172" s="4"/>
      <c r="G172" s="4"/>
      <c r="H172" s="4"/>
      <c r="I172" s="4"/>
      <c r="J172" s="4"/>
      <c r="K172" s="4"/>
      <c r="L172" s="4"/>
      <c r="M172" s="4"/>
      <c r="N172" s="4"/>
      <c r="O172" s="4"/>
      <c r="P172" s="4"/>
      <c r="Q172" s="4"/>
      <c r="R172" s="4"/>
      <c r="S172" s="4"/>
      <c r="T172" s="4"/>
      <c r="U172" s="4"/>
      <c r="V172" s="4"/>
      <c r="W172" s="4"/>
      <c r="X172" s="4"/>
      <c r="Y172" s="4"/>
      <c r="Z172" s="4"/>
    </row>
    <row r="173" spans="2:26" ht="15" x14ac:dyDescent="0.25">
      <c r="B173" s="2033"/>
      <c r="C173" s="30" t="s">
        <v>173</v>
      </c>
      <c r="D173" s="2032">
        <f>'Land Use'!Y16+'Land Use'!Y17+'Land Use'!Y60</f>
        <v>-1.4384085231809325</v>
      </c>
      <c r="E173" s="4"/>
      <c r="F173" s="4"/>
      <c r="G173" s="4"/>
      <c r="H173" s="4"/>
      <c r="I173" s="4"/>
      <c r="J173" s="4"/>
      <c r="K173" s="4"/>
      <c r="L173" s="4"/>
      <c r="M173" s="4"/>
      <c r="N173" s="4"/>
      <c r="O173" s="4"/>
      <c r="P173" s="4"/>
      <c r="Q173" s="4"/>
      <c r="R173" s="4"/>
      <c r="S173" s="4"/>
      <c r="T173" s="4"/>
      <c r="U173" s="4"/>
      <c r="V173" s="4"/>
      <c r="W173" s="4"/>
      <c r="X173" s="4"/>
      <c r="Y173" s="4"/>
      <c r="Z173" s="4"/>
    </row>
    <row r="174" spans="2:26" ht="15" x14ac:dyDescent="0.25">
      <c r="B174" s="2033"/>
      <c r="C174" s="30" t="s">
        <v>174</v>
      </c>
      <c r="D174" s="2032">
        <f>'Land Use'!Y10+'Land Use'!Y12</f>
        <v>-2.1306844948206529E-2</v>
      </c>
      <c r="E174" s="4"/>
      <c r="F174" s="4"/>
      <c r="G174" s="4"/>
      <c r="H174" s="4"/>
      <c r="I174" s="4"/>
      <c r="J174" s="4"/>
      <c r="K174" s="4"/>
      <c r="L174" s="4"/>
      <c r="M174" s="4"/>
      <c r="N174" s="4"/>
      <c r="O174" s="4"/>
      <c r="P174" s="4"/>
      <c r="Q174" s="4"/>
      <c r="R174" s="4"/>
      <c r="S174" s="4"/>
      <c r="T174" s="4"/>
      <c r="U174" s="4"/>
      <c r="V174" s="4"/>
      <c r="W174" s="4"/>
      <c r="X174" s="4"/>
      <c r="Y174" s="4"/>
      <c r="Z174" s="4"/>
    </row>
    <row r="175" spans="2:26" ht="15" x14ac:dyDescent="0.25">
      <c r="B175" s="2033"/>
      <c r="C175" s="30" t="s">
        <v>175</v>
      </c>
      <c r="D175" s="2032">
        <f>SUM(D176:D177)</f>
        <v>5.8096924932224174E-2</v>
      </c>
      <c r="E175" s="4"/>
      <c r="F175" s="4"/>
      <c r="G175" s="4"/>
      <c r="H175" s="4"/>
      <c r="I175" s="4"/>
      <c r="J175" s="4"/>
      <c r="K175" s="4"/>
      <c r="L175" s="4"/>
      <c r="M175" s="4"/>
      <c r="N175" s="4"/>
      <c r="O175" s="4"/>
      <c r="P175" s="4"/>
      <c r="Q175" s="4"/>
      <c r="R175" s="4"/>
      <c r="S175" s="4"/>
      <c r="T175" s="4"/>
      <c r="U175" s="4"/>
      <c r="V175" s="4"/>
      <c r="W175" s="4"/>
      <c r="X175" s="4"/>
      <c r="Y175" s="4"/>
      <c r="Z175" s="4"/>
    </row>
    <row r="176" spans="2:26" ht="18" x14ac:dyDescent="0.35">
      <c r="B176" s="2033"/>
      <c r="C176" s="17" t="s">
        <v>176</v>
      </c>
      <c r="D176" s="2032">
        <f>'Land Use'!Y58</f>
        <v>5.0119410369490552E-2</v>
      </c>
      <c r="E176" s="4"/>
      <c r="F176" s="4"/>
      <c r="G176" s="4"/>
      <c r="H176" s="4"/>
      <c r="I176" s="4"/>
      <c r="J176" s="4"/>
      <c r="K176" s="4"/>
      <c r="L176" s="4"/>
      <c r="M176" s="4"/>
      <c r="N176" s="4"/>
      <c r="O176" s="4"/>
      <c r="P176" s="4"/>
      <c r="Q176" s="4"/>
      <c r="R176" s="4"/>
      <c r="S176" s="4"/>
      <c r="T176" s="4"/>
      <c r="U176" s="4"/>
      <c r="V176" s="4"/>
      <c r="W176" s="4"/>
      <c r="X176" s="4"/>
      <c r="Y176" s="4"/>
      <c r="Z176" s="4"/>
    </row>
    <row r="177" spans="2:26" ht="18" x14ac:dyDescent="0.35">
      <c r="B177" s="2034"/>
      <c r="C177" s="25" t="s">
        <v>177</v>
      </c>
      <c r="D177" s="2032">
        <f>'Land Use'!Y59</f>
        <v>7.9775145627336234E-3</v>
      </c>
      <c r="E177" s="4"/>
      <c r="F177" s="4"/>
      <c r="G177" s="4"/>
      <c r="H177" s="4"/>
      <c r="I177" s="4"/>
      <c r="J177" s="4"/>
      <c r="K177" s="4"/>
      <c r="L177" s="4"/>
      <c r="M177" s="4"/>
      <c r="N177" s="4"/>
      <c r="O177" s="4"/>
      <c r="P177" s="4"/>
      <c r="Q177" s="4"/>
      <c r="R177" s="4"/>
      <c r="S177" s="4"/>
      <c r="T177" s="4"/>
      <c r="U177" s="4"/>
      <c r="V177" s="4"/>
      <c r="W177" s="4"/>
      <c r="X177" s="4"/>
      <c r="Y177" s="4"/>
      <c r="Z177" s="4"/>
    </row>
    <row r="178" spans="2:26" ht="15" x14ac:dyDescent="0.25">
      <c r="B178" s="2134" t="s">
        <v>178</v>
      </c>
      <c r="C178" s="2135"/>
      <c r="D178" s="2027">
        <f>D169+D171</f>
        <v>90.060731114794635</v>
      </c>
      <c r="E178" s="4"/>
      <c r="F178" s="4"/>
      <c r="G178" s="4"/>
      <c r="H178" s="4"/>
      <c r="I178" s="4"/>
      <c r="J178" s="4"/>
      <c r="K178" s="4"/>
      <c r="L178" s="4"/>
      <c r="M178" s="4"/>
      <c r="N178" s="4"/>
      <c r="O178" s="4"/>
      <c r="P178" s="4"/>
      <c r="Q178" s="4"/>
      <c r="R178" s="4"/>
      <c r="S178" s="4"/>
      <c r="T178" s="4"/>
      <c r="U178" s="4"/>
      <c r="V178" s="4"/>
      <c r="W178" s="4"/>
      <c r="X178" s="4"/>
      <c r="Y178" s="4"/>
      <c r="Z178" s="4"/>
    </row>
    <row r="179" spans="2:26" ht="15.75" thickBot="1" x14ac:dyDescent="0.3">
      <c r="B179" s="2035"/>
      <c r="C179" s="2036"/>
      <c r="D179" s="2039"/>
      <c r="E179" s="4"/>
      <c r="F179" s="4"/>
      <c r="G179" s="4"/>
      <c r="H179" s="4"/>
      <c r="I179" s="4"/>
      <c r="J179" s="4"/>
      <c r="K179" s="4"/>
      <c r="L179" s="4"/>
      <c r="M179" s="4"/>
      <c r="N179" s="4"/>
      <c r="O179" s="4"/>
      <c r="P179" s="4"/>
      <c r="Q179" s="4"/>
      <c r="R179" s="4"/>
      <c r="S179" s="4"/>
      <c r="T179" s="4"/>
      <c r="U179" s="4"/>
      <c r="V179" s="4"/>
      <c r="W179" s="4"/>
      <c r="X179" s="4"/>
      <c r="Y179" s="4"/>
      <c r="Z179" s="4"/>
    </row>
    <row r="180" spans="2:26" ht="15" x14ac:dyDescent="0.25">
      <c r="B180" s="4"/>
      <c r="C180" s="4"/>
      <c r="D180" s="2040"/>
      <c r="E180" s="4"/>
      <c r="F180" s="4"/>
      <c r="G180" s="4"/>
      <c r="H180" s="4"/>
      <c r="I180" s="4"/>
      <c r="J180" s="4"/>
      <c r="K180" s="4"/>
      <c r="L180" s="4"/>
      <c r="M180" s="4"/>
      <c r="N180" s="4"/>
      <c r="O180" s="4"/>
      <c r="P180" s="4"/>
      <c r="Q180" s="4"/>
      <c r="R180" s="4"/>
      <c r="S180" s="4"/>
      <c r="T180" s="4"/>
      <c r="U180" s="4"/>
      <c r="V180" s="4"/>
      <c r="W180" s="4"/>
      <c r="X180" s="4"/>
      <c r="Y180" s="4"/>
      <c r="Z180" s="4"/>
    </row>
    <row r="181" spans="2:26" ht="15.75" thickBot="1" x14ac:dyDescent="0.3">
      <c r="B181" s="2041"/>
      <c r="C181" s="2041"/>
      <c r="D181" s="2042"/>
      <c r="E181" s="4"/>
      <c r="F181" s="4"/>
      <c r="G181" s="4"/>
      <c r="H181" s="4"/>
      <c r="I181" s="4"/>
      <c r="J181" s="4"/>
      <c r="K181" s="4"/>
      <c r="L181" s="4"/>
      <c r="M181" s="4"/>
      <c r="N181" s="4"/>
      <c r="O181" s="4"/>
      <c r="P181" s="4"/>
      <c r="Q181" s="4"/>
      <c r="R181" s="4"/>
      <c r="S181" s="4"/>
      <c r="T181" s="4"/>
      <c r="U181" s="4"/>
      <c r="V181" s="4"/>
      <c r="W181" s="4"/>
      <c r="X181" s="4"/>
      <c r="Y181" s="4"/>
      <c r="Z181" s="4"/>
    </row>
    <row r="182" spans="2:26" ht="15" x14ac:dyDescent="0.25">
      <c r="B182" s="2043"/>
      <c r="C182" s="2044"/>
      <c r="D182" s="2045">
        <f>D9</f>
        <v>2011</v>
      </c>
      <c r="E182" s="4"/>
      <c r="F182" s="4"/>
      <c r="G182" s="4"/>
      <c r="H182" s="4"/>
      <c r="I182" s="4"/>
      <c r="J182" s="4"/>
      <c r="K182" s="4"/>
      <c r="L182" s="4"/>
      <c r="M182" s="4"/>
      <c r="N182" s="4"/>
      <c r="O182" s="4"/>
      <c r="P182" s="4"/>
      <c r="Q182" s="4"/>
      <c r="R182" s="4"/>
      <c r="S182" s="4"/>
      <c r="T182" s="4"/>
      <c r="U182" s="4"/>
      <c r="V182" s="4"/>
      <c r="W182" s="4"/>
      <c r="X182" s="4"/>
      <c r="Y182" s="4"/>
      <c r="Z182" s="4"/>
    </row>
    <row r="183" spans="2:26" ht="15" x14ac:dyDescent="0.25">
      <c r="B183" s="2046"/>
      <c r="C183" s="2041" t="s">
        <v>179</v>
      </c>
      <c r="D183" s="2024">
        <f>D11</f>
        <v>37.851631414583636</v>
      </c>
      <c r="E183" s="4"/>
      <c r="F183" s="4"/>
      <c r="G183" s="4"/>
      <c r="H183" s="4"/>
      <c r="I183" s="4"/>
      <c r="J183" s="4"/>
      <c r="K183" s="4"/>
      <c r="L183" s="4"/>
      <c r="M183" s="4"/>
      <c r="N183" s="4"/>
      <c r="O183" s="4"/>
      <c r="P183" s="4"/>
      <c r="Q183" s="4"/>
      <c r="R183" s="4"/>
      <c r="S183" s="4"/>
      <c r="T183" s="4"/>
      <c r="U183" s="4"/>
      <c r="V183" s="4"/>
      <c r="W183" s="4"/>
      <c r="X183" s="4"/>
      <c r="Y183" s="4"/>
      <c r="Z183" s="4"/>
    </row>
    <row r="184" spans="2:26" ht="15" x14ac:dyDescent="0.25">
      <c r="B184" s="2046"/>
      <c r="C184" s="2041" t="s">
        <v>180</v>
      </c>
      <c r="D184" s="2024">
        <f>D31</f>
        <v>17.02937483120277</v>
      </c>
      <c r="E184" s="4"/>
      <c r="F184" s="4"/>
      <c r="G184" s="4"/>
      <c r="H184" s="4"/>
      <c r="I184" s="4"/>
      <c r="J184" s="4"/>
      <c r="K184" s="4"/>
      <c r="L184" s="4"/>
      <c r="M184" s="4"/>
      <c r="N184" s="4"/>
      <c r="O184" s="4"/>
      <c r="P184" s="4"/>
      <c r="Q184" s="4"/>
      <c r="R184" s="4"/>
      <c r="S184" s="4"/>
      <c r="T184" s="4"/>
      <c r="U184" s="4"/>
      <c r="V184" s="4"/>
      <c r="W184" s="4"/>
      <c r="X184" s="4"/>
      <c r="Y184" s="4"/>
      <c r="Z184" s="4"/>
    </row>
    <row r="185" spans="2:26" ht="15" x14ac:dyDescent="0.25">
      <c r="B185" s="2046"/>
      <c r="C185" s="2041" t="s">
        <v>181</v>
      </c>
      <c r="D185" s="2024">
        <f>D49+D57</f>
        <v>28.249073186393829</v>
      </c>
      <c r="E185" s="4"/>
      <c r="F185" s="4"/>
      <c r="G185" s="4"/>
      <c r="H185" s="4"/>
      <c r="I185" s="4"/>
      <c r="J185" s="4"/>
      <c r="K185" s="4"/>
      <c r="L185" s="4"/>
      <c r="M185" s="4"/>
      <c r="N185" s="4"/>
      <c r="O185" s="4"/>
      <c r="P185" s="4"/>
      <c r="Q185" s="4"/>
      <c r="R185" s="4"/>
      <c r="S185" s="4"/>
      <c r="T185" s="4"/>
      <c r="U185" s="4"/>
      <c r="V185" s="4"/>
      <c r="W185" s="4"/>
      <c r="X185" s="4"/>
      <c r="Y185" s="4"/>
      <c r="Z185" s="4"/>
    </row>
    <row r="186" spans="2:26" ht="15" x14ac:dyDescent="0.25">
      <c r="B186" s="2046"/>
      <c r="C186" s="2041" t="s">
        <v>182</v>
      </c>
      <c r="D186" s="2024">
        <f>D53+D61+D65+D69+D73+D77</f>
        <v>7.0203160695770244</v>
      </c>
      <c r="E186" s="4"/>
      <c r="F186" s="4"/>
      <c r="G186" s="4"/>
      <c r="H186" s="4"/>
      <c r="I186" s="4"/>
      <c r="J186" s="4"/>
      <c r="K186" s="4"/>
      <c r="L186" s="4"/>
      <c r="M186" s="4"/>
      <c r="N186" s="4"/>
      <c r="O186" s="4"/>
      <c r="P186" s="4"/>
      <c r="Q186" s="4"/>
      <c r="R186" s="4"/>
      <c r="S186" s="4"/>
      <c r="T186" s="4"/>
      <c r="U186" s="4"/>
      <c r="V186" s="4"/>
      <c r="W186" s="4"/>
      <c r="X186" s="4"/>
      <c r="Y186" s="4"/>
      <c r="Z186" s="4"/>
    </row>
    <row r="187" spans="2:26" ht="15" x14ac:dyDescent="0.25">
      <c r="B187" s="2046"/>
      <c r="C187" s="2041" t="str">
        <f>B81</f>
        <v>Fossil Fuel Industry</v>
      </c>
      <c r="D187" s="2024">
        <f>D81</f>
        <v>1.1145936217095791</v>
      </c>
      <c r="E187" s="4"/>
      <c r="F187" s="4"/>
      <c r="G187" s="4"/>
      <c r="H187" s="4"/>
      <c r="I187" s="4"/>
      <c r="J187" s="4"/>
      <c r="K187" s="4"/>
      <c r="L187" s="4"/>
      <c r="M187" s="4"/>
      <c r="N187" s="4"/>
      <c r="O187" s="4"/>
      <c r="P187" s="4"/>
      <c r="Q187" s="4"/>
      <c r="R187" s="4"/>
      <c r="S187" s="4"/>
      <c r="T187" s="4"/>
      <c r="U187" s="4"/>
      <c r="V187" s="4"/>
      <c r="W187" s="4"/>
      <c r="X187" s="4"/>
      <c r="Y187" s="4"/>
      <c r="Z187" s="4"/>
    </row>
    <row r="188" spans="2:26" ht="15" x14ac:dyDescent="0.25">
      <c r="B188" s="2046"/>
      <c r="C188" s="2041" t="str">
        <f>B94</f>
        <v>Industrial Processes</v>
      </c>
      <c r="D188" s="2024">
        <f>D94</f>
        <v>4.3957727448193964</v>
      </c>
      <c r="E188" s="4"/>
      <c r="F188" s="4"/>
      <c r="G188" s="4"/>
      <c r="H188" s="4"/>
      <c r="I188" s="4"/>
      <c r="J188" s="4"/>
      <c r="K188" s="4"/>
      <c r="L188" s="4"/>
      <c r="M188" s="4"/>
      <c r="N188" s="4"/>
      <c r="O188" s="4"/>
      <c r="P188" s="4"/>
      <c r="Q188" s="4"/>
      <c r="R188" s="4"/>
      <c r="S188" s="4"/>
      <c r="T188" s="4"/>
      <c r="U188" s="4"/>
      <c r="V188" s="4"/>
      <c r="W188" s="4"/>
      <c r="X188" s="4"/>
      <c r="Y188" s="4"/>
      <c r="Z188" s="4"/>
    </row>
    <row r="189" spans="2:26" ht="15" x14ac:dyDescent="0.25">
      <c r="B189" s="2046"/>
      <c r="C189" s="2041" t="str">
        <f>B131</f>
        <v>Agriculture</v>
      </c>
      <c r="D189" s="2024">
        <f>D131</f>
        <v>1.6463033891700958</v>
      </c>
      <c r="E189" s="4"/>
      <c r="F189" s="4"/>
      <c r="G189" s="4"/>
      <c r="H189" s="4"/>
      <c r="I189" s="4"/>
      <c r="J189" s="4"/>
      <c r="K189" s="4"/>
      <c r="L189" s="4"/>
      <c r="M189" s="4"/>
      <c r="N189" s="4"/>
      <c r="O189" s="4"/>
      <c r="P189" s="4"/>
      <c r="Q189" s="4"/>
      <c r="R189" s="4"/>
      <c r="S189" s="4"/>
      <c r="T189" s="4"/>
      <c r="U189" s="4"/>
      <c r="V189" s="4"/>
      <c r="W189" s="4"/>
      <c r="X189" s="4"/>
      <c r="Y189" s="4"/>
      <c r="Z189" s="4"/>
    </row>
    <row r="190" spans="2:26" ht="15.75" thickBot="1" x14ac:dyDescent="0.3">
      <c r="B190" s="2047"/>
      <c r="C190" s="2048" t="str">
        <f>B152</f>
        <v>Waste Management</v>
      </c>
      <c r="D190" s="2037">
        <f>D152</f>
        <v>4.6018621258690979</v>
      </c>
      <c r="E190" s="4"/>
      <c r="F190" s="4"/>
      <c r="G190" s="4"/>
      <c r="H190" s="4"/>
      <c r="I190" s="4"/>
      <c r="J190" s="4"/>
      <c r="K190" s="4"/>
      <c r="L190" s="4"/>
      <c r="M190" s="4"/>
      <c r="N190" s="4"/>
      <c r="O190" s="4"/>
      <c r="P190" s="4"/>
      <c r="Q190" s="4"/>
      <c r="R190" s="4"/>
      <c r="S190" s="4"/>
      <c r="T190" s="4"/>
      <c r="U190" s="4"/>
      <c r="V190" s="4"/>
      <c r="W190" s="4"/>
      <c r="X190" s="4"/>
      <c r="Y190" s="4"/>
      <c r="Z190" s="4"/>
    </row>
    <row r="191" spans="2:26" ht="15" x14ac:dyDescent="0.25">
      <c r="B191" s="4"/>
      <c r="C191" s="4"/>
      <c r="D191" s="5"/>
      <c r="E191" s="4"/>
      <c r="F191" s="4"/>
      <c r="G191" s="4"/>
      <c r="H191" s="4"/>
      <c r="I191" s="4"/>
      <c r="J191" s="4"/>
      <c r="K191" s="4"/>
      <c r="L191" s="4"/>
      <c r="M191" s="4"/>
      <c r="N191" s="4"/>
      <c r="O191" s="4"/>
      <c r="P191" s="4"/>
      <c r="Q191" s="4"/>
      <c r="R191" s="4"/>
      <c r="S191" s="4"/>
      <c r="T191" s="4"/>
      <c r="U191" s="4"/>
      <c r="V191" s="4"/>
      <c r="W191" s="4"/>
      <c r="X191" s="4"/>
      <c r="Y191" s="4"/>
      <c r="Z191" s="4"/>
    </row>
    <row r="192" spans="2:26" ht="15" x14ac:dyDescent="0.25">
      <c r="B192" s="4"/>
      <c r="C192" s="4"/>
      <c r="D192" s="5"/>
      <c r="E192" s="4"/>
      <c r="F192" s="4"/>
      <c r="G192" s="4"/>
      <c r="H192" s="4"/>
      <c r="I192" s="4"/>
      <c r="J192" s="4"/>
      <c r="K192" s="4"/>
      <c r="L192" s="4"/>
      <c r="M192" s="4"/>
      <c r="N192" s="4"/>
      <c r="O192" s="4"/>
      <c r="P192" s="4"/>
      <c r="Q192" s="4"/>
      <c r="R192" s="4"/>
      <c r="S192" s="4"/>
      <c r="T192" s="4"/>
      <c r="U192" s="4"/>
      <c r="V192" s="4"/>
      <c r="W192" s="4"/>
      <c r="X192" s="4"/>
      <c r="Y192" s="4"/>
      <c r="Z192" s="4"/>
    </row>
    <row r="193" spans="2:26" ht="15" x14ac:dyDescent="0.25">
      <c r="B193" s="4"/>
      <c r="C193" s="4"/>
      <c r="D193" s="5"/>
      <c r="E193" s="4"/>
      <c r="F193" s="4"/>
      <c r="G193" s="4"/>
      <c r="H193" s="4"/>
      <c r="I193" s="4"/>
      <c r="J193" s="4"/>
      <c r="K193" s="4"/>
      <c r="L193" s="4"/>
      <c r="M193" s="4"/>
      <c r="N193" s="4"/>
      <c r="O193" s="4"/>
      <c r="P193" s="4"/>
      <c r="Q193" s="4"/>
      <c r="R193" s="4"/>
      <c r="S193" s="4"/>
      <c r="T193" s="4"/>
      <c r="U193" s="4"/>
      <c r="V193" s="4"/>
      <c r="W193" s="4"/>
      <c r="X193" s="4"/>
      <c r="Y193" s="4"/>
      <c r="Z193" s="4"/>
    </row>
    <row r="194" spans="2:26" ht="15" x14ac:dyDescent="0.25">
      <c r="B194" s="4"/>
      <c r="C194" s="4"/>
      <c r="D194" s="5"/>
      <c r="E194" s="4"/>
      <c r="F194" s="4"/>
      <c r="G194" s="4"/>
      <c r="H194" s="4"/>
      <c r="I194" s="4"/>
      <c r="J194" s="4"/>
      <c r="K194" s="4"/>
      <c r="L194" s="4"/>
      <c r="M194" s="4"/>
      <c r="N194" s="4"/>
      <c r="O194" s="4"/>
      <c r="P194" s="4"/>
      <c r="Q194" s="4"/>
      <c r="R194" s="4"/>
      <c r="S194" s="4"/>
      <c r="T194" s="4"/>
      <c r="U194" s="4"/>
      <c r="V194" s="4"/>
      <c r="W194" s="4"/>
      <c r="X194" s="4"/>
      <c r="Y194" s="4"/>
      <c r="Z194" s="4"/>
    </row>
    <row r="195" spans="2:26" ht="15" x14ac:dyDescent="0.25">
      <c r="B195" s="4"/>
      <c r="C195" s="4"/>
      <c r="D195" s="5"/>
      <c r="E195" s="4"/>
      <c r="F195" s="4"/>
      <c r="G195" s="4"/>
      <c r="H195" s="4"/>
      <c r="I195" s="4"/>
      <c r="J195" s="4"/>
      <c r="K195" s="4"/>
      <c r="L195" s="4"/>
      <c r="M195" s="4"/>
      <c r="N195" s="4"/>
      <c r="O195" s="4"/>
      <c r="P195" s="4"/>
      <c r="Q195" s="4"/>
      <c r="R195" s="4"/>
      <c r="S195" s="4"/>
      <c r="T195" s="4"/>
      <c r="U195" s="4"/>
      <c r="V195" s="4"/>
      <c r="W195" s="4"/>
      <c r="X195" s="4"/>
      <c r="Y195" s="4"/>
      <c r="Z195" s="4"/>
    </row>
    <row r="196" spans="2:26" ht="15" x14ac:dyDescent="0.25">
      <c r="B196" s="4"/>
      <c r="C196" s="4"/>
      <c r="D196" s="5"/>
      <c r="E196" s="4"/>
      <c r="F196" s="4"/>
      <c r="G196" s="4"/>
      <c r="H196" s="4"/>
      <c r="I196" s="4"/>
      <c r="J196" s="4"/>
      <c r="K196" s="4"/>
      <c r="L196" s="4"/>
      <c r="M196" s="4"/>
      <c r="N196" s="4"/>
      <c r="O196" s="4"/>
      <c r="P196" s="4"/>
      <c r="Q196" s="4"/>
      <c r="R196" s="4"/>
      <c r="S196" s="4"/>
      <c r="T196" s="4"/>
      <c r="U196" s="4"/>
      <c r="V196" s="4"/>
      <c r="W196" s="4"/>
      <c r="X196" s="4"/>
      <c r="Y196" s="4"/>
      <c r="Z196" s="4"/>
    </row>
    <row r="197" spans="2:26" ht="15" x14ac:dyDescent="0.25">
      <c r="B197" s="4"/>
      <c r="C197" s="4"/>
      <c r="D197" s="5"/>
      <c r="E197" s="4"/>
      <c r="F197" s="4"/>
      <c r="G197" s="4"/>
      <c r="H197" s="4"/>
      <c r="I197" s="4"/>
      <c r="J197" s="4"/>
      <c r="K197" s="4"/>
      <c r="L197" s="4"/>
      <c r="M197" s="4"/>
      <c r="N197" s="4"/>
      <c r="O197" s="4"/>
      <c r="P197" s="4"/>
      <c r="Q197" s="4"/>
      <c r="R197" s="4"/>
      <c r="S197" s="4"/>
      <c r="T197" s="4"/>
      <c r="U197" s="4"/>
      <c r="V197" s="4"/>
      <c r="W197" s="4"/>
      <c r="X197" s="4"/>
      <c r="Y197" s="4"/>
      <c r="Z197" s="4"/>
    </row>
    <row r="198" spans="2:26" ht="15" x14ac:dyDescent="0.25">
      <c r="B198" s="4"/>
      <c r="C198" s="4"/>
      <c r="D198" s="5"/>
      <c r="E198" s="4"/>
      <c r="F198" s="4"/>
      <c r="G198" s="4"/>
      <c r="H198" s="4"/>
      <c r="I198" s="4"/>
      <c r="J198" s="4"/>
      <c r="K198" s="4"/>
      <c r="L198" s="4"/>
      <c r="M198" s="4"/>
      <c r="N198" s="4"/>
      <c r="O198" s="4"/>
      <c r="P198" s="4"/>
      <c r="Q198" s="4"/>
      <c r="R198" s="4"/>
      <c r="S198" s="4"/>
      <c r="T198" s="4"/>
      <c r="U198" s="4"/>
      <c r="V198" s="4"/>
      <c r="W198" s="4"/>
      <c r="X198" s="4"/>
      <c r="Y198" s="4"/>
      <c r="Z198" s="4"/>
    </row>
    <row r="199" spans="2:26" ht="15" x14ac:dyDescent="0.25">
      <c r="B199" s="4"/>
      <c r="C199" s="4"/>
      <c r="D199" s="5"/>
      <c r="E199" s="4"/>
      <c r="F199" s="4"/>
      <c r="G199" s="4"/>
      <c r="H199" s="4"/>
      <c r="I199" s="4"/>
      <c r="J199" s="4"/>
      <c r="K199" s="4"/>
      <c r="L199" s="4"/>
      <c r="M199" s="4"/>
      <c r="N199" s="4"/>
      <c r="O199" s="4"/>
      <c r="P199" s="4"/>
      <c r="Q199" s="4"/>
      <c r="R199" s="4"/>
      <c r="S199" s="4"/>
      <c r="T199" s="4"/>
      <c r="U199" s="4"/>
      <c r="V199" s="4"/>
      <c r="W199" s="4"/>
      <c r="X199" s="4"/>
      <c r="Y199" s="4"/>
      <c r="Z199" s="4"/>
    </row>
    <row r="200" spans="2:26" ht="15" x14ac:dyDescent="0.25">
      <c r="B200" s="4"/>
      <c r="C200" s="4"/>
      <c r="D200" s="5"/>
      <c r="E200" s="4"/>
      <c r="F200" s="4"/>
      <c r="G200" s="4"/>
      <c r="H200" s="4"/>
      <c r="I200" s="4"/>
      <c r="J200" s="4"/>
      <c r="K200" s="4"/>
      <c r="L200" s="4"/>
      <c r="M200" s="4"/>
      <c r="N200" s="4"/>
      <c r="O200" s="4"/>
      <c r="P200" s="4"/>
      <c r="Q200" s="4"/>
      <c r="R200" s="4"/>
      <c r="S200" s="4"/>
      <c r="T200" s="4"/>
      <c r="U200" s="4"/>
      <c r="V200" s="4"/>
      <c r="W200" s="4"/>
      <c r="X200" s="4"/>
      <c r="Y200" s="4"/>
      <c r="Z200" s="4"/>
    </row>
    <row r="201" spans="2:26" ht="15" x14ac:dyDescent="0.25">
      <c r="B201" s="4"/>
      <c r="C201" s="4"/>
      <c r="D201" s="5"/>
      <c r="E201" s="4"/>
      <c r="F201" s="4"/>
      <c r="G201" s="4"/>
      <c r="H201" s="4"/>
      <c r="I201" s="4"/>
      <c r="J201" s="4"/>
      <c r="K201" s="4"/>
      <c r="L201" s="4"/>
      <c r="M201" s="4"/>
      <c r="N201" s="4"/>
      <c r="O201" s="4"/>
      <c r="P201" s="4"/>
      <c r="Q201" s="4"/>
      <c r="R201" s="4"/>
      <c r="S201" s="4"/>
      <c r="T201" s="4"/>
      <c r="U201" s="4"/>
      <c r="V201" s="4"/>
      <c r="W201" s="4"/>
      <c r="X201" s="4"/>
      <c r="Y201" s="4"/>
      <c r="Z201" s="4"/>
    </row>
    <row r="202" spans="2:26" ht="15" x14ac:dyDescent="0.25">
      <c r="B202" s="4"/>
      <c r="C202" s="4"/>
      <c r="D202" s="5"/>
      <c r="E202" s="4"/>
      <c r="F202" s="4"/>
      <c r="G202" s="4"/>
      <c r="H202" s="4"/>
      <c r="I202" s="4"/>
      <c r="J202" s="4"/>
      <c r="K202" s="4"/>
      <c r="L202" s="4"/>
      <c r="M202" s="4"/>
      <c r="N202" s="4"/>
      <c r="O202" s="4"/>
      <c r="P202" s="4"/>
      <c r="Q202" s="4"/>
      <c r="R202" s="4"/>
      <c r="S202" s="4"/>
      <c r="T202" s="4"/>
      <c r="U202" s="4"/>
      <c r="V202" s="4"/>
      <c r="W202" s="4"/>
      <c r="X202" s="4"/>
      <c r="Y202" s="4"/>
      <c r="Z202" s="4"/>
    </row>
    <row r="203" spans="2:26" ht="15" x14ac:dyDescent="0.25">
      <c r="B203" s="4"/>
      <c r="C203" s="4"/>
      <c r="D203" s="5"/>
      <c r="E203" s="4"/>
      <c r="F203" s="4"/>
      <c r="G203" s="4"/>
      <c r="H203" s="4"/>
      <c r="I203" s="4"/>
      <c r="J203" s="4"/>
      <c r="K203" s="4"/>
      <c r="L203" s="4"/>
      <c r="M203" s="4"/>
      <c r="N203" s="4"/>
      <c r="O203" s="4"/>
      <c r="P203" s="4"/>
      <c r="Q203" s="4"/>
      <c r="R203" s="4"/>
      <c r="S203" s="4"/>
      <c r="T203" s="4"/>
      <c r="U203" s="4"/>
      <c r="V203" s="4"/>
      <c r="W203" s="4"/>
      <c r="X203" s="4"/>
      <c r="Y203" s="4"/>
      <c r="Z203" s="4"/>
    </row>
    <row r="204" spans="2:26" ht="15" x14ac:dyDescent="0.25">
      <c r="B204" s="4"/>
      <c r="C204" s="4"/>
      <c r="D204" s="5"/>
      <c r="E204" s="4"/>
      <c r="F204" s="4"/>
      <c r="G204" s="4"/>
      <c r="H204" s="4"/>
      <c r="I204" s="4"/>
      <c r="J204" s="4"/>
      <c r="K204" s="4"/>
      <c r="L204" s="4"/>
      <c r="M204" s="4"/>
      <c r="N204" s="4"/>
      <c r="O204" s="4"/>
      <c r="P204" s="4"/>
      <c r="Q204" s="4"/>
      <c r="R204" s="4"/>
      <c r="S204" s="4"/>
      <c r="T204" s="4"/>
      <c r="U204" s="4"/>
      <c r="V204" s="4"/>
      <c r="W204" s="4"/>
      <c r="X204" s="4"/>
      <c r="Y204" s="4"/>
      <c r="Z204" s="4"/>
    </row>
    <row r="205" spans="2:26" ht="15" x14ac:dyDescent="0.25">
      <c r="B205" s="4"/>
      <c r="C205" s="4"/>
      <c r="D205" s="5"/>
      <c r="E205" s="4"/>
      <c r="F205" s="4"/>
      <c r="G205" s="4"/>
      <c r="H205" s="4"/>
      <c r="I205" s="4"/>
      <c r="J205" s="4"/>
      <c r="K205" s="4"/>
      <c r="L205" s="4"/>
      <c r="M205" s="4"/>
      <c r="N205" s="4"/>
      <c r="O205" s="4"/>
      <c r="P205" s="4"/>
      <c r="Q205" s="4"/>
      <c r="R205" s="4"/>
      <c r="S205" s="4"/>
      <c r="T205" s="4"/>
      <c r="U205" s="4"/>
      <c r="V205" s="4"/>
      <c r="W205" s="4"/>
      <c r="X205" s="4"/>
      <c r="Y205" s="4"/>
      <c r="Z205" s="4"/>
    </row>
    <row r="206" spans="2:26" ht="15" x14ac:dyDescent="0.25">
      <c r="B206" s="4"/>
      <c r="C206" s="4"/>
      <c r="D206" s="5"/>
      <c r="E206" s="4"/>
      <c r="F206" s="4"/>
      <c r="G206" s="4"/>
      <c r="H206" s="4"/>
      <c r="I206" s="4"/>
      <c r="J206" s="4"/>
      <c r="K206" s="4"/>
      <c r="L206" s="4"/>
      <c r="M206" s="4"/>
      <c r="N206" s="4"/>
      <c r="O206" s="4"/>
      <c r="P206" s="4"/>
      <c r="Q206" s="4"/>
      <c r="R206" s="4"/>
      <c r="S206" s="4"/>
      <c r="T206" s="4"/>
      <c r="U206" s="4"/>
      <c r="V206" s="4"/>
      <c r="W206" s="4"/>
      <c r="X206" s="4"/>
      <c r="Y206" s="4"/>
      <c r="Z206" s="4"/>
    </row>
    <row r="207" spans="2:26" ht="15" x14ac:dyDescent="0.25">
      <c r="B207" s="4"/>
      <c r="C207" s="4"/>
      <c r="D207" s="5"/>
      <c r="E207" s="4"/>
      <c r="F207" s="4"/>
      <c r="G207" s="4"/>
      <c r="H207" s="4"/>
      <c r="I207" s="4"/>
      <c r="J207" s="4"/>
      <c r="K207" s="4"/>
      <c r="L207" s="4"/>
      <c r="M207" s="4"/>
      <c r="N207" s="4"/>
      <c r="O207" s="4"/>
      <c r="P207" s="4"/>
      <c r="Q207" s="4"/>
      <c r="R207" s="4"/>
      <c r="S207" s="4"/>
      <c r="T207" s="4"/>
      <c r="U207" s="4"/>
      <c r="V207" s="4"/>
      <c r="W207" s="4"/>
      <c r="X207" s="4"/>
      <c r="Y207" s="4"/>
      <c r="Z207" s="4"/>
    </row>
    <row r="208" spans="2:26" ht="15" x14ac:dyDescent="0.25">
      <c r="B208" s="4"/>
      <c r="C208" s="4"/>
      <c r="D208" s="5"/>
      <c r="E208" s="4"/>
      <c r="F208" s="4"/>
      <c r="G208" s="4"/>
      <c r="H208" s="4"/>
      <c r="I208" s="4"/>
      <c r="J208" s="4"/>
      <c r="K208" s="4"/>
      <c r="L208" s="4"/>
      <c r="M208" s="4"/>
      <c r="N208" s="4"/>
      <c r="O208" s="4"/>
      <c r="P208" s="4"/>
      <c r="Q208" s="4"/>
      <c r="R208" s="4"/>
      <c r="S208" s="4"/>
      <c r="T208" s="4"/>
      <c r="U208" s="4"/>
      <c r="V208" s="4"/>
      <c r="W208" s="4"/>
      <c r="X208" s="4"/>
      <c r="Y208" s="4"/>
      <c r="Z208" s="4"/>
    </row>
    <row r="209" spans="2:26" ht="15" x14ac:dyDescent="0.25">
      <c r="B209" s="4"/>
      <c r="C209" s="4"/>
      <c r="D209" s="5"/>
      <c r="E209" s="4"/>
      <c r="F209" s="4"/>
      <c r="G209" s="4"/>
      <c r="H209" s="4"/>
      <c r="I209" s="4"/>
      <c r="J209" s="4"/>
      <c r="K209" s="4"/>
      <c r="L209" s="4"/>
      <c r="M209" s="4"/>
      <c r="N209" s="4"/>
      <c r="O209" s="4"/>
      <c r="P209" s="4"/>
      <c r="Q209" s="4"/>
      <c r="R209" s="4"/>
      <c r="S209" s="4"/>
      <c r="T209" s="4"/>
      <c r="U209" s="4"/>
      <c r="V209" s="4"/>
      <c r="W209" s="4"/>
      <c r="X209" s="4"/>
      <c r="Y209" s="4"/>
      <c r="Z209" s="4"/>
    </row>
    <row r="210" spans="2:26" ht="15" x14ac:dyDescent="0.25">
      <c r="B210" s="4"/>
      <c r="C210" s="4"/>
      <c r="D210" s="5"/>
      <c r="E210" s="4"/>
      <c r="F210" s="4"/>
      <c r="G210" s="4"/>
      <c r="H210" s="4"/>
      <c r="I210" s="4"/>
      <c r="J210" s="4"/>
      <c r="K210" s="4"/>
      <c r="L210" s="4"/>
      <c r="M210" s="4"/>
      <c r="N210" s="4"/>
      <c r="O210" s="4"/>
      <c r="P210" s="4"/>
      <c r="Q210" s="4"/>
      <c r="R210" s="4"/>
      <c r="S210" s="4"/>
      <c r="T210" s="4"/>
      <c r="U210" s="4"/>
      <c r="V210" s="4"/>
      <c r="W210" s="4"/>
      <c r="X210" s="4"/>
      <c r="Y210" s="4"/>
      <c r="Z210" s="4"/>
    </row>
    <row r="211" spans="2:26" ht="15" x14ac:dyDescent="0.25">
      <c r="B211" s="4"/>
      <c r="C211" s="4"/>
      <c r="D211" s="5"/>
      <c r="E211" s="4"/>
      <c r="F211" s="4"/>
      <c r="G211" s="4"/>
      <c r="H211" s="4"/>
      <c r="I211" s="4"/>
      <c r="J211" s="4"/>
      <c r="K211" s="4"/>
      <c r="L211" s="4"/>
      <c r="M211" s="4"/>
      <c r="N211" s="4"/>
      <c r="O211" s="4"/>
      <c r="P211" s="4"/>
      <c r="Q211" s="4"/>
      <c r="R211" s="4"/>
      <c r="S211" s="4"/>
      <c r="T211" s="4"/>
      <c r="U211" s="4"/>
      <c r="V211" s="4"/>
      <c r="W211" s="4"/>
      <c r="X211" s="4"/>
      <c r="Y211" s="4"/>
      <c r="Z211" s="4"/>
    </row>
    <row r="212" spans="2:26" ht="15" x14ac:dyDescent="0.25">
      <c r="B212" s="4"/>
      <c r="C212" s="4"/>
      <c r="D212" s="5"/>
      <c r="E212" s="4"/>
      <c r="F212" s="4"/>
      <c r="G212" s="4"/>
      <c r="H212" s="4"/>
      <c r="I212" s="4"/>
      <c r="J212" s="4"/>
      <c r="K212" s="4"/>
      <c r="L212" s="4"/>
      <c r="M212" s="4"/>
      <c r="N212" s="4"/>
      <c r="O212" s="4"/>
      <c r="P212" s="4"/>
      <c r="Q212" s="4"/>
      <c r="R212" s="4"/>
      <c r="S212" s="4"/>
      <c r="T212" s="4"/>
      <c r="U212" s="4"/>
      <c r="V212" s="4"/>
      <c r="W212" s="4"/>
      <c r="X212" s="4"/>
      <c r="Y212" s="4"/>
      <c r="Z212" s="4"/>
    </row>
    <row r="213" spans="2:26" ht="15" x14ac:dyDescent="0.25">
      <c r="B213" s="4"/>
      <c r="C213" s="4"/>
      <c r="D213" s="5"/>
      <c r="E213" s="4"/>
      <c r="F213" s="4"/>
      <c r="G213" s="4"/>
      <c r="H213" s="4"/>
      <c r="I213" s="4"/>
      <c r="J213" s="4"/>
      <c r="K213" s="4"/>
      <c r="L213" s="4"/>
      <c r="M213" s="4"/>
      <c r="N213" s="4"/>
      <c r="O213" s="4"/>
      <c r="P213" s="4"/>
      <c r="Q213" s="4"/>
      <c r="R213" s="4"/>
      <c r="S213" s="4"/>
      <c r="T213" s="4"/>
      <c r="U213" s="4"/>
      <c r="V213" s="4"/>
      <c r="W213" s="4"/>
      <c r="X213" s="4"/>
      <c r="Y213" s="4"/>
      <c r="Z213" s="4"/>
    </row>
    <row r="214" spans="2:26" ht="15" x14ac:dyDescent="0.25">
      <c r="B214" s="4"/>
      <c r="C214" s="4"/>
      <c r="D214" s="5"/>
      <c r="E214" s="4"/>
      <c r="F214" s="4"/>
      <c r="G214" s="4"/>
      <c r="H214" s="4"/>
      <c r="I214" s="4"/>
      <c r="J214" s="4"/>
      <c r="K214" s="4"/>
      <c r="L214" s="4"/>
      <c r="M214" s="4"/>
      <c r="N214" s="4"/>
      <c r="O214" s="4"/>
      <c r="P214" s="4"/>
      <c r="Q214" s="4"/>
      <c r="R214" s="4"/>
      <c r="S214" s="4"/>
      <c r="T214" s="4"/>
      <c r="U214" s="4"/>
      <c r="V214" s="4"/>
      <c r="W214" s="4"/>
      <c r="X214" s="4"/>
      <c r="Y214" s="4"/>
      <c r="Z214" s="4"/>
    </row>
    <row r="215" spans="2:26" ht="15" x14ac:dyDescent="0.25">
      <c r="B215" s="4"/>
      <c r="C215" s="4"/>
      <c r="D215" s="5"/>
      <c r="E215" s="4"/>
      <c r="F215" s="4"/>
      <c r="G215" s="4"/>
      <c r="H215" s="4"/>
      <c r="I215" s="4"/>
      <c r="J215" s="4"/>
      <c r="K215" s="4"/>
      <c r="L215" s="4"/>
      <c r="M215" s="4"/>
      <c r="N215" s="4"/>
      <c r="O215" s="4"/>
      <c r="P215" s="4"/>
      <c r="Q215" s="4"/>
      <c r="R215" s="4"/>
      <c r="S215" s="4"/>
      <c r="T215" s="4"/>
      <c r="U215" s="4"/>
      <c r="V215" s="4"/>
      <c r="W215" s="4"/>
      <c r="X215" s="4"/>
      <c r="Y215" s="4"/>
      <c r="Z215" s="4"/>
    </row>
    <row r="216" spans="2:26" ht="15" x14ac:dyDescent="0.25">
      <c r="B216" s="4"/>
      <c r="C216" s="4"/>
      <c r="D216" s="5"/>
      <c r="E216" s="4"/>
      <c r="F216" s="4"/>
      <c r="G216" s="4"/>
      <c r="H216" s="4"/>
      <c r="I216" s="4"/>
      <c r="J216" s="4"/>
      <c r="K216" s="4"/>
      <c r="L216" s="4"/>
      <c r="M216" s="4"/>
      <c r="N216" s="4"/>
      <c r="O216" s="4"/>
      <c r="P216" s="4"/>
      <c r="Q216" s="4"/>
      <c r="R216" s="4"/>
      <c r="S216" s="4"/>
      <c r="T216" s="4"/>
      <c r="U216" s="4"/>
      <c r="V216" s="4"/>
      <c r="W216" s="4"/>
      <c r="X216" s="4"/>
      <c r="Y216" s="4"/>
      <c r="Z216" s="4"/>
    </row>
    <row r="217" spans="2:26" ht="15" x14ac:dyDescent="0.25">
      <c r="B217" s="4"/>
      <c r="C217" s="4"/>
      <c r="D217" s="5"/>
      <c r="E217" s="4"/>
      <c r="F217" s="4"/>
      <c r="G217" s="4"/>
      <c r="H217" s="4"/>
      <c r="I217" s="4"/>
      <c r="J217" s="4"/>
      <c r="K217" s="4"/>
      <c r="L217" s="4"/>
      <c r="M217" s="4"/>
      <c r="N217" s="4"/>
      <c r="O217" s="4"/>
      <c r="P217" s="4"/>
      <c r="Q217" s="4"/>
      <c r="R217" s="4"/>
      <c r="S217" s="4"/>
      <c r="T217" s="4"/>
      <c r="U217" s="4"/>
      <c r="V217" s="4"/>
      <c r="W217" s="4"/>
      <c r="X217" s="4"/>
      <c r="Y217" s="4"/>
      <c r="Z217" s="4"/>
    </row>
    <row r="218" spans="2:26" ht="15" x14ac:dyDescent="0.25">
      <c r="B218" s="4"/>
      <c r="C218" s="4"/>
      <c r="D218" s="5"/>
      <c r="E218" s="4"/>
      <c r="F218" s="4"/>
      <c r="G218" s="4"/>
      <c r="H218" s="4"/>
      <c r="I218" s="4"/>
      <c r="J218" s="4"/>
      <c r="K218" s="4"/>
      <c r="L218" s="4"/>
      <c r="M218" s="4"/>
      <c r="N218" s="4"/>
      <c r="O218" s="4"/>
      <c r="P218" s="4"/>
      <c r="Q218" s="4"/>
      <c r="R218" s="4"/>
      <c r="S218" s="4"/>
      <c r="T218" s="4"/>
      <c r="U218" s="4"/>
      <c r="V218" s="4"/>
      <c r="W218" s="4"/>
      <c r="X218" s="4"/>
      <c r="Y218" s="4"/>
      <c r="Z218" s="4"/>
    </row>
    <row r="219" spans="2:26" ht="15" x14ac:dyDescent="0.25">
      <c r="B219" s="4"/>
      <c r="C219" s="4"/>
      <c r="D219" s="5"/>
      <c r="E219" s="4"/>
      <c r="F219" s="4"/>
      <c r="G219" s="4"/>
      <c r="H219" s="4"/>
      <c r="I219" s="4"/>
      <c r="J219" s="4"/>
      <c r="K219" s="4"/>
      <c r="L219" s="4"/>
      <c r="M219" s="4"/>
      <c r="N219" s="4"/>
      <c r="O219" s="4"/>
      <c r="P219" s="4"/>
      <c r="Q219" s="4"/>
      <c r="R219" s="4"/>
      <c r="S219" s="4"/>
      <c r="T219" s="4"/>
      <c r="U219" s="4"/>
      <c r="V219" s="4"/>
      <c r="W219" s="4"/>
      <c r="X219" s="4"/>
      <c r="Y219" s="4"/>
      <c r="Z219" s="4"/>
    </row>
    <row r="220" spans="2:26" ht="15" x14ac:dyDescent="0.25">
      <c r="B220" s="4"/>
      <c r="C220" s="4"/>
      <c r="D220" s="5"/>
      <c r="E220" s="4"/>
      <c r="F220" s="4"/>
      <c r="G220" s="4"/>
      <c r="H220" s="4"/>
      <c r="I220" s="4"/>
      <c r="J220" s="4"/>
      <c r="K220" s="4"/>
      <c r="L220" s="4"/>
      <c r="M220" s="4"/>
      <c r="N220" s="4"/>
      <c r="O220" s="4"/>
      <c r="P220" s="4"/>
      <c r="Q220" s="4"/>
      <c r="R220" s="4"/>
      <c r="S220" s="4"/>
      <c r="T220" s="4"/>
      <c r="U220" s="4"/>
      <c r="V220" s="4"/>
      <c r="W220" s="4"/>
      <c r="X220" s="4"/>
      <c r="Y220" s="4"/>
      <c r="Z220" s="4"/>
    </row>
    <row r="221" spans="2:26" ht="15" x14ac:dyDescent="0.25">
      <c r="B221" s="4"/>
      <c r="C221" s="4"/>
      <c r="D221" s="5"/>
      <c r="E221" s="4"/>
      <c r="F221" s="4"/>
      <c r="G221" s="4"/>
      <c r="H221" s="4"/>
      <c r="I221" s="4"/>
      <c r="J221" s="4"/>
      <c r="K221" s="4"/>
      <c r="L221" s="4"/>
      <c r="M221" s="4"/>
      <c r="N221" s="4"/>
      <c r="O221" s="4"/>
      <c r="P221" s="4"/>
      <c r="Q221" s="4"/>
      <c r="R221" s="4"/>
      <c r="S221" s="4"/>
      <c r="T221" s="4"/>
      <c r="U221" s="4"/>
      <c r="V221" s="4"/>
      <c r="W221" s="4"/>
      <c r="X221" s="4"/>
      <c r="Y221" s="4"/>
      <c r="Z221" s="4"/>
    </row>
    <row r="222" spans="2:26" ht="15" x14ac:dyDescent="0.25">
      <c r="B222" s="4"/>
      <c r="C222" s="4"/>
      <c r="D222" s="5"/>
      <c r="E222" s="4"/>
      <c r="F222" s="4"/>
      <c r="G222" s="4"/>
      <c r="H222" s="4"/>
      <c r="I222" s="4"/>
      <c r="J222" s="4"/>
      <c r="K222" s="4"/>
      <c r="L222" s="4"/>
      <c r="M222" s="4"/>
      <c r="N222" s="4"/>
      <c r="O222" s="4"/>
      <c r="P222" s="4"/>
      <c r="Q222" s="4"/>
      <c r="R222" s="4"/>
      <c r="S222" s="4"/>
      <c r="T222" s="4"/>
      <c r="U222" s="4"/>
      <c r="V222" s="4"/>
      <c r="W222" s="4"/>
      <c r="X222" s="4"/>
      <c r="Y222" s="4"/>
      <c r="Z222" s="4"/>
    </row>
    <row r="223" spans="2:26" ht="15" x14ac:dyDescent="0.25">
      <c r="B223" s="4"/>
      <c r="C223" s="4"/>
      <c r="D223" s="5"/>
      <c r="E223" s="4"/>
      <c r="F223" s="4"/>
      <c r="G223" s="4"/>
      <c r="H223" s="4"/>
      <c r="I223" s="4"/>
      <c r="J223" s="4"/>
      <c r="K223" s="4"/>
      <c r="L223" s="4"/>
      <c r="M223" s="4"/>
      <c r="N223" s="4"/>
      <c r="O223" s="4"/>
      <c r="P223" s="4"/>
      <c r="Q223" s="4"/>
      <c r="R223" s="4"/>
      <c r="S223" s="4"/>
      <c r="T223" s="4"/>
      <c r="U223" s="4"/>
      <c r="V223" s="4"/>
      <c r="W223" s="4"/>
      <c r="X223" s="4"/>
      <c r="Y223" s="4"/>
      <c r="Z223" s="4"/>
    </row>
    <row r="224" spans="2:26" ht="15" x14ac:dyDescent="0.25">
      <c r="B224" s="4"/>
      <c r="C224" s="4"/>
      <c r="D224" s="5"/>
      <c r="E224" s="4"/>
      <c r="F224" s="4"/>
      <c r="G224" s="4"/>
      <c r="H224" s="4"/>
      <c r="I224" s="4"/>
      <c r="J224" s="4"/>
      <c r="K224" s="4"/>
      <c r="L224" s="4"/>
      <c r="M224" s="4"/>
      <c r="N224" s="4"/>
      <c r="O224" s="4"/>
      <c r="P224" s="4"/>
      <c r="Q224" s="4"/>
      <c r="R224" s="4"/>
      <c r="S224" s="4"/>
      <c r="T224" s="4"/>
      <c r="U224" s="4"/>
      <c r="V224" s="4"/>
      <c r="W224" s="4"/>
      <c r="X224" s="4"/>
      <c r="Y224" s="4"/>
      <c r="Z224" s="4"/>
    </row>
    <row r="225" spans="2:26" ht="15" x14ac:dyDescent="0.25">
      <c r="B225" s="4"/>
      <c r="C225" s="4"/>
      <c r="D225" s="5"/>
      <c r="E225" s="4"/>
      <c r="F225" s="4"/>
      <c r="G225" s="4"/>
      <c r="H225" s="4"/>
      <c r="I225" s="4"/>
      <c r="J225" s="4"/>
      <c r="K225" s="4"/>
      <c r="L225" s="4"/>
      <c r="M225" s="4"/>
      <c r="N225" s="4"/>
      <c r="O225" s="4"/>
      <c r="P225" s="4"/>
      <c r="Q225" s="4"/>
      <c r="R225" s="4"/>
      <c r="S225" s="4"/>
      <c r="T225" s="4"/>
      <c r="U225" s="4"/>
      <c r="V225" s="4"/>
      <c r="W225" s="4"/>
      <c r="X225" s="4"/>
      <c r="Y225" s="4"/>
      <c r="Z225" s="4"/>
    </row>
    <row r="226" spans="2:26" ht="15" x14ac:dyDescent="0.25">
      <c r="B226" s="4"/>
      <c r="C226" s="4"/>
      <c r="D226" s="5"/>
      <c r="E226" s="4"/>
      <c r="F226" s="4"/>
      <c r="G226" s="4"/>
      <c r="H226" s="4"/>
      <c r="I226" s="4"/>
      <c r="J226" s="4"/>
      <c r="K226" s="4"/>
      <c r="L226" s="4"/>
      <c r="M226" s="4"/>
      <c r="N226" s="4"/>
      <c r="O226" s="4"/>
      <c r="P226" s="4"/>
      <c r="Q226" s="4"/>
      <c r="R226" s="4"/>
      <c r="S226" s="4"/>
      <c r="T226" s="4"/>
      <c r="U226" s="4"/>
      <c r="V226" s="4"/>
      <c r="W226" s="4"/>
      <c r="X226" s="4"/>
      <c r="Y226" s="4"/>
      <c r="Z226" s="4"/>
    </row>
    <row r="227" spans="2:26" ht="15" x14ac:dyDescent="0.25">
      <c r="B227" s="4"/>
      <c r="C227" s="4"/>
      <c r="D227" s="5"/>
      <c r="E227" s="4"/>
      <c r="F227" s="4"/>
      <c r="G227" s="4"/>
      <c r="H227" s="4"/>
      <c r="I227" s="4"/>
      <c r="J227" s="4"/>
      <c r="K227" s="4"/>
      <c r="L227" s="4"/>
      <c r="M227" s="4"/>
      <c r="N227" s="4"/>
      <c r="O227" s="4"/>
      <c r="P227" s="4"/>
      <c r="Q227" s="4"/>
      <c r="R227" s="4"/>
      <c r="S227" s="4"/>
      <c r="T227" s="4"/>
      <c r="U227" s="4"/>
      <c r="V227" s="4"/>
      <c r="W227" s="4"/>
      <c r="X227" s="4"/>
      <c r="Y227" s="4"/>
      <c r="Z227" s="4"/>
    </row>
    <row r="228" spans="2:26" ht="15" x14ac:dyDescent="0.25">
      <c r="B228" s="4"/>
      <c r="C228" s="4"/>
      <c r="D228" s="5"/>
      <c r="E228" s="4"/>
      <c r="F228" s="4"/>
      <c r="G228" s="4"/>
      <c r="H228" s="4"/>
      <c r="I228" s="4"/>
      <c r="J228" s="4"/>
      <c r="K228" s="4"/>
      <c r="L228" s="4"/>
      <c r="M228" s="4"/>
      <c r="N228" s="4"/>
      <c r="O228" s="4"/>
      <c r="P228" s="4"/>
      <c r="Q228" s="4"/>
      <c r="R228" s="4"/>
      <c r="S228" s="4"/>
      <c r="T228" s="4"/>
      <c r="U228" s="4"/>
      <c r="V228" s="4"/>
      <c r="W228" s="4"/>
      <c r="X228" s="4"/>
      <c r="Y228" s="4"/>
      <c r="Z228" s="4"/>
    </row>
    <row r="229" spans="2:26" ht="15" x14ac:dyDescent="0.25">
      <c r="B229" s="4"/>
      <c r="C229" s="4"/>
      <c r="D229" s="5"/>
      <c r="E229" s="4"/>
      <c r="F229" s="4"/>
      <c r="G229" s="4"/>
      <c r="H229" s="4"/>
      <c r="I229" s="4"/>
      <c r="J229" s="4"/>
      <c r="K229" s="4"/>
      <c r="L229" s="4"/>
      <c r="M229" s="4"/>
      <c r="N229" s="4"/>
      <c r="O229" s="4"/>
      <c r="P229" s="4"/>
      <c r="Q229" s="4"/>
      <c r="R229" s="4"/>
      <c r="S229" s="4"/>
      <c r="T229" s="4"/>
      <c r="U229" s="4"/>
      <c r="V229" s="4"/>
      <c r="W229" s="4"/>
      <c r="X229" s="4"/>
      <c r="Y229" s="4"/>
      <c r="Z229" s="4"/>
    </row>
    <row r="230" spans="2:26" ht="15" x14ac:dyDescent="0.25">
      <c r="B230" s="4"/>
      <c r="C230" s="4"/>
      <c r="D230" s="5"/>
      <c r="E230" s="4"/>
      <c r="F230" s="4"/>
      <c r="G230" s="4"/>
      <c r="H230" s="4"/>
      <c r="I230" s="4"/>
      <c r="J230" s="4"/>
      <c r="K230" s="4"/>
      <c r="L230" s="4"/>
      <c r="M230" s="4"/>
      <c r="N230" s="4"/>
      <c r="O230" s="4"/>
      <c r="P230" s="4"/>
      <c r="Q230" s="4"/>
      <c r="R230" s="4"/>
      <c r="S230" s="4"/>
      <c r="T230" s="4"/>
      <c r="U230" s="4"/>
      <c r="V230" s="4"/>
      <c r="W230" s="4"/>
      <c r="X230" s="4"/>
      <c r="Y230" s="4"/>
      <c r="Z230" s="4"/>
    </row>
    <row r="231" spans="2:26" ht="15" x14ac:dyDescent="0.25">
      <c r="B231" s="4"/>
      <c r="C231" s="4"/>
      <c r="D231" s="5"/>
      <c r="E231" s="4"/>
      <c r="F231" s="4"/>
      <c r="G231" s="4"/>
      <c r="H231" s="4"/>
      <c r="I231" s="4"/>
      <c r="J231" s="4"/>
      <c r="K231" s="4"/>
      <c r="L231" s="4"/>
      <c r="M231" s="4"/>
      <c r="N231" s="4"/>
      <c r="O231" s="4"/>
      <c r="P231" s="4"/>
      <c r="Q231" s="4"/>
      <c r="R231" s="4"/>
      <c r="S231" s="4"/>
      <c r="T231" s="4"/>
      <c r="U231" s="4"/>
      <c r="V231" s="4"/>
      <c r="W231" s="4"/>
      <c r="X231" s="4"/>
      <c r="Y231" s="4"/>
      <c r="Z231" s="4"/>
    </row>
    <row r="232" spans="2:26" ht="15" x14ac:dyDescent="0.25">
      <c r="B232" s="4"/>
      <c r="C232" s="4"/>
      <c r="D232" s="5"/>
      <c r="E232" s="4"/>
      <c r="F232" s="4"/>
      <c r="G232" s="4"/>
      <c r="H232" s="4"/>
      <c r="I232" s="4"/>
      <c r="J232" s="4"/>
      <c r="K232" s="4"/>
      <c r="L232" s="4"/>
      <c r="M232" s="4"/>
      <c r="N232" s="4"/>
      <c r="O232" s="4"/>
      <c r="P232" s="4"/>
      <c r="Q232" s="4"/>
      <c r="R232" s="4"/>
      <c r="S232" s="4"/>
      <c r="T232" s="4"/>
      <c r="U232" s="4"/>
      <c r="V232" s="4"/>
      <c r="W232" s="4"/>
      <c r="X232" s="4"/>
      <c r="Y232" s="4"/>
      <c r="Z232" s="4"/>
    </row>
    <row r="233" spans="2:26" ht="15" x14ac:dyDescent="0.25">
      <c r="B233" s="4"/>
      <c r="C233" s="4"/>
      <c r="D233" s="5"/>
      <c r="E233" s="4"/>
      <c r="F233" s="4"/>
      <c r="G233" s="4"/>
      <c r="H233" s="4"/>
      <c r="I233" s="4"/>
      <c r="J233" s="4"/>
      <c r="K233" s="4"/>
      <c r="L233" s="4"/>
      <c r="M233" s="4"/>
      <c r="N233" s="4"/>
      <c r="O233" s="4"/>
      <c r="P233" s="4"/>
      <c r="Q233" s="4"/>
      <c r="R233" s="4"/>
      <c r="S233" s="4"/>
      <c r="T233" s="4"/>
      <c r="U233" s="4"/>
      <c r="V233" s="4"/>
      <c r="W233" s="4"/>
      <c r="X233" s="4"/>
      <c r="Y233" s="4"/>
      <c r="Z233" s="4"/>
    </row>
    <row r="234" spans="2:26" ht="15" x14ac:dyDescent="0.25">
      <c r="B234" s="4"/>
      <c r="C234" s="4"/>
      <c r="D234" s="5"/>
      <c r="E234" s="4"/>
      <c r="F234" s="4"/>
      <c r="G234" s="4"/>
      <c r="H234" s="4"/>
      <c r="I234" s="4"/>
      <c r="J234" s="4"/>
      <c r="K234" s="4"/>
      <c r="L234" s="4"/>
      <c r="M234" s="4"/>
      <c r="N234" s="4"/>
      <c r="O234" s="4"/>
      <c r="P234" s="4"/>
      <c r="Q234" s="4"/>
      <c r="R234" s="4"/>
      <c r="S234" s="4"/>
      <c r="T234" s="4"/>
      <c r="U234" s="4"/>
      <c r="V234" s="4"/>
      <c r="W234" s="4"/>
      <c r="X234" s="4"/>
      <c r="Y234" s="4"/>
      <c r="Z234" s="4"/>
    </row>
    <row r="235" spans="2:26" ht="15" x14ac:dyDescent="0.25">
      <c r="B235" s="4"/>
      <c r="C235" s="4"/>
      <c r="D235" s="5"/>
      <c r="E235" s="4"/>
      <c r="F235" s="4"/>
      <c r="G235" s="4"/>
      <c r="H235" s="4"/>
      <c r="I235" s="4"/>
      <c r="J235" s="4"/>
      <c r="K235" s="4"/>
      <c r="L235" s="4"/>
      <c r="M235" s="4"/>
      <c r="N235" s="4"/>
      <c r="O235" s="4"/>
      <c r="P235" s="4"/>
      <c r="Q235" s="4"/>
      <c r="R235" s="4"/>
      <c r="S235" s="4"/>
      <c r="T235" s="4"/>
      <c r="U235" s="4"/>
      <c r="V235" s="4"/>
      <c r="W235" s="4"/>
      <c r="X235" s="4"/>
      <c r="Y235" s="4"/>
      <c r="Z235" s="4"/>
    </row>
    <row r="236" spans="2:26" ht="15" x14ac:dyDescent="0.25">
      <c r="B236" s="4"/>
      <c r="C236" s="4"/>
      <c r="D236" s="5"/>
      <c r="E236" s="4"/>
      <c r="F236" s="4"/>
      <c r="G236" s="4"/>
      <c r="H236" s="4"/>
      <c r="I236" s="4"/>
      <c r="J236" s="4"/>
      <c r="K236" s="4"/>
      <c r="L236" s="4"/>
      <c r="M236" s="4"/>
      <c r="N236" s="4"/>
      <c r="O236" s="4"/>
      <c r="P236" s="4"/>
      <c r="Q236" s="4"/>
      <c r="R236" s="4"/>
      <c r="S236" s="4"/>
      <c r="T236" s="4"/>
      <c r="U236" s="4"/>
      <c r="V236" s="4"/>
      <c r="W236" s="4"/>
      <c r="X236" s="4"/>
      <c r="Y236" s="4"/>
      <c r="Z236" s="4"/>
    </row>
    <row r="237" spans="2:26" ht="15" x14ac:dyDescent="0.25">
      <c r="B237" s="4"/>
      <c r="C237" s="4"/>
      <c r="D237" s="5"/>
      <c r="E237" s="4"/>
      <c r="F237" s="4"/>
      <c r="G237" s="4"/>
      <c r="H237" s="4"/>
      <c r="I237" s="4"/>
      <c r="J237" s="4"/>
      <c r="K237" s="4"/>
      <c r="L237" s="4"/>
      <c r="M237" s="4"/>
      <c r="N237" s="4"/>
      <c r="O237" s="4"/>
      <c r="P237" s="4"/>
      <c r="Q237" s="4"/>
      <c r="R237" s="4"/>
      <c r="S237" s="4"/>
      <c r="T237" s="4"/>
      <c r="U237" s="4"/>
      <c r="V237" s="4"/>
      <c r="W237" s="4"/>
      <c r="X237" s="4"/>
      <c r="Y237" s="4"/>
      <c r="Z237" s="4"/>
    </row>
    <row r="238" spans="2:26" ht="15" x14ac:dyDescent="0.25">
      <c r="B238" s="4"/>
      <c r="C238" s="4"/>
      <c r="D238" s="5"/>
      <c r="E238" s="4"/>
      <c r="F238" s="4"/>
      <c r="G238" s="4"/>
      <c r="H238" s="4"/>
      <c r="I238" s="4"/>
      <c r="J238" s="4"/>
      <c r="K238" s="4"/>
      <c r="L238" s="4"/>
      <c r="M238" s="4"/>
      <c r="N238" s="4"/>
      <c r="O238" s="4"/>
      <c r="P238" s="4"/>
      <c r="Q238" s="4"/>
      <c r="R238" s="4"/>
      <c r="S238" s="4"/>
      <c r="T238" s="4"/>
      <c r="U238" s="4"/>
      <c r="V238" s="4"/>
      <c r="W238" s="4"/>
      <c r="X238" s="4"/>
      <c r="Y238" s="4"/>
      <c r="Z238" s="4"/>
    </row>
    <row r="239" spans="2:26" ht="15" x14ac:dyDescent="0.25">
      <c r="B239" s="4"/>
      <c r="C239" s="4"/>
      <c r="D239" s="5"/>
      <c r="E239" s="4"/>
      <c r="F239" s="4"/>
      <c r="G239" s="4"/>
      <c r="H239" s="4"/>
      <c r="I239" s="4"/>
      <c r="J239" s="4"/>
      <c r="K239" s="4"/>
      <c r="L239" s="4"/>
      <c r="M239" s="4"/>
      <c r="N239" s="4"/>
      <c r="O239" s="4"/>
      <c r="P239" s="4"/>
      <c r="Q239" s="4"/>
      <c r="R239" s="4"/>
      <c r="S239" s="4"/>
      <c r="T239" s="4"/>
      <c r="U239" s="4"/>
      <c r="V239" s="4"/>
      <c r="W239" s="4"/>
      <c r="X239" s="4"/>
      <c r="Y239" s="4"/>
      <c r="Z239" s="4"/>
    </row>
    <row r="240" spans="2:26" ht="15" x14ac:dyDescent="0.25">
      <c r="B240" s="4"/>
      <c r="C240" s="4"/>
      <c r="D240" s="5"/>
      <c r="E240" s="4"/>
      <c r="F240" s="4"/>
      <c r="G240" s="4"/>
      <c r="H240" s="4"/>
      <c r="I240" s="4"/>
      <c r="J240" s="4"/>
      <c r="K240" s="4"/>
      <c r="L240" s="4"/>
      <c r="M240" s="4"/>
      <c r="N240" s="4"/>
      <c r="O240" s="4"/>
      <c r="P240" s="4"/>
      <c r="Q240" s="4"/>
      <c r="R240" s="4"/>
      <c r="S240" s="4"/>
      <c r="T240" s="4"/>
      <c r="U240" s="4"/>
      <c r="V240" s="4"/>
      <c r="W240" s="4"/>
      <c r="X240" s="4"/>
      <c r="Y240" s="4"/>
      <c r="Z240" s="4"/>
    </row>
    <row r="241" spans="2:26" ht="15" x14ac:dyDescent="0.25">
      <c r="B241" s="4"/>
      <c r="C241" s="4"/>
      <c r="D241" s="5"/>
      <c r="E241" s="4"/>
      <c r="F241" s="4"/>
      <c r="G241" s="4"/>
      <c r="H241" s="4"/>
      <c r="I241" s="4"/>
      <c r="J241" s="4"/>
      <c r="K241" s="4"/>
      <c r="L241" s="4"/>
      <c r="M241" s="4"/>
      <c r="N241" s="4"/>
      <c r="O241" s="4"/>
      <c r="P241" s="4"/>
      <c r="Q241" s="4"/>
      <c r="R241" s="4"/>
      <c r="S241" s="4"/>
      <c r="T241" s="4"/>
      <c r="U241" s="4"/>
      <c r="V241" s="4"/>
      <c r="W241" s="4"/>
      <c r="X241" s="4"/>
      <c r="Y241" s="4"/>
      <c r="Z241" s="4"/>
    </row>
    <row r="242" spans="2:26" ht="15" x14ac:dyDescent="0.25">
      <c r="B242" s="4"/>
      <c r="C242" s="4"/>
      <c r="D242" s="5"/>
      <c r="E242" s="4"/>
      <c r="F242" s="4"/>
      <c r="G242" s="4"/>
      <c r="H242" s="4"/>
      <c r="I242" s="4"/>
      <c r="J242" s="4"/>
      <c r="K242" s="4"/>
      <c r="L242" s="4"/>
      <c r="M242" s="4"/>
      <c r="N242" s="4"/>
      <c r="O242" s="4"/>
      <c r="P242" s="4"/>
      <c r="Q242" s="4"/>
      <c r="R242" s="4"/>
      <c r="S242" s="4"/>
      <c r="T242" s="4"/>
      <c r="U242" s="4"/>
      <c r="V242" s="4"/>
      <c r="W242" s="4"/>
      <c r="X242" s="4"/>
      <c r="Y242" s="4"/>
      <c r="Z242" s="4"/>
    </row>
    <row r="243" spans="2:26" ht="15" x14ac:dyDescent="0.25">
      <c r="B243" s="4"/>
      <c r="C243" s="4"/>
      <c r="D243" s="5"/>
      <c r="E243" s="4"/>
      <c r="F243" s="4"/>
      <c r="G243" s="4"/>
      <c r="H243" s="4"/>
      <c r="I243" s="4"/>
      <c r="J243" s="4"/>
      <c r="K243" s="4"/>
      <c r="L243" s="4"/>
      <c r="M243" s="4"/>
      <c r="N243" s="4"/>
      <c r="O243" s="4"/>
      <c r="P243" s="4"/>
      <c r="Q243" s="4"/>
      <c r="R243" s="4"/>
      <c r="S243" s="4"/>
      <c r="T243" s="4"/>
      <c r="U243" s="4"/>
      <c r="V243" s="4"/>
      <c r="W243" s="4"/>
      <c r="X243" s="4"/>
      <c r="Y243" s="4"/>
      <c r="Z243" s="4"/>
    </row>
    <row r="244" spans="2:26" ht="15" x14ac:dyDescent="0.25">
      <c r="B244" s="4"/>
      <c r="C244" s="4"/>
      <c r="D244" s="5"/>
      <c r="E244" s="4"/>
      <c r="F244" s="4"/>
      <c r="G244" s="4"/>
      <c r="H244" s="4"/>
      <c r="I244" s="4"/>
      <c r="J244" s="4"/>
      <c r="K244" s="4"/>
      <c r="L244" s="4"/>
      <c r="M244" s="4"/>
      <c r="N244" s="4"/>
      <c r="O244" s="4"/>
      <c r="P244" s="4"/>
      <c r="Q244" s="4"/>
      <c r="R244" s="4"/>
      <c r="S244" s="4"/>
      <c r="T244" s="4"/>
      <c r="U244" s="4"/>
      <c r="V244" s="4"/>
      <c r="W244" s="4"/>
      <c r="X244" s="4"/>
      <c r="Y244" s="4"/>
      <c r="Z244" s="4"/>
    </row>
    <row r="245" spans="2:26" ht="15" x14ac:dyDescent="0.25">
      <c r="B245" s="4"/>
      <c r="C245" s="4"/>
      <c r="D245" s="5"/>
      <c r="E245" s="4"/>
      <c r="F245" s="4"/>
      <c r="G245" s="4"/>
      <c r="H245" s="4"/>
      <c r="I245" s="4"/>
      <c r="J245" s="4"/>
      <c r="K245" s="4"/>
      <c r="L245" s="4"/>
      <c r="M245" s="4"/>
      <c r="N245" s="4"/>
      <c r="O245" s="4"/>
      <c r="P245" s="4"/>
      <c r="Q245" s="4"/>
      <c r="R245" s="4"/>
      <c r="S245" s="4"/>
      <c r="T245" s="4"/>
      <c r="U245" s="4"/>
      <c r="V245" s="4"/>
      <c r="W245" s="4"/>
      <c r="X245" s="4"/>
      <c r="Y245" s="4"/>
      <c r="Z245" s="4"/>
    </row>
    <row r="246" spans="2:26" ht="15" x14ac:dyDescent="0.25">
      <c r="B246" s="4"/>
      <c r="C246" s="4"/>
      <c r="D246" s="5"/>
      <c r="E246" s="4"/>
      <c r="F246" s="4"/>
      <c r="G246" s="4"/>
      <c r="H246" s="4"/>
      <c r="I246" s="4"/>
      <c r="J246" s="4"/>
      <c r="K246" s="4"/>
      <c r="L246" s="4"/>
      <c r="M246" s="4"/>
      <c r="N246" s="4"/>
      <c r="O246" s="4"/>
      <c r="P246" s="4"/>
      <c r="Q246" s="4"/>
      <c r="R246" s="4"/>
      <c r="S246" s="4"/>
      <c r="T246" s="4"/>
      <c r="U246" s="4"/>
      <c r="V246" s="4"/>
      <c r="W246" s="4"/>
      <c r="X246" s="4"/>
      <c r="Y246" s="4"/>
      <c r="Z246" s="4"/>
    </row>
    <row r="247" spans="2:26" ht="15" x14ac:dyDescent="0.25">
      <c r="B247" s="4"/>
      <c r="C247" s="4"/>
      <c r="D247" s="5"/>
      <c r="E247" s="4"/>
      <c r="F247" s="4"/>
      <c r="G247" s="4"/>
      <c r="H247" s="4"/>
      <c r="I247" s="4"/>
      <c r="J247" s="4"/>
      <c r="K247" s="4"/>
      <c r="L247" s="4"/>
      <c r="M247" s="4"/>
      <c r="N247" s="4"/>
      <c r="O247" s="4"/>
      <c r="P247" s="4"/>
      <c r="Q247" s="4"/>
      <c r="R247" s="4"/>
      <c r="S247" s="4"/>
      <c r="T247" s="4"/>
      <c r="U247" s="4"/>
      <c r="V247" s="4"/>
      <c r="W247" s="4"/>
      <c r="X247" s="4"/>
      <c r="Y247" s="4"/>
      <c r="Z247" s="4"/>
    </row>
    <row r="248" spans="2:26" ht="15" x14ac:dyDescent="0.25">
      <c r="B248" s="4"/>
      <c r="C248" s="4"/>
      <c r="D248" s="5"/>
      <c r="E248" s="4"/>
      <c r="F248" s="4"/>
      <c r="G248" s="4"/>
      <c r="H248" s="4"/>
      <c r="I248" s="4"/>
      <c r="J248" s="4"/>
      <c r="K248" s="4"/>
      <c r="L248" s="4"/>
      <c r="M248" s="4"/>
      <c r="N248" s="4"/>
      <c r="O248" s="4"/>
      <c r="P248" s="4"/>
      <c r="Q248" s="4"/>
      <c r="R248" s="4"/>
      <c r="S248" s="4"/>
      <c r="T248" s="4"/>
      <c r="U248" s="4"/>
      <c r="V248" s="4"/>
      <c r="W248" s="4"/>
      <c r="X248" s="4"/>
      <c r="Y248" s="4"/>
      <c r="Z248" s="4"/>
    </row>
    <row r="249" spans="2:26" ht="15" x14ac:dyDescent="0.25">
      <c r="B249" s="4"/>
      <c r="C249" s="4"/>
      <c r="D249" s="5"/>
      <c r="E249" s="4"/>
      <c r="F249" s="4"/>
      <c r="G249" s="4"/>
      <c r="H249" s="4"/>
      <c r="I249" s="4"/>
      <c r="J249" s="4"/>
      <c r="K249" s="4"/>
      <c r="L249" s="4"/>
      <c r="M249" s="4"/>
      <c r="N249" s="4"/>
      <c r="O249" s="4"/>
      <c r="P249" s="4"/>
      <c r="Q249" s="4"/>
      <c r="R249" s="4"/>
      <c r="S249" s="4"/>
      <c r="T249" s="4"/>
      <c r="U249" s="4"/>
      <c r="V249" s="4"/>
      <c r="W249" s="4"/>
      <c r="X249" s="4"/>
      <c r="Y249" s="4"/>
      <c r="Z249" s="4"/>
    </row>
    <row r="250" spans="2:26" ht="15" x14ac:dyDescent="0.25">
      <c r="B250" s="4"/>
      <c r="C250" s="4"/>
      <c r="D250" s="5"/>
      <c r="E250" s="4"/>
      <c r="F250" s="4"/>
      <c r="G250" s="4"/>
      <c r="H250" s="4"/>
      <c r="I250" s="4"/>
      <c r="J250" s="4"/>
      <c r="K250" s="4"/>
      <c r="L250" s="4"/>
      <c r="M250" s="4"/>
      <c r="N250" s="4"/>
      <c r="O250" s="4"/>
      <c r="P250" s="4"/>
      <c r="Q250" s="4"/>
      <c r="R250" s="4"/>
      <c r="S250" s="4"/>
      <c r="T250" s="4"/>
      <c r="U250" s="4"/>
      <c r="V250" s="4"/>
      <c r="W250" s="4"/>
      <c r="X250" s="4"/>
      <c r="Y250" s="4"/>
      <c r="Z250" s="4"/>
    </row>
    <row r="251" spans="2:26" ht="15" x14ac:dyDescent="0.25">
      <c r="B251" s="4"/>
      <c r="C251" s="4"/>
      <c r="D251" s="5"/>
      <c r="E251" s="4"/>
      <c r="F251" s="4"/>
      <c r="G251" s="4"/>
      <c r="H251" s="4"/>
      <c r="I251" s="4"/>
      <c r="J251" s="4"/>
      <c r="K251" s="4"/>
      <c r="L251" s="4"/>
      <c r="M251" s="4"/>
      <c r="N251" s="4"/>
      <c r="O251" s="4"/>
      <c r="P251" s="4"/>
      <c r="Q251" s="4"/>
      <c r="R251" s="4"/>
      <c r="S251" s="4"/>
      <c r="T251" s="4"/>
      <c r="U251" s="4"/>
      <c r="V251" s="4"/>
      <c r="W251" s="4"/>
      <c r="X251" s="4"/>
      <c r="Y251" s="4"/>
      <c r="Z251" s="4"/>
    </row>
    <row r="252" spans="2:26" ht="15" x14ac:dyDescent="0.25">
      <c r="B252" s="4"/>
      <c r="C252" s="4"/>
      <c r="D252" s="5"/>
      <c r="E252" s="4"/>
      <c r="F252" s="4"/>
      <c r="G252" s="4"/>
      <c r="H252" s="4"/>
      <c r="I252" s="4"/>
      <c r="J252" s="4"/>
      <c r="K252" s="4"/>
      <c r="L252" s="4"/>
      <c r="M252" s="4"/>
      <c r="N252" s="4"/>
      <c r="O252" s="4"/>
      <c r="P252" s="4"/>
      <c r="Q252" s="4"/>
      <c r="R252" s="4"/>
      <c r="S252" s="4"/>
      <c r="T252" s="4"/>
      <c r="U252" s="4"/>
      <c r="V252" s="4"/>
      <c r="W252" s="4"/>
      <c r="X252" s="4"/>
      <c r="Y252" s="4"/>
      <c r="Z252" s="4"/>
    </row>
    <row r="253" spans="2:26" ht="15" x14ac:dyDescent="0.25">
      <c r="B253" s="4"/>
      <c r="C253" s="4"/>
      <c r="D253" s="5"/>
      <c r="E253" s="4"/>
      <c r="F253" s="4"/>
      <c r="G253" s="4"/>
      <c r="H253" s="4"/>
      <c r="I253" s="4"/>
      <c r="J253" s="4"/>
      <c r="K253" s="4"/>
      <c r="L253" s="4"/>
      <c r="M253" s="4"/>
      <c r="N253" s="4"/>
      <c r="O253" s="4"/>
      <c r="P253" s="4"/>
      <c r="Q253" s="4"/>
      <c r="R253" s="4"/>
      <c r="S253" s="4"/>
      <c r="T253" s="4"/>
      <c r="U253" s="4"/>
      <c r="V253" s="4"/>
      <c r="W253" s="4"/>
      <c r="X253" s="4"/>
      <c r="Y253" s="4"/>
      <c r="Z253" s="4"/>
    </row>
    <row r="254" spans="2:26" ht="15" x14ac:dyDescent="0.25">
      <c r="B254" s="4"/>
      <c r="C254" s="4"/>
      <c r="D254" s="5"/>
      <c r="E254" s="4"/>
      <c r="F254" s="4"/>
      <c r="G254" s="4"/>
      <c r="H254" s="4"/>
      <c r="I254" s="4"/>
      <c r="J254" s="4"/>
      <c r="K254" s="4"/>
      <c r="L254" s="4"/>
      <c r="M254" s="4"/>
      <c r="N254" s="4"/>
      <c r="O254" s="4"/>
      <c r="P254" s="4"/>
      <c r="Q254" s="4"/>
      <c r="R254" s="4"/>
      <c r="S254" s="4"/>
      <c r="T254" s="4"/>
      <c r="U254" s="4"/>
      <c r="V254" s="4"/>
      <c r="W254" s="4"/>
      <c r="X254" s="4"/>
      <c r="Y254" s="4"/>
      <c r="Z254" s="4"/>
    </row>
    <row r="255" spans="2:26" ht="15" x14ac:dyDescent="0.25">
      <c r="B255" s="4"/>
      <c r="C255" s="4"/>
      <c r="D255" s="5"/>
      <c r="E255" s="4"/>
      <c r="F255" s="4"/>
      <c r="G255" s="4"/>
      <c r="H255" s="4"/>
      <c r="I255" s="4"/>
      <c r="J255" s="4"/>
      <c r="K255" s="4"/>
      <c r="L255" s="4"/>
      <c r="M255" s="4"/>
      <c r="N255" s="4"/>
      <c r="O255" s="4"/>
      <c r="P255" s="4"/>
      <c r="Q255" s="4"/>
      <c r="R255" s="4"/>
      <c r="S255" s="4"/>
      <c r="T255" s="4"/>
      <c r="U255" s="4"/>
      <c r="V255" s="4"/>
      <c r="W255" s="4"/>
      <c r="X255" s="4"/>
      <c r="Y255" s="4"/>
      <c r="Z255" s="4"/>
    </row>
    <row r="256" spans="2:26" ht="15" x14ac:dyDescent="0.25">
      <c r="B256" s="4"/>
      <c r="C256" s="4"/>
      <c r="D256" s="5"/>
      <c r="E256" s="4"/>
      <c r="F256" s="4"/>
      <c r="G256" s="4"/>
      <c r="H256" s="4"/>
      <c r="I256" s="4"/>
      <c r="J256" s="4"/>
      <c r="K256" s="4"/>
      <c r="L256" s="4"/>
      <c r="M256" s="4"/>
      <c r="N256" s="4"/>
      <c r="O256" s="4"/>
      <c r="P256" s="4"/>
      <c r="Q256" s="4"/>
      <c r="R256" s="4"/>
      <c r="S256" s="4"/>
      <c r="T256" s="4"/>
      <c r="U256" s="4"/>
      <c r="V256" s="4"/>
      <c r="W256" s="4"/>
      <c r="X256" s="4"/>
      <c r="Y256" s="4"/>
      <c r="Z256" s="4"/>
    </row>
    <row r="257" spans="2:26" ht="15" x14ac:dyDescent="0.25">
      <c r="B257" s="4"/>
      <c r="C257" s="4"/>
      <c r="D257" s="5"/>
      <c r="E257" s="4"/>
      <c r="F257" s="4"/>
      <c r="G257" s="4"/>
      <c r="H257" s="4"/>
      <c r="I257" s="4"/>
      <c r="J257" s="4"/>
      <c r="K257" s="4"/>
      <c r="L257" s="4"/>
      <c r="M257" s="4"/>
      <c r="N257" s="4"/>
      <c r="O257" s="4"/>
      <c r="P257" s="4"/>
      <c r="Q257" s="4"/>
      <c r="R257" s="4"/>
      <c r="S257" s="4"/>
      <c r="T257" s="4"/>
      <c r="U257" s="4"/>
      <c r="V257" s="4"/>
      <c r="W257" s="4"/>
      <c r="X257" s="4"/>
      <c r="Y257" s="4"/>
      <c r="Z257" s="4"/>
    </row>
    <row r="258" spans="2:26" ht="15" x14ac:dyDescent="0.25">
      <c r="B258" s="4"/>
      <c r="C258" s="4"/>
      <c r="D258" s="5"/>
      <c r="E258" s="4"/>
      <c r="F258" s="4"/>
      <c r="G258" s="4"/>
      <c r="H258" s="4"/>
      <c r="I258" s="4"/>
      <c r="J258" s="4"/>
      <c r="K258" s="4"/>
      <c r="L258" s="4"/>
      <c r="M258" s="4"/>
      <c r="N258" s="4"/>
      <c r="O258" s="4"/>
      <c r="P258" s="4"/>
      <c r="Q258" s="4"/>
      <c r="R258" s="4"/>
      <c r="S258" s="4"/>
      <c r="T258" s="4"/>
      <c r="U258" s="4"/>
      <c r="V258" s="4"/>
      <c r="W258" s="4"/>
      <c r="X258" s="4"/>
      <c r="Y258" s="4"/>
      <c r="Z258" s="4"/>
    </row>
    <row r="259" spans="2:26" ht="15" x14ac:dyDescent="0.25">
      <c r="B259" s="4"/>
      <c r="C259" s="4"/>
      <c r="D259" s="5"/>
      <c r="E259" s="4"/>
      <c r="F259" s="4"/>
      <c r="G259" s="4"/>
      <c r="H259" s="4"/>
      <c r="I259" s="4"/>
      <c r="J259" s="4"/>
      <c r="K259" s="4"/>
      <c r="L259" s="4"/>
      <c r="M259" s="4"/>
      <c r="N259" s="4"/>
      <c r="O259" s="4"/>
      <c r="P259" s="4"/>
      <c r="Q259" s="4"/>
      <c r="R259" s="4"/>
      <c r="S259" s="4"/>
      <c r="T259" s="4"/>
      <c r="U259" s="4"/>
      <c r="V259" s="4"/>
      <c r="W259" s="4"/>
      <c r="X259" s="4"/>
      <c r="Y259" s="4"/>
      <c r="Z259" s="4"/>
    </row>
    <row r="260" spans="2:26" ht="15" x14ac:dyDescent="0.25">
      <c r="B260" s="4"/>
      <c r="C260" s="4"/>
      <c r="D260" s="5"/>
      <c r="E260" s="4"/>
      <c r="F260" s="4"/>
      <c r="G260" s="4"/>
      <c r="H260" s="4"/>
      <c r="I260" s="4"/>
      <c r="J260" s="4"/>
      <c r="K260" s="4"/>
      <c r="L260" s="4"/>
      <c r="M260" s="4"/>
      <c r="N260" s="4"/>
      <c r="O260" s="4"/>
      <c r="P260" s="4"/>
      <c r="Q260" s="4"/>
      <c r="R260" s="4"/>
      <c r="S260" s="4"/>
      <c r="T260" s="4"/>
      <c r="U260" s="4"/>
      <c r="V260" s="4"/>
      <c r="W260" s="4"/>
      <c r="X260" s="4"/>
      <c r="Y260" s="4"/>
      <c r="Z260" s="4"/>
    </row>
    <row r="261" spans="2:26" ht="15" x14ac:dyDescent="0.25">
      <c r="B261" s="4"/>
      <c r="C261" s="4"/>
      <c r="D261" s="5"/>
      <c r="E261" s="4"/>
      <c r="F261" s="4"/>
      <c r="G261" s="4"/>
      <c r="H261" s="4"/>
      <c r="I261" s="4"/>
      <c r="J261" s="4"/>
      <c r="K261" s="4"/>
      <c r="L261" s="4"/>
      <c r="M261" s="4"/>
      <c r="N261" s="4"/>
      <c r="O261" s="4"/>
      <c r="P261" s="4"/>
      <c r="Q261" s="4"/>
      <c r="R261" s="4"/>
      <c r="S261" s="4"/>
      <c r="T261" s="4"/>
      <c r="U261" s="4"/>
      <c r="V261" s="4"/>
      <c r="W261" s="4"/>
      <c r="X261" s="4"/>
      <c r="Y261" s="4"/>
      <c r="Z261" s="4"/>
    </row>
    <row r="262" spans="2:26" ht="15" x14ac:dyDescent="0.25">
      <c r="B262" s="4"/>
      <c r="C262" s="4"/>
      <c r="D262" s="5"/>
      <c r="E262" s="4"/>
      <c r="F262" s="4"/>
      <c r="G262" s="4"/>
      <c r="H262" s="4"/>
      <c r="I262" s="4"/>
      <c r="J262" s="4"/>
      <c r="K262" s="4"/>
      <c r="L262" s="4"/>
      <c r="M262" s="4"/>
      <c r="N262" s="4"/>
      <c r="O262" s="4"/>
      <c r="P262" s="4"/>
      <c r="Q262" s="4"/>
      <c r="R262" s="4"/>
      <c r="S262" s="4"/>
      <c r="T262" s="4"/>
      <c r="U262" s="4"/>
      <c r="V262" s="4"/>
      <c r="W262" s="4"/>
      <c r="X262" s="4"/>
      <c r="Y262" s="4"/>
      <c r="Z262" s="4"/>
    </row>
    <row r="263" spans="2:26" ht="15" x14ac:dyDescent="0.25">
      <c r="B263" s="4"/>
      <c r="C263" s="4"/>
      <c r="D263" s="5"/>
      <c r="E263" s="4"/>
      <c r="F263" s="4"/>
      <c r="G263" s="4"/>
      <c r="H263" s="4"/>
      <c r="I263" s="4"/>
      <c r="J263" s="4"/>
      <c r="K263" s="4"/>
      <c r="L263" s="4"/>
      <c r="M263" s="4"/>
      <c r="N263" s="4"/>
      <c r="O263" s="4"/>
      <c r="P263" s="4"/>
      <c r="Q263" s="4"/>
      <c r="R263" s="4"/>
      <c r="S263" s="4"/>
      <c r="T263" s="4"/>
      <c r="U263" s="4"/>
      <c r="V263" s="4"/>
      <c r="W263" s="4"/>
      <c r="X263" s="4"/>
      <c r="Y263" s="4"/>
      <c r="Z263" s="4"/>
    </row>
    <row r="264" spans="2:26" ht="15" x14ac:dyDescent="0.25">
      <c r="B264" s="4"/>
      <c r="C264" s="4"/>
      <c r="D264" s="5"/>
      <c r="E264" s="4"/>
      <c r="F264" s="4"/>
      <c r="G264" s="4"/>
      <c r="H264" s="4"/>
      <c r="I264" s="4"/>
      <c r="J264" s="4"/>
      <c r="K264" s="4"/>
      <c r="L264" s="4"/>
      <c r="M264" s="4"/>
      <c r="N264" s="4"/>
      <c r="O264" s="4"/>
      <c r="P264" s="4"/>
      <c r="Q264" s="4"/>
      <c r="R264" s="4"/>
      <c r="S264" s="4"/>
      <c r="T264" s="4"/>
      <c r="U264" s="4"/>
      <c r="V264" s="4"/>
      <c r="W264" s="4"/>
      <c r="X264" s="4"/>
      <c r="Y264" s="4"/>
      <c r="Z264" s="4"/>
    </row>
    <row r="265" spans="2:26" ht="15" x14ac:dyDescent="0.25">
      <c r="B265" s="4"/>
      <c r="C265" s="4"/>
      <c r="D265" s="5"/>
      <c r="E265" s="4"/>
      <c r="F265" s="4"/>
      <c r="G265" s="4"/>
      <c r="H265" s="4"/>
      <c r="I265" s="4"/>
      <c r="J265" s="4"/>
      <c r="K265" s="4"/>
      <c r="L265" s="4"/>
      <c r="M265" s="4"/>
      <c r="N265" s="4"/>
      <c r="O265" s="4"/>
      <c r="P265" s="4"/>
      <c r="Q265" s="4"/>
      <c r="R265" s="4"/>
      <c r="S265" s="4"/>
      <c r="T265" s="4"/>
      <c r="U265" s="4"/>
      <c r="V265" s="4"/>
      <c r="W265" s="4"/>
      <c r="X265" s="4"/>
      <c r="Y265" s="4"/>
      <c r="Z265" s="4"/>
    </row>
    <row r="266" spans="2:26" ht="15" x14ac:dyDescent="0.25">
      <c r="B266" s="4"/>
      <c r="C266" s="4"/>
      <c r="D266" s="5"/>
      <c r="E266" s="4"/>
      <c r="F266" s="4"/>
      <c r="G266" s="4"/>
      <c r="H266" s="4"/>
      <c r="I266" s="4"/>
      <c r="J266" s="4"/>
      <c r="K266" s="4"/>
      <c r="L266" s="4"/>
      <c r="M266" s="4"/>
      <c r="N266" s="4"/>
      <c r="O266" s="4"/>
      <c r="P266" s="4"/>
      <c r="Q266" s="4"/>
      <c r="R266" s="4"/>
      <c r="S266" s="4"/>
      <c r="T266" s="4"/>
      <c r="U266" s="4"/>
      <c r="V266" s="4"/>
      <c r="W266" s="4"/>
      <c r="X266" s="4"/>
      <c r="Y266" s="4"/>
      <c r="Z266" s="4"/>
    </row>
    <row r="267" spans="2:26" ht="15" x14ac:dyDescent="0.25">
      <c r="B267" s="4"/>
      <c r="C267" s="4"/>
      <c r="D267" s="5"/>
      <c r="E267" s="4"/>
      <c r="F267" s="4"/>
      <c r="G267" s="4"/>
      <c r="H267" s="4"/>
      <c r="I267" s="4"/>
      <c r="J267" s="4"/>
      <c r="K267" s="4"/>
      <c r="L267" s="4"/>
      <c r="M267" s="4"/>
      <c r="N267" s="4"/>
      <c r="O267" s="4"/>
      <c r="P267" s="4"/>
      <c r="Q267" s="4"/>
      <c r="R267" s="4"/>
      <c r="S267" s="4"/>
      <c r="T267" s="4"/>
      <c r="U267" s="4"/>
      <c r="V267" s="4"/>
      <c r="W267" s="4"/>
      <c r="X267" s="4"/>
      <c r="Y267" s="4"/>
      <c r="Z267" s="4"/>
    </row>
    <row r="268" spans="2:26" ht="15" x14ac:dyDescent="0.25">
      <c r="B268" s="4"/>
      <c r="C268" s="4"/>
      <c r="D268" s="5"/>
      <c r="E268" s="4"/>
      <c r="F268" s="4"/>
      <c r="G268" s="4"/>
      <c r="H268" s="4"/>
      <c r="I268" s="4"/>
      <c r="J268" s="4"/>
      <c r="K268" s="4"/>
      <c r="L268" s="4"/>
      <c r="M268" s="4"/>
      <c r="N268" s="4"/>
      <c r="O268" s="4"/>
      <c r="P268" s="4"/>
      <c r="Q268" s="4"/>
      <c r="R268" s="4"/>
      <c r="S268" s="4"/>
      <c r="T268" s="4"/>
      <c r="U268" s="4"/>
      <c r="V268" s="4"/>
      <c r="W268" s="4"/>
      <c r="X268" s="4"/>
      <c r="Y268" s="4"/>
      <c r="Z268" s="4"/>
    </row>
    <row r="269" spans="2:26" ht="15" x14ac:dyDescent="0.25">
      <c r="B269" s="4"/>
      <c r="C269" s="4"/>
      <c r="D269" s="5"/>
      <c r="E269" s="4"/>
      <c r="F269" s="4"/>
      <c r="G269" s="4"/>
      <c r="H269" s="4"/>
      <c r="I269" s="4"/>
      <c r="J269" s="4"/>
      <c r="K269" s="4"/>
      <c r="L269" s="4"/>
      <c r="M269" s="4"/>
      <c r="N269" s="4"/>
      <c r="O269" s="4"/>
      <c r="P269" s="4"/>
      <c r="Q269" s="4"/>
      <c r="R269" s="4"/>
      <c r="S269" s="4"/>
      <c r="T269" s="4"/>
      <c r="U269" s="4"/>
      <c r="V269" s="4"/>
      <c r="W269" s="4"/>
      <c r="X269" s="4"/>
      <c r="Y269" s="4"/>
      <c r="Z269" s="4"/>
    </row>
    <row r="270" spans="2:26" ht="15" x14ac:dyDescent="0.25">
      <c r="B270" s="4"/>
      <c r="C270" s="4"/>
      <c r="D270" s="5"/>
      <c r="E270" s="4"/>
      <c r="F270" s="4"/>
      <c r="G270" s="4"/>
      <c r="H270" s="4"/>
      <c r="I270" s="4"/>
      <c r="J270" s="4"/>
      <c r="K270" s="4"/>
      <c r="L270" s="4"/>
      <c r="M270" s="4"/>
      <c r="N270" s="4"/>
      <c r="O270" s="4"/>
      <c r="P270" s="4"/>
      <c r="Q270" s="4"/>
      <c r="R270" s="4"/>
      <c r="S270" s="4"/>
      <c r="T270" s="4"/>
      <c r="U270" s="4"/>
      <c r="V270" s="4"/>
      <c r="W270" s="4"/>
      <c r="X270" s="4"/>
      <c r="Y270" s="4"/>
      <c r="Z270" s="4"/>
    </row>
    <row r="271" spans="2:26" ht="15" x14ac:dyDescent="0.25">
      <c r="B271" s="4"/>
      <c r="C271" s="4"/>
      <c r="D271" s="5"/>
      <c r="E271" s="4"/>
      <c r="F271" s="4"/>
      <c r="G271" s="4"/>
      <c r="H271" s="4"/>
      <c r="I271" s="4"/>
      <c r="J271" s="4"/>
      <c r="K271" s="4"/>
      <c r="L271" s="4"/>
      <c r="M271" s="4"/>
      <c r="N271" s="4"/>
      <c r="O271" s="4"/>
      <c r="P271" s="4"/>
      <c r="Q271" s="4"/>
      <c r="R271" s="4"/>
      <c r="S271" s="4"/>
      <c r="T271" s="4"/>
      <c r="U271" s="4"/>
      <c r="V271" s="4"/>
      <c r="W271" s="4"/>
      <c r="X271" s="4"/>
      <c r="Y271" s="4"/>
      <c r="Z271" s="4"/>
    </row>
    <row r="272" spans="2:26" ht="15" x14ac:dyDescent="0.25">
      <c r="B272" s="4"/>
      <c r="C272" s="4"/>
      <c r="D272" s="5"/>
      <c r="E272" s="4"/>
      <c r="F272" s="4"/>
      <c r="G272" s="4"/>
      <c r="H272" s="4"/>
      <c r="I272" s="4"/>
      <c r="J272" s="4"/>
      <c r="K272" s="4"/>
      <c r="L272" s="4"/>
      <c r="M272" s="4"/>
      <c r="N272" s="4"/>
      <c r="O272" s="4"/>
      <c r="P272" s="4"/>
      <c r="Q272" s="4"/>
      <c r="R272" s="4"/>
      <c r="S272" s="4"/>
      <c r="T272" s="4"/>
      <c r="U272" s="4"/>
      <c r="V272" s="4"/>
      <c r="W272" s="4"/>
      <c r="X272" s="4"/>
      <c r="Y272" s="4"/>
      <c r="Z272" s="4"/>
    </row>
    <row r="273" spans="2:26" ht="15" x14ac:dyDescent="0.25">
      <c r="B273" s="4"/>
      <c r="C273" s="4"/>
      <c r="D273" s="5"/>
      <c r="E273" s="4"/>
      <c r="F273" s="4"/>
      <c r="G273" s="4"/>
      <c r="H273" s="4"/>
      <c r="I273" s="4"/>
      <c r="J273" s="4"/>
      <c r="K273" s="4"/>
      <c r="L273" s="4"/>
      <c r="M273" s="4"/>
      <c r="N273" s="4"/>
      <c r="O273" s="4"/>
      <c r="P273" s="4"/>
      <c r="Q273" s="4"/>
      <c r="R273" s="4"/>
      <c r="S273" s="4"/>
      <c r="T273" s="4"/>
      <c r="U273" s="4"/>
      <c r="V273" s="4"/>
      <c r="W273" s="4"/>
      <c r="X273" s="4"/>
      <c r="Y273" s="4"/>
      <c r="Z273" s="4"/>
    </row>
    <row r="274" spans="2:26" ht="15" x14ac:dyDescent="0.25">
      <c r="B274" s="4"/>
      <c r="C274" s="4"/>
      <c r="D274" s="5"/>
      <c r="E274" s="4"/>
      <c r="F274" s="4"/>
      <c r="G274" s="4"/>
      <c r="H274" s="4"/>
      <c r="I274" s="4"/>
      <c r="J274" s="4"/>
      <c r="K274" s="4"/>
      <c r="L274" s="4"/>
      <c r="M274" s="4"/>
      <c r="N274" s="4"/>
      <c r="O274" s="4"/>
      <c r="P274" s="4"/>
      <c r="Q274" s="4"/>
      <c r="R274" s="4"/>
      <c r="S274" s="4"/>
      <c r="T274" s="4"/>
      <c r="U274" s="4"/>
      <c r="V274" s="4"/>
      <c r="W274" s="4"/>
      <c r="X274" s="4"/>
      <c r="Y274" s="4"/>
      <c r="Z274" s="4"/>
    </row>
    <row r="275" spans="2:26" ht="15" x14ac:dyDescent="0.25">
      <c r="B275" s="4"/>
      <c r="C275" s="4"/>
      <c r="D275" s="5"/>
      <c r="E275" s="4"/>
      <c r="F275" s="4"/>
      <c r="G275" s="4"/>
      <c r="H275" s="4"/>
      <c r="I275" s="4"/>
      <c r="J275" s="4"/>
      <c r="K275" s="4"/>
      <c r="L275" s="4"/>
      <c r="M275" s="4"/>
      <c r="N275" s="4"/>
      <c r="O275" s="4"/>
      <c r="P275" s="4"/>
      <c r="Q275" s="4"/>
      <c r="R275" s="4"/>
      <c r="S275" s="4"/>
      <c r="T275" s="4"/>
      <c r="U275" s="4"/>
      <c r="V275" s="4"/>
      <c r="W275" s="4"/>
      <c r="X275" s="4"/>
      <c r="Y275" s="4"/>
      <c r="Z275" s="4"/>
    </row>
    <row r="276" spans="2:26" ht="15" x14ac:dyDescent="0.25">
      <c r="B276" s="4"/>
      <c r="C276" s="4"/>
      <c r="D276" s="5"/>
      <c r="E276" s="4"/>
      <c r="F276" s="4"/>
      <c r="G276" s="4"/>
      <c r="H276" s="4"/>
      <c r="I276" s="4"/>
      <c r="J276" s="4"/>
      <c r="K276" s="4"/>
      <c r="L276" s="4"/>
      <c r="M276" s="4"/>
      <c r="N276" s="4"/>
      <c r="O276" s="4"/>
      <c r="P276" s="4"/>
      <c r="Q276" s="4"/>
      <c r="R276" s="4"/>
      <c r="S276" s="4"/>
      <c r="T276" s="4"/>
      <c r="U276" s="4"/>
      <c r="V276" s="4"/>
      <c r="W276" s="4"/>
      <c r="X276" s="4"/>
      <c r="Y276" s="4"/>
      <c r="Z276" s="4"/>
    </row>
    <row r="277" spans="2:26" ht="15" x14ac:dyDescent="0.25">
      <c r="B277" s="4"/>
      <c r="C277" s="4"/>
      <c r="D277" s="5"/>
      <c r="E277" s="4"/>
      <c r="F277" s="4"/>
      <c r="G277" s="4"/>
      <c r="H277" s="4"/>
      <c r="I277" s="4"/>
      <c r="J277" s="4"/>
      <c r="K277" s="4"/>
      <c r="L277" s="4"/>
      <c r="M277" s="4"/>
      <c r="N277" s="4"/>
      <c r="O277" s="4"/>
      <c r="P277" s="4"/>
      <c r="Q277" s="4"/>
      <c r="R277" s="4"/>
      <c r="S277" s="4"/>
      <c r="T277" s="4"/>
      <c r="U277" s="4"/>
      <c r="V277" s="4"/>
      <c r="W277" s="4"/>
      <c r="X277" s="4"/>
      <c r="Y277" s="4"/>
      <c r="Z277" s="4"/>
    </row>
    <row r="278" spans="2:26" ht="15" x14ac:dyDescent="0.25">
      <c r="B278" s="4"/>
      <c r="C278" s="4"/>
      <c r="D278" s="5"/>
      <c r="E278" s="4"/>
      <c r="F278" s="4"/>
      <c r="G278" s="4"/>
      <c r="H278" s="4"/>
      <c r="I278" s="4"/>
      <c r="J278" s="4"/>
      <c r="K278" s="4"/>
      <c r="L278" s="4"/>
      <c r="M278" s="4"/>
      <c r="N278" s="4"/>
      <c r="O278" s="4"/>
      <c r="P278" s="4"/>
      <c r="Q278" s="4"/>
      <c r="R278" s="4"/>
      <c r="S278" s="4"/>
      <c r="T278" s="4"/>
      <c r="U278" s="4"/>
      <c r="V278" s="4"/>
      <c r="W278" s="4"/>
      <c r="X278" s="4"/>
      <c r="Y278" s="4"/>
      <c r="Z278" s="4"/>
    </row>
    <row r="279" spans="2:26" ht="15" x14ac:dyDescent="0.25">
      <c r="B279" s="4"/>
      <c r="C279" s="4"/>
      <c r="D279" s="5"/>
      <c r="E279" s="4"/>
      <c r="F279" s="4"/>
      <c r="G279" s="4"/>
      <c r="H279" s="4"/>
      <c r="I279" s="4"/>
      <c r="J279" s="4"/>
      <c r="K279" s="4"/>
      <c r="L279" s="4"/>
      <c r="M279" s="4"/>
      <c r="N279" s="4"/>
      <c r="O279" s="4"/>
      <c r="P279" s="4"/>
      <c r="Q279" s="4"/>
      <c r="R279" s="4"/>
      <c r="S279" s="4"/>
      <c r="T279" s="4"/>
      <c r="U279" s="4"/>
      <c r="V279" s="4"/>
      <c r="W279" s="4"/>
      <c r="X279" s="4"/>
      <c r="Y279" s="4"/>
      <c r="Z279" s="4"/>
    </row>
    <row r="280" spans="2:26" ht="15" x14ac:dyDescent="0.25">
      <c r="B280" s="4"/>
      <c r="C280" s="4"/>
      <c r="D280" s="5"/>
      <c r="E280" s="4"/>
      <c r="F280" s="4"/>
      <c r="G280" s="4"/>
      <c r="H280" s="4"/>
      <c r="I280" s="4"/>
      <c r="J280" s="4"/>
      <c r="K280" s="4"/>
      <c r="L280" s="4"/>
      <c r="M280" s="4"/>
      <c r="N280" s="4"/>
      <c r="O280" s="4"/>
      <c r="P280" s="4"/>
      <c r="Q280" s="4"/>
      <c r="R280" s="4"/>
      <c r="S280" s="4"/>
      <c r="T280" s="4"/>
      <c r="U280" s="4"/>
      <c r="V280" s="4"/>
      <c r="W280" s="4"/>
      <c r="X280" s="4"/>
      <c r="Y280" s="4"/>
      <c r="Z280" s="4"/>
    </row>
    <row r="281" spans="2:26" ht="15" x14ac:dyDescent="0.25">
      <c r="B281" s="4"/>
      <c r="C281" s="4"/>
      <c r="D281" s="5"/>
      <c r="E281" s="4"/>
      <c r="F281" s="4"/>
      <c r="G281" s="4"/>
      <c r="H281" s="4"/>
      <c r="I281" s="4"/>
      <c r="J281" s="4"/>
      <c r="K281" s="4"/>
      <c r="L281" s="4"/>
      <c r="M281" s="4"/>
      <c r="N281" s="4"/>
      <c r="O281" s="4"/>
      <c r="P281" s="4"/>
      <c r="Q281" s="4"/>
      <c r="R281" s="4"/>
      <c r="S281" s="4"/>
      <c r="T281" s="4"/>
      <c r="U281" s="4"/>
      <c r="V281" s="4"/>
      <c r="W281" s="4"/>
      <c r="X281" s="4"/>
      <c r="Y281" s="4"/>
      <c r="Z281" s="4"/>
    </row>
    <row r="282" spans="2:26" ht="15" x14ac:dyDescent="0.25">
      <c r="B282" s="4"/>
      <c r="C282" s="4"/>
      <c r="D282" s="5"/>
      <c r="E282" s="4"/>
      <c r="F282" s="4"/>
      <c r="G282" s="4"/>
      <c r="H282" s="4"/>
      <c r="I282" s="4"/>
      <c r="J282" s="4"/>
      <c r="K282" s="4"/>
      <c r="L282" s="4"/>
      <c r="M282" s="4"/>
      <c r="N282" s="4"/>
      <c r="O282" s="4"/>
      <c r="P282" s="4"/>
      <c r="Q282" s="4"/>
      <c r="R282" s="4"/>
      <c r="S282" s="4"/>
      <c r="T282" s="4"/>
      <c r="U282" s="4"/>
      <c r="V282" s="4"/>
      <c r="W282" s="4"/>
      <c r="X282" s="4"/>
      <c r="Y282" s="4"/>
      <c r="Z282" s="4"/>
    </row>
    <row r="283" spans="2:26" ht="15" x14ac:dyDescent="0.25">
      <c r="B283" s="4"/>
      <c r="C283" s="4"/>
      <c r="D283" s="5"/>
      <c r="E283" s="4"/>
      <c r="F283" s="4"/>
      <c r="G283" s="4"/>
      <c r="H283" s="4"/>
      <c r="I283" s="4"/>
      <c r="J283" s="4"/>
      <c r="K283" s="4"/>
      <c r="L283" s="4"/>
      <c r="M283" s="4"/>
      <c r="N283" s="4"/>
      <c r="O283" s="4"/>
      <c r="P283" s="4"/>
      <c r="Q283" s="4"/>
      <c r="R283" s="4"/>
      <c r="S283" s="4"/>
      <c r="T283" s="4"/>
      <c r="U283" s="4"/>
      <c r="V283" s="4"/>
      <c r="W283" s="4"/>
      <c r="X283" s="4"/>
      <c r="Y283" s="4"/>
      <c r="Z283" s="4"/>
    </row>
    <row r="284" spans="2:26" ht="15" x14ac:dyDescent="0.25">
      <c r="B284" s="4"/>
      <c r="C284" s="4"/>
      <c r="D284" s="5"/>
      <c r="E284" s="4"/>
      <c r="F284" s="4"/>
      <c r="G284" s="4"/>
      <c r="H284" s="4"/>
      <c r="I284" s="4"/>
      <c r="J284" s="4"/>
      <c r="K284" s="4"/>
      <c r="L284" s="4"/>
      <c r="M284" s="4"/>
      <c r="N284" s="4"/>
      <c r="O284" s="4"/>
      <c r="P284" s="4"/>
      <c r="Q284" s="4"/>
      <c r="R284" s="4"/>
      <c r="S284" s="4"/>
      <c r="T284" s="4"/>
      <c r="U284" s="4"/>
      <c r="V284" s="4"/>
      <c r="W284" s="4"/>
      <c r="X284" s="4"/>
      <c r="Y284" s="4"/>
      <c r="Z284" s="4"/>
    </row>
    <row r="285" spans="2:26" ht="15" x14ac:dyDescent="0.25">
      <c r="B285" s="4"/>
      <c r="C285" s="4"/>
      <c r="D285" s="5"/>
      <c r="E285" s="4"/>
      <c r="F285" s="4"/>
      <c r="G285" s="4"/>
      <c r="H285" s="4"/>
      <c r="I285" s="4"/>
      <c r="J285" s="4"/>
      <c r="K285" s="4"/>
      <c r="L285" s="4"/>
      <c r="M285" s="4"/>
      <c r="N285" s="4"/>
      <c r="O285" s="4"/>
      <c r="P285" s="4"/>
      <c r="Q285" s="4"/>
      <c r="R285" s="4"/>
      <c r="S285" s="4"/>
      <c r="T285" s="4"/>
      <c r="U285" s="4"/>
      <c r="V285" s="4"/>
      <c r="W285" s="4"/>
      <c r="X285" s="4"/>
      <c r="Y285" s="4"/>
      <c r="Z285" s="4"/>
    </row>
    <row r="286" spans="2:26" ht="15" x14ac:dyDescent="0.25">
      <c r="B286" s="4"/>
      <c r="C286" s="4"/>
      <c r="D286" s="5"/>
      <c r="E286" s="4"/>
      <c r="F286" s="4"/>
      <c r="G286" s="4"/>
      <c r="H286" s="4"/>
      <c r="I286" s="4"/>
      <c r="J286" s="4"/>
      <c r="K286" s="4"/>
      <c r="L286" s="4"/>
      <c r="M286" s="4"/>
      <c r="N286" s="4"/>
      <c r="O286" s="4"/>
      <c r="P286" s="4"/>
      <c r="Q286" s="4"/>
      <c r="R286" s="4"/>
      <c r="S286" s="4"/>
      <c r="T286" s="4"/>
      <c r="U286" s="4"/>
      <c r="V286" s="4"/>
      <c r="W286" s="4"/>
      <c r="X286" s="4"/>
      <c r="Y286" s="4"/>
      <c r="Z286" s="4"/>
    </row>
    <row r="287" spans="2:26" ht="15" x14ac:dyDescent="0.25">
      <c r="B287" s="4"/>
      <c r="C287" s="4"/>
      <c r="D287" s="5"/>
      <c r="E287" s="4"/>
      <c r="F287" s="4"/>
      <c r="G287" s="4"/>
      <c r="H287" s="4"/>
      <c r="I287" s="4"/>
      <c r="J287" s="4"/>
      <c r="K287" s="4"/>
      <c r="L287" s="4"/>
      <c r="M287" s="4"/>
      <c r="N287" s="4"/>
      <c r="O287" s="4"/>
      <c r="P287" s="4"/>
      <c r="Q287" s="4"/>
      <c r="R287" s="4"/>
      <c r="S287" s="4"/>
      <c r="T287" s="4"/>
      <c r="U287" s="4"/>
      <c r="V287" s="4"/>
      <c r="W287" s="4"/>
      <c r="X287" s="4"/>
      <c r="Y287" s="4"/>
      <c r="Z287" s="4"/>
    </row>
    <row r="288" spans="2:26" ht="15" x14ac:dyDescent="0.25">
      <c r="B288" s="4"/>
      <c r="C288" s="4"/>
      <c r="D288" s="5"/>
      <c r="E288" s="4"/>
      <c r="F288" s="4"/>
      <c r="G288" s="4"/>
      <c r="H288" s="4"/>
      <c r="I288" s="4"/>
      <c r="J288" s="4"/>
      <c r="K288" s="4"/>
      <c r="L288" s="4"/>
      <c r="M288" s="4"/>
      <c r="N288" s="4"/>
      <c r="O288" s="4"/>
      <c r="P288" s="4"/>
      <c r="Q288" s="4"/>
      <c r="R288" s="4"/>
      <c r="S288" s="4"/>
      <c r="T288" s="4"/>
      <c r="U288" s="4"/>
      <c r="V288" s="4"/>
      <c r="W288" s="4"/>
      <c r="X288" s="4"/>
      <c r="Y288" s="4"/>
      <c r="Z288" s="4"/>
    </row>
    <row r="289" spans="2:26" ht="15" x14ac:dyDescent="0.25">
      <c r="B289" s="4"/>
      <c r="C289" s="4"/>
      <c r="D289" s="5"/>
      <c r="E289" s="4"/>
      <c r="F289" s="4"/>
      <c r="G289" s="4"/>
      <c r="H289" s="4"/>
      <c r="I289" s="4"/>
      <c r="J289" s="4"/>
      <c r="K289" s="4"/>
      <c r="L289" s="4"/>
      <c r="M289" s="4"/>
      <c r="N289" s="4"/>
      <c r="O289" s="4"/>
      <c r="P289" s="4"/>
      <c r="Q289" s="4"/>
      <c r="R289" s="4"/>
      <c r="S289" s="4"/>
      <c r="T289" s="4"/>
      <c r="U289" s="4"/>
      <c r="V289" s="4"/>
      <c r="W289" s="4"/>
      <c r="X289" s="4"/>
      <c r="Y289" s="4"/>
      <c r="Z289" s="4"/>
    </row>
    <row r="290" spans="2:26" ht="15" x14ac:dyDescent="0.25">
      <c r="B290" s="4"/>
      <c r="C290" s="4"/>
      <c r="D290" s="5"/>
      <c r="E290" s="4"/>
      <c r="F290" s="4"/>
      <c r="G290" s="4"/>
      <c r="H290" s="4"/>
      <c r="I290" s="4"/>
      <c r="J290" s="4"/>
      <c r="K290" s="4"/>
      <c r="L290" s="4"/>
      <c r="M290" s="4"/>
      <c r="N290" s="4"/>
      <c r="O290" s="4"/>
      <c r="P290" s="4"/>
      <c r="Q290" s="4"/>
      <c r="R290" s="4"/>
      <c r="S290" s="4"/>
      <c r="T290" s="4"/>
      <c r="U290" s="4"/>
      <c r="V290" s="4"/>
      <c r="W290" s="4"/>
      <c r="X290" s="4"/>
      <c r="Y290" s="4"/>
      <c r="Z290" s="4"/>
    </row>
    <row r="291" spans="2:26" ht="15" x14ac:dyDescent="0.25">
      <c r="B291" s="4"/>
      <c r="C291" s="4"/>
      <c r="D291" s="5"/>
      <c r="E291" s="4"/>
      <c r="F291" s="4"/>
      <c r="G291" s="4"/>
      <c r="H291" s="4"/>
      <c r="I291" s="4"/>
      <c r="J291" s="4"/>
      <c r="K291" s="4"/>
      <c r="L291" s="4"/>
      <c r="M291" s="4"/>
      <c r="N291" s="4"/>
      <c r="O291" s="4"/>
      <c r="P291" s="4"/>
      <c r="Q291" s="4"/>
      <c r="R291" s="4"/>
      <c r="S291" s="4"/>
      <c r="T291" s="4"/>
      <c r="U291" s="4"/>
      <c r="V291" s="4"/>
      <c r="W291" s="4"/>
      <c r="X291" s="4"/>
      <c r="Y291" s="4"/>
      <c r="Z291" s="4"/>
    </row>
    <row r="292" spans="2:26" ht="15" x14ac:dyDescent="0.25">
      <c r="B292" s="4"/>
      <c r="C292" s="4"/>
      <c r="D292" s="5"/>
      <c r="E292" s="4"/>
      <c r="F292" s="4"/>
      <c r="G292" s="4"/>
      <c r="H292" s="4"/>
      <c r="I292" s="4"/>
      <c r="J292" s="4"/>
      <c r="K292" s="4"/>
      <c r="L292" s="4"/>
      <c r="M292" s="4"/>
      <c r="N292" s="4"/>
      <c r="O292" s="4"/>
      <c r="P292" s="4"/>
      <c r="Q292" s="4"/>
      <c r="R292" s="4"/>
      <c r="S292" s="4"/>
      <c r="T292" s="4"/>
      <c r="U292" s="4"/>
      <c r="V292" s="4"/>
      <c r="W292" s="4"/>
      <c r="X292" s="4"/>
      <c r="Y292" s="4"/>
      <c r="Z292" s="4"/>
    </row>
    <row r="293" spans="2:26" ht="15" x14ac:dyDescent="0.25">
      <c r="B293" s="4"/>
      <c r="C293" s="4"/>
      <c r="D293" s="5"/>
      <c r="E293" s="4"/>
      <c r="F293" s="4"/>
      <c r="G293" s="4"/>
      <c r="H293" s="4"/>
      <c r="I293" s="4"/>
      <c r="J293" s="4"/>
      <c r="K293" s="4"/>
      <c r="L293" s="4"/>
      <c r="M293" s="4"/>
      <c r="N293" s="4"/>
      <c r="O293" s="4"/>
      <c r="P293" s="4"/>
      <c r="Q293" s="4"/>
      <c r="R293" s="4"/>
      <c r="S293" s="4"/>
      <c r="T293" s="4"/>
      <c r="U293" s="4"/>
      <c r="V293" s="4"/>
      <c r="W293" s="4"/>
      <c r="X293" s="4"/>
      <c r="Y293" s="4"/>
      <c r="Z293" s="4"/>
    </row>
    <row r="294" spans="2:26" ht="15" x14ac:dyDescent="0.25">
      <c r="B294" s="4"/>
      <c r="C294" s="4"/>
      <c r="D294" s="5"/>
      <c r="E294" s="4"/>
      <c r="F294" s="4"/>
      <c r="G294" s="4"/>
      <c r="H294" s="4"/>
      <c r="I294" s="4"/>
      <c r="J294" s="4"/>
      <c r="K294" s="4"/>
      <c r="L294" s="4"/>
      <c r="M294" s="4"/>
      <c r="N294" s="4"/>
      <c r="O294" s="4"/>
      <c r="P294" s="4"/>
      <c r="Q294" s="4"/>
      <c r="R294" s="4"/>
      <c r="S294" s="4"/>
      <c r="T294" s="4"/>
      <c r="U294" s="4"/>
      <c r="V294" s="4"/>
      <c r="W294" s="4"/>
      <c r="X294" s="4"/>
      <c r="Y294" s="4"/>
      <c r="Z294" s="4"/>
    </row>
    <row r="295" spans="2:26" ht="15" x14ac:dyDescent="0.25">
      <c r="B295" s="4"/>
      <c r="C295" s="4"/>
      <c r="D295" s="5"/>
      <c r="E295" s="4"/>
      <c r="F295" s="4"/>
      <c r="G295" s="4"/>
      <c r="H295" s="4"/>
      <c r="I295" s="4"/>
      <c r="J295" s="4"/>
      <c r="K295" s="4"/>
      <c r="L295" s="4"/>
      <c r="M295" s="4"/>
      <c r="N295" s="4"/>
      <c r="O295" s="4"/>
      <c r="P295" s="4"/>
      <c r="Q295" s="4"/>
      <c r="R295" s="4"/>
      <c r="S295" s="4"/>
      <c r="T295" s="4"/>
      <c r="U295" s="4"/>
      <c r="V295" s="4"/>
      <c r="W295" s="4"/>
      <c r="X295" s="4"/>
      <c r="Y295" s="4"/>
      <c r="Z295" s="4"/>
    </row>
    <row r="296" spans="2:26" ht="15" x14ac:dyDescent="0.25">
      <c r="B296" s="4"/>
      <c r="C296" s="4"/>
      <c r="D296" s="5"/>
      <c r="E296" s="4"/>
      <c r="F296" s="4"/>
      <c r="G296" s="4"/>
      <c r="H296" s="4"/>
      <c r="I296" s="4"/>
      <c r="J296" s="4"/>
      <c r="K296" s="4"/>
      <c r="L296" s="4"/>
      <c r="M296" s="4"/>
      <c r="N296" s="4"/>
      <c r="O296" s="4"/>
      <c r="P296" s="4"/>
      <c r="Q296" s="4"/>
      <c r="R296" s="4"/>
      <c r="S296" s="4"/>
      <c r="T296" s="4"/>
      <c r="U296" s="4"/>
      <c r="V296" s="4"/>
      <c r="W296" s="4"/>
      <c r="X296" s="4"/>
      <c r="Y296" s="4"/>
      <c r="Z296" s="4"/>
    </row>
    <row r="297" spans="2:26" ht="15" x14ac:dyDescent="0.25">
      <c r="B297" s="4"/>
      <c r="C297" s="4"/>
      <c r="D297" s="5"/>
      <c r="E297" s="4"/>
      <c r="F297" s="4"/>
      <c r="G297" s="4"/>
      <c r="H297" s="4"/>
      <c r="I297" s="4"/>
      <c r="J297" s="4"/>
      <c r="K297" s="4"/>
      <c r="L297" s="4"/>
      <c r="M297" s="4"/>
      <c r="N297" s="4"/>
      <c r="O297" s="4"/>
      <c r="P297" s="4"/>
      <c r="Q297" s="4"/>
      <c r="R297" s="4"/>
      <c r="S297" s="4"/>
      <c r="T297" s="4"/>
      <c r="U297" s="4"/>
      <c r="V297" s="4"/>
      <c r="W297" s="4"/>
      <c r="X297" s="4"/>
      <c r="Y297" s="4"/>
      <c r="Z297" s="4"/>
    </row>
    <row r="298" spans="2:26" ht="15" x14ac:dyDescent="0.25">
      <c r="B298" s="4"/>
      <c r="C298" s="4"/>
      <c r="D298" s="5"/>
      <c r="E298" s="4"/>
      <c r="F298" s="4"/>
      <c r="G298" s="4"/>
      <c r="H298" s="4"/>
      <c r="I298" s="4"/>
      <c r="J298" s="4"/>
      <c r="K298" s="4"/>
      <c r="L298" s="4"/>
      <c r="M298" s="4"/>
      <c r="N298" s="4"/>
      <c r="O298" s="4"/>
      <c r="P298" s="4"/>
      <c r="Q298" s="4"/>
      <c r="R298" s="4"/>
      <c r="S298" s="4"/>
      <c r="T298" s="4"/>
      <c r="U298" s="4"/>
      <c r="V298" s="4"/>
      <c r="W298" s="4"/>
      <c r="X298" s="4"/>
      <c r="Y298" s="4"/>
      <c r="Z298" s="4"/>
    </row>
    <row r="299" spans="2:26" ht="15" x14ac:dyDescent="0.25">
      <c r="B299" s="4"/>
      <c r="C299" s="4"/>
      <c r="D299" s="5"/>
      <c r="E299" s="4"/>
      <c r="F299" s="4"/>
      <c r="G299" s="4"/>
      <c r="H299" s="4"/>
      <c r="I299" s="4"/>
      <c r="J299" s="4"/>
      <c r="K299" s="4"/>
      <c r="L299" s="4"/>
      <c r="M299" s="4"/>
      <c r="N299" s="4"/>
      <c r="O299" s="4"/>
      <c r="P299" s="4"/>
      <c r="Q299" s="4"/>
      <c r="R299" s="4"/>
      <c r="S299" s="4"/>
      <c r="T299" s="4"/>
      <c r="U299" s="4"/>
      <c r="V299" s="4"/>
      <c r="W299" s="4"/>
      <c r="X299" s="4"/>
      <c r="Y299" s="4"/>
      <c r="Z299" s="4"/>
    </row>
    <row r="300" spans="2:26" ht="15" x14ac:dyDescent="0.25">
      <c r="B300" s="4"/>
      <c r="C300" s="4"/>
      <c r="D300" s="5"/>
      <c r="E300" s="4"/>
      <c r="F300" s="4"/>
      <c r="G300" s="4"/>
      <c r="H300" s="4"/>
      <c r="I300" s="4"/>
      <c r="J300" s="4"/>
      <c r="K300" s="4"/>
      <c r="L300" s="4"/>
      <c r="M300" s="4"/>
      <c r="N300" s="4"/>
      <c r="O300" s="4"/>
      <c r="P300" s="4"/>
      <c r="Q300" s="4"/>
      <c r="R300" s="4"/>
      <c r="S300" s="4"/>
      <c r="T300" s="4"/>
      <c r="U300" s="4"/>
      <c r="V300" s="4"/>
      <c r="W300" s="4"/>
      <c r="X300" s="4"/>
      <c r="Y300" s="4"/>
      <c r="Z300" s="4"/>
    </row>
    <row r="301" spans="2:26" ht="15" x14ac:dyDescent="0.25">
      <c r="B301" s="4"/>
      <c r="C301" s="4"/>
      <c r="D301" s="5"/>
      <c r="E301" s="4"/>
      <c r="F301" s="4"/>
      <c r="G301" s="4"/>
      <c r="H301" s="4"/>
      <c r="I301" s="4"/>
      <c r="J301" s="4"/>
      <c r="K301" s="4"/>
      <c r="L301" s="4"/>
      <c r="M301" s="4"/>
      <c r="N301" s="4"/>
      <c r="O301" s="4"/>
      <c r="P301" s="4"/>
      <c r="Q301" s="4"/>
      <c r="R301" s="4"/>
      <c r="S301" s="4"/>
      <c r="T301" s="4"/>
      <c r="U301" s="4"/>
      <c r="V301" s="4"/>
      <c r="W301" s="4"/>
      <c r="X301" s="4"/>
      <c r="Y301" s="4"/>
      <c r="Z301" s="4"/>
    </row>
    <row r="302" spans="2:26" ht="15" x14ac:dyDescent="0.25">
      <c r="B302" s="4"/>
      <c r="C302" s="4"/>
      <c r="D302" s="5"/>
      <c r="E302" s="4"/>
      <c r="F302" s="4"/>
      <c r="G302" s="4"/>
      <c r="H302" s="4"/>
      <c r="I302" s="4"/>
      <c r="J302" s="4"/>
      <c r="K302" s="4"/>
      <c r="L302" s="4"/>
      <c r="M302" s="4"/>
      <c r="N302" s="4"/>
      <c r="O302" s="4"/>
      <c r="P302" s="4"/>
      <c r="Q302" s="4"/>
      <c r="R302" s="4"/>
      <c r="S302" s="4"/>
      <c r="T302" s="4"/>
      <c r="U302" s="4"/>
      <c r="V302" s="4"/>
      <c r="W302" s="4"/>
      <c r="X302" s="4"/>
      <c r="Y302" s="4"/>
      <c r="Z302" s="4"/>
    </row>
    <row r="303" spans="2:26" ht="15" x14ac:dyDescent="0.25">
      <c r="B303" s="4"/>
      <c r="C303" s="4"/>
      <c r="D303" s="5"/>
      <c r="E303" s="4"/>
      <c r="F303" s="4"/>
      <c r="G303" s="4"/>
      <c r="H303" s="4"/>
      <c r="I303" s="4"/>
      <c r="J303" s="4"/>
      <c r="K303" s="4"/>
      <c r="L303" s="4"/>
      <c r="M303" s="4"/>
      <c r="N303" s="4"/>
      <c r="O303" s="4"/>
      <c r="P303" s="4"/>
      <c r="Q303" s="4"/>
      <c r="R303" s="4"/>
      <c r="S303" s="4"/>
      <c r="T303" s="4"/>
      <c r="U303" s="4"/>
      <c r="V303" s="4"/>
      <c r="W303" s="4"/>
      <c r="X303" s="4"/>
      <c r="Y303" s="4"/>
      <c r="Z303" s="4"/>
    </row>
    <row r="304" spans="2:26" ht="15" x14ac:dyDescent="0.25">
      <c r="B304" s="4"/>
      <c r="C304" s="4"/>
      <c r="D304" s="5"/>
      <c r="E304" s="4"/>
      <c r="F304" s="4"/>
      <c r="G304" s="4"/>
      <c r="H304" s="4"/>
      <c r="I304" s="4"/>
      <c r="J304" s="4"/>
      <c r="K304" s="4"/>
      <c r="L304" s="4"/>
      <c r="M304" s="4"/>
      <c r="N304" s="4"/>
      <c r="O304" s="4"/>
      <c r="P304" s="4"/>
      <c r="Q304" s="4"/>
      <c r="R304" s="4"/>
      <c r="S304" s="4"/>
      <c r="T304" s="4"/>
      <c r="U304" s="4"/>
      <c r="V304" s="4"/>
      <c r="W304" s="4"/>
      <c r="X304" s="4"/>
      <c r="Y304" s="4"/>
      <c r="Z304" s="4"/>
    </row>
    <row r="305" spans="2:26" ht="15" x14ac:dyDescent="0.25">
      <c r="B305" s="4"/>
      <c r="C305" s="4"/>
      <c r="D305" s="5"/>
      <c r="E305" s="4"/>
      <c r="F305" s="4"/>
      <c r="G305" s="4"/>
      <c r="H305" s="4"/>
      <c r="I305" s="4"/>
      <c r="J305" s="4"/>
      <c r="K305" s="4"/>
      <c r="L305" s="4"/>
      <c r="M305" s="4"/>
      <c r="N305" s="4"/>
      <c r="O305" s="4"/>
      <c r="P305" s="4"/>
      <c r="Q305" s="4"/>
      <c r="R305" s="4"/>
      <c r="S305" s="4"/>
      <c r="T305" s="4"/>
      <c r="U305" s="4"/>
      <c r="V305" s="4"/>
      <c r="W305" s="4"/>
      <c r="X305" s="4"/>
      <c r="Y305" s="4"/>
      <c r="Z305" s="4"/>
    </row>
    <row r="306" spans="2:26" ht="15" x14ac:dyDescent="0.25">
      <c r="B306" s="4"/>
      <c r="C306" s="4"/>
      <c r="D306" s="5"/>
      <c r="E306" s="4"/>
      <c r="F306" s="4"/>
      <c r="G306" s="4"/>
      <c r="H306" s="4"/>
      <c r="I306" s="4"/>
      <c r="J306" s="4"/>
      <c r="K306" s="4"/>
      <c r="L306" s="4"/>
      <c r="M306" s="4"/>
      <c r="N306" s="4"/>
      <c r="O306" s="4"/>
      <c r="P306" s="4"/>
      <c r="Q306" s="4"/>
      <c r="R306" s="4"/>
      <c r="S306" s="4"/>
      <c r="T306" s="4"/>
      <c r="U306" s="4"/>
      <c r="V306" s="4"/>
      <c r="W306" s="4"/>
      <c r="X306" s="4"/>
      <c r="Y306" s="4"/>
      <c r="Z306" s="4"/>
    </row>
    <row r="307" spans="2:26" ht="15" x14ac:dyDescent="0.25">
      <c r="B307" s="4"/>
      <c r="C307" s="4"/>
      <c r="D307" s="5"/>
      <c r="E307" s="4"/>
      <c r="F307" s="4"/>
      <c r="G307" s="4"/>
      <c r="H307" s="4"/>
      <c r="I307" s="4"/>
      <c r="J307" s="4"/>
      <c r="K307" s="4"/>
      <c r="L307" s="4"/>
      <c r="M307" s="4"/>
      <c r="N307" s="4"/>
      <c r="O307" s="4"/>
      <c r="P307" s="4"/>
      <c r="Q307" s="4"/>
      <c r="R307" s="4"/>
      <c r="S307" s="4"/>
      <c r="T307" s="4"/>
      <c r="U307" s="4"/>
      <c r="V307" s="4"/>
      <c r="W307" s="4"/>
      <c r="X307" s="4"/>
      <c r="Y307" s="4"/>
      <c r="Z307" s="4"/>
    </row>
    <row r="308" spans="2:26" ht="15" x14ac:dyDescent="0.25">
      <c r="B308" s="4"/>
      <c r="C308" s="4"/>
      <c r="D308" s="5"/>
      <c r="E308" s="4"/>
      <c r="F308" s="4"/>
      <c r="G308" s="4"/>
      <c r="H308" s="4"/>
      <c r="I308" s="4"/>
      <c r="J308" s="4"/>
      <c r="K308" s="4"/>
      <c r="L308" s="4"/>
      <c r="M308" s="4"/>
      <c r="N308" s="4"/>
      <c r="O308" s="4"/>
      <c r="P308" s="4"/>
      <c r="Q308" s="4"/>
      <c r="R308" s="4"/>
      <c r="S308" s="4"/>
      <c r="T308" s="4"/>
      <c r="U308" s="4"/>
      <c r="V308" s="4"/>
      <c r="W308" s="4"/>
      <c r="X308" s="4"/>
      <c r="Y308" s="4"/>
      <c r="Z308" s="4"/>
    </row>
    <row r="309" spans="2:26" ht="15" x14ac:dyDescent="0.25">
      <c r="B309" s="4"/>
      <c r="C309" s="4"/>
      <c r="D309" s="5"/>
      <c r="E309" s="4"/>
      <c r="F309" s="4"/>
      <c r="G309" s="4"/>
      <c r="H309" s="4"/>
      <c r="I309" s="4"/>
      <c r="J309" s="4"/>
      <c r="K309" s="4"/>
      <c r="L309" s="4"/>
      <c r="M309" s="4"/>
      <c r="N309" s="4"/>
      <c r="O309" s="4"/>
      <c r="P309" s="4"/>
      <c r="Q309" s="4"/>
      <c r="R309" s="4"/>
      <c r="S309" s="4"/>
      <c r="T309" s="4"/>
      <c r="U309" s="4"/>
      <c r="V309" s="4"/>
      <c r="W309" s="4"/>
      <c r="X309" s="4"/>
      <c r="Y309" s="4"/>
      <c r="Z309" s="4"/>
    </row>
    <row r="310" spans="2:26" ht="15" x14ac:dyDescent="0.25">
      <c r="B310" s="4"/>
      <c r="C310" s="4"/>
      <c r="D310" s="5"/>
      <c r="E310" s="4"/>
      <c r="F310" s="4"/>
      <c r="G310" s="4"/>
      <c r="H310" s="4"/>
      <c r="I310" s="4"/>
      <c r="J310" s="4"/>
      <c r="K310" s="4"/>
      <c r="L310" s="4"/>
      <c r="M310" s="4"/>
      <c r="N310" s="4"/>
      <c r="O310" s="4"/>
      <c r="P310" s="4"/>
      <c r="Q310" s="4"/>
      <c r="R310" s="4"/>
      <c r="S310" s="4"/>
      <c r="T310" s="4"/>
      <c r="U310" s="4"/>
      <c r="V310" s="4"/>
      <c r="W310" s="4"/>
      <c r="X310" s="4"/>
      <c r="Y310" s="4"/>
      <c r="Z310" s="4"/>
    </row>
    <row r="311" spans="2:26" ht="15" x14ac:dyDescent="0.25">
      <c r="B311" s="4"/>
      <c r="C311" s="4"/>
      <c r="D311" s="5"/>
      <c r="E311" s="4"/>
      <c r="F311" s="4"/>
      <c r="G311" s="4"/>
      <c r="H311" s="4"/>
      <c r="I311" s="4"/>
      <c r="J311" s="4"/>
      <c r="K311" s="4"/>
      <c r="L311" s="4"/>
      <c r="M311" s="4"/>
      <c r="N311" s="4"/>
      <c r="O311" s="4"/>
      <c r="P311" s="4"/>
      <c r="Q311" s="4"/>
      <c r="R311" s="4"/>
      <c r="S311" s="4"/>
      <c r="T311" s="4"/>
      <c r="U311" s="4"/>
      <c r="V311" s="4"/>
      <c r="W311" s="4"/>
      <c r="X311" s="4"/>
      <c r="Y311" s="4"/>
      <c r="Z311" s="4"/>
    </row>
    <row r="312" spans="2:26" ht="15" x14ac:dyDescent="0.25">
      <c r="B312" s="4"/>
      <c r="C312" s="4"/>
      <c r="D312" s="5"/>
      <c r="E312" s="4"/>
      <c r="F312" s="4"/>
      <c r="G312" s="4"/>
      <c r="H312" s="4"/>
      <c r="I312" s="4"/>
      <c r="J312" s="4"/>
      <c r="K312" s="4"/>
      <c r="L312" s="4"/>
      <c r="M312" s="4"/>
      <c r="N312" s="4"/>
      <c r="O312" s="4"/>
      <c r="P312" s="4"/>
      <c r="Q312" s="4"/>
      <c r="R312" s="4"/>
      <c r="S312" s="4"/>
      <c r="T312" s="4"/>
      <c r="U312" s="4"/>
      <c r="V312" s="4"/>
      <c r="W312" s="4"/>
      <c r="X312" s="4"/>
      <c r="Y312" s="4"/>
      <c r="Z312" s="4"/>
    </row>
    <row r="313" spans="2:26" ht="15" x14ac:dyDescent="0.25">
      <c r="B313" s="4"/>
      <c r="C313" s="4"/>
      <c r="D313" s="5"/>
      <c r="E313" s="4"/>
      <c r="F313" s="4"/>
      <c r="G313" s="4"/>
      <c r="H313" s="4"/>
      <c r="I313" s="4"/>
      <c r="J313" s="4"/>
      <c r="K313" s="4"/>
      <c r="L313" s="4"/>
      <c r="M313" s="4"/>
      <c r="N313" s="4"/>
      <c r="O313" s="4"/>
      <c r="P313" s="4"/>
      <c r="Q313" s="4"/>
      <c r="R313" s="4"/>
      <c r="S313" s="4"/>
      <c r="T313" s="4"/>
      <c r="U313" s="4"/>
      <c r="V313" s="4"/>
      <c r="W313" s="4"/>
      <c r="X313" s="4"/>
      <c r="Y313" s="4"/>
      <c r="Z313" s="4"/>
    </row>
    <row r="314" spans="2:26" ht="15" x14ac:dyDescent="0.25">
      <c r="B314" s="4"/>
      <c r="C314" s="4"/>
      <c r="D314" s="5"/>
      <c r="E314" s="4"/>
      <c r="F314" s="4"/>
      <c r="G314" s="4"/>
      <c r="H314" s="4"/>
      <c r="I314" s="4"/>
      <c r="J314" s="4"/>
      <c r="K314" s="4"/>
      <c r="L314" s="4"/>
      <c r="M314" s="4"/>
      <c r="N314" s="4"/>
      <c r="O314" s="4"/>
      <c r="P314" s="4"/>
      <c r="Q314" s="4"/>
      <c r="R314" s="4"/>
      <c r="S314" s="4"/>
      <c r="T314" s="4"/>
      <c r="U314" s="4"/>
      <c r="V314" s="4"/>
      <c r="W314" s="4"/>
      <c r="X314" s="4"/>
      <c r="Y314" s="4"/>
      <c r="Z314" s="4"/>
    </row>
    <row r="315" spans="2:26" ht="15" x14ac:dyDescent="0.25">
      <c r="B315" s="4"/>
      <c r="C315" s="4"/>
      <c r="D315" s="5"/>
      <c r="E315" s="4"/>
      <c r="F315" s="4"/>
      <c r="G315" s="4"/>
      <c r="H315" s="4"/>
      <c r="I315" s="4"/>
      <c r="J315" s="4"/>
      <c r="K315" s="4"/>
      <c r="L315" s="4"/>
      <c r="M315" s="4"/>
      <c r="N315" s="4"/>
      <c r="O315" s="4"/>
      <c r="P315" s="4"/>
      <c r="Q315" s="4"/>
      <c r="R315" s="4"/>
      <c r="S315" s="4"/>
      <c r="T315" s="4"/>
      <c r="U315" s="4"/>
      <c r="V315" s="4"/>
      <c r="W315" s="4"/>
      <c r="X315" s="4"/>
      <c r="Y315" s="4"/>
      <c r="Z315" s="4"/>
    </row>
    <row r="316" spans="2:26" ht="15" x14ac:dyDescent="0.25">
      <c r="B316" s="4"/>
      <c r="C316" s="4"/>
      <c r="D316" s="5"/>
      <c r="E316" s="4"/>
      <c r="F316" s="4"/>
      <c r="G316" s="4"/>
      <c r="H316" s="4"/>
      <c r="I316" s="4"/>
      <c r="J316" s="4"/>
      <c r="K316" s="4"/>
      <c r="L316" s="4"/>
      <c r="M316" s="4"/>
      <c r="N316" s="4"/>
      <c r="O316" s="4"/>
      <c r="P316" s="4"/>
      <c r="Q316" s="4"/>
      <c r="R316" s="4"/>
      <c r="S316" s="4"/>
      <c r="T316" s="4"/>
      <c r="U316" s="4"/>
      <c r="V316" s="4"/>
      <c r="W316" s="4"/>
      <c r="X316" s="4"/>
      <c r="Y316" s="4"/>
      <c r="Z316" s="4"/>
    </row>
    <row r="317" spans="2:26" ht="15" x14ac:dyDescent="0.25">
      <c r="B317" s="4"/>
      <c r="C317" s="4"/>
      <c r="D317" s="5"/>
      <c r="E317" s="4"/>
      <c r="F317" s="4"/>
      <c r="G317" s="4"/>
      <c r="H317" s="4"/>
      <c r="I317" s="4"/>
      <c r="J317" s="4"/>
      <c r="K317" s="4"/>
      <c r="L317" s="4"/>
      <c r="M317" s="4"/>
      <c r="N317" s="4"/>
      <c r="O317" s="4"/>
      <c r="P317" s="4"/>
      <c r="Q317" s="4"/>
      <c r="R317" s="4"/>
      <c r="S317" s="4"/>
      <c r="T317" s="4"/>
      <c r="U317" s="4"/>
      <c r="V317" s="4"/>
      <c r="W317" s="4"/>
      <c r="X317" s="4"/>
      <c r="Y317" s="4"/>
      <c r="Z317" s="4"/>
    </row>
    <row r="318" spans="2:26" ht="15" x14ac:dyDescent="0.25">
      <c r="B318" s="4"/>
      <c r="C318" s="4"/>
      <c r="D318" s="5"/>
      <c r="E318" s="4"/>
      <c r="F318" s="4"/>
      <c r="G318" s="4"/>
      <c r="H318" s="4"/>
      <c r="I318" s="4"/>
      <c r="J318" s="4"/>
      <c r="K318" s="4"/>
      <c r="L318" s="4"/>
      <c r="M318" s="4"/>
      <c r="N318" s="4"/>
      <c r="O318" s="4"/>
      <c r="P318" s="4"/>
      <c r="Q318" s="4"/>
      <c r="R318" s="4"/>
      <c r="S318" s="4"/>
      <c r="T318" s="4"/>
      <c r="U318" s="4"/>
      <c r="V318" s="4"/>
      <c r="W318" s="4"/>
      <c r="X318" s="4"/>
      <c r="Y318" s="4"/>
      <c r="Z318" s="4"/>
    </row>
    <row r="319" spans="2:26" ht="15" x14ac:dyDescent="0.25">
      <c r="B319" s="4"/>
      <c r="C319" s="4"/>
      <c r="D319" s="5"/>
      <c r="E319" s="4"/>
      <c r="F319" s="4"/>
      <c r="G319" s="4"/>
      <c r="H319" s="4"/>
      <c r="I319" s="4"/>
      <c r="J319" s="4"/>
      <c r="K319" s="4"/>
      <c r="L319" s="4"/>
      <c r="M319" s="4"/>
      <c r="N319" s="4"/>
      <c r="O319" s="4"/>
      <c r="P319" s="4"/>
      <c r="Q319" s="4"/>
      <c r="R319" s="4"/>
      <c r="S319" s="4"/>
      <c r="T319" s="4"/>
      <c r="U319" s="4"/>
      <c r="V319" s="4"/>
      <c r="W319" s="4"/>
      <c r="X319" s="4"/>
      <c r="Y319" s="4"/>
      <c r="Z319" s="4"/>
    </row>
    <row r="320" spans="2:26" ht="15" x14ac:dyDescent="0.25">
      <c r="B320" s="4"/>
      <c r="C320" s="4"/>
      <c r="D320" s="5"/>
      <c r="E320" s="4"/>
      <c r="F320" s="4"/>
      <c r="G320" s="4"/>
      <c r="H320" s="4"/>
      <c r="I320" s="4"/>
      <c r="J320" s="4"/>
      <c r="K320" s="4"/>
      <c r="L320" s="4"/>
      <c r="M320" s="4"/>
      <c r="N320" s="4"/>
      <c r="O320" s="4"/>
      <c r="P320" s="4"/>
      <c r="Q320" s="4"/>
      <c r="R320" s="4"/>
      <c r="S320" s="4"/>
      <c r="T320" s="4"/>
      <c r="U320" s="4"/>
      <c r="V320" s="4"/>
      <c r="W320" s="4"/>
      <c r="X320" s="4"/>
      <c r="Y320" s="4"/>
      <c r="Z320" s="4"/>
    </row>
    <row r="321" spans="2:26" ht="15" x14ac:dyDescent="0.25">
      <c r="B321" s="4"/>
      <c r="C321" s="4"/>
      <c r="D321" s="5"/>
      <c r="E321" s="4"/>
      <c r="F321" s="4"/>
      <c r="G321" s="4"/>
      <c r="H321" s="4"/>
      <c r="I321" s="4"/>
      <c r="J321" s="4"/>
      <c r="K321" s="4"/>
      <c r="L321" s="4"/>
      <c r="M321" s="4"/>
      <c r="N321" s="4"/>
      <c r="O321" s="4"/>
      <c r="P321" s="4"/>
      <c r="Q321" s="4"/>
      <c r="R321" s="4"/>
      <c r="S321" s="4"/>
      <c r="T321" s="4"/>
      <c r="U321" s="4"/>
      <c r="V321" s="4"/>
      <c r="W321" s="4"/>
      <c r="X321" s="4"/>
      <c r="Y321" s="4"/>
      <c r="Z321" s="4"/>
    </row>
    <row r="322" spans="2:26" ht="15" x14ac:dyDescent="0.25">
      <c r="B322" s="4"/>
      <c r="C322" s="4"/>
      <c r="D322" s="5"/>
      <c r="E322" s="4"/>
      <c r="F322" s="4"/>
      <c r="G322" s="4"/>
      <c r="H322" s="4"/>
      <c r="I322" s="4"/>
      <c r="J322" s="4"/>
      <c r="K322" s="4"/>
      <c r="L322" s="4"/>
      <c r="M322" s="4"/>
      <c r="N322" s="4"/>
      <c r="O322" s="4"/>
      <c r="P322" s="4"/>
      <c r="Q322" s="4"/>
      <c r="R322" s="4"/>
      <c r="S322" s="4"/>
      <c r="T322" s="4"/>
      <c r="U322" s="4"/>
      <c r="V322" s="4"/>
      <c r="W322" s="4"/>
      <c r="X322" s="4"/>
      <c r="Y322" s="4"/>
      <c r="Z322" s="4"/>
    </row>
    <row r="323" spans="2:26" ht="15" x14ac:dyDescent="0.25">
      <c r="B323" s="4"/>
      <c r="C323" s="4"/>
      <c r="D323" s="5"/>
      <c r="E323" s="4"/>
      <c r="F323" s="4"/>
      <c r="G323" s="4"/>
      <c r="H323" s="4"/>
      <c r="I323" s="4"/>
      <c r="J323" s="4"/>
      <c r="K323" s="4"/>
      <c r="L323" s="4"/>
      <c r="M323" s="4"/>
      <c r="N323" s="4"/>
      <c r="O323" s="4"/>
      <c r="P323" s="4"/>
      <c r="Q323" s="4"/>
      <c r="R323" s="4"/>
      <c r="S323" s="4"/>
      <c r="T323" s="4"/>
      <c r="U323" s="4"/>
      <c r="V323" s="4"/>
      <c r="W323" s="4"/>
      <c r="X323" s="4"/>
      <c r="Y323" s="4"/>
      <c r="Z323" s="4"/>
    </row>
    <row r="324" spans="2:26" ht="15" x14ac:dyDescent="0.25">
      <c r="B324" s="4"/>
      <c r="C324" s="4"/>
      <c r="D324" s="5"/>
      <c r="E324" s="4"/>
      <c r="F324" s="4"/>
      <c r="G324" s="4"/>
      <c r="H324" s="4"/>
      <c r="I324" s="4"/>
      <c r="J324" s="4"/>
      <c r="K324" s="4"/>
      <c r="L324" s="4"/>
      <c r="M324" s="4"/>
      <c r="N324" s="4"/>
      <c r="O324" s="4"/>
      <c r="P324" s="4"/>
      <c r="Q324" s="4"/>
      <c r="R324" s="4"/>
      <c r="S324" s="4"/>
      <c r="T324" s="4"/>
      <c r="U324" s="4"/>
      <c r="V324" s="4"/>
      <c r="W324" s="4"/>
      <c r="X324" s="4"/>
      <c r="Y324" s="4"/>
      <c r="Z324" s="4"/>
    </row>
    <row r="325" spans="2:26" ht="15" x14ac:dyDescent="0.25">
      <c r="B325" s="4"/>
      <c r="C325" s="4"/>
      <c r="D325" s="5"/>
      <c r="E325" s="4"/>
      <c r="F325" s="4"/>
      <c r="G325" s="4"/>
      <c r="H325" s="4"/>
      <c r="I325" s="4"/>
      <c r="J325" s="4"/>
      <c r="K325" s="4"/>
      <c r="L325" s="4"/>
      <c r="M325" s="4"/>
      <c r="N325" s="4"/>
      <c r="O325" s="4"/>
      <c r="P325" s="4"/>
      <c r="Q325" s="4"/>
      <c r="R325" s="4"/>
      <c r="S325" s="4"/>
      <c r="T325" s="4"/>
      <c r="U325" s="4"/>
      <c r="V325" s="4"/>
      <c r="W325" s="4"/>
      <c r="X325" s="4"/>
      <c r="Y325" s="4"/>
      <c r="Z325" s="4"/>
    </row>
    <row r="326" spans="2:26" ht="15" x14ac:dyDescent="0.25">
      <c r="B326" s="4"/>
      <c r="C326" s="4"/>
      <c r="D326" s="5"/>
      <c r="E326" s="4"/>
      <c r="F326" s="4"/>
      <c r="G326" s="4"/>
      <c r="H326" s="4"/>
      <c r="I326" s="4"/>
      <c r="J326" s="4"/>
      <c r="K326" s="4"/>
      <c r="L326" s="4"/>
      <c r="M326" s="4"/>
      <c r="N326" s="4"/>
      <c r="O326" s="4"/>
      <c r="P326" s="4"/>
      <c r="Q326" s="4"/>
      <c r="R326" s="4"/>
      <c r="S326" s="4"/>
      <c r="T326" s="4"/>
      <c r="U326" s="4"/>
      <c r="V326" s="4"/>
      <c r="W326" s="4"/>
      <c r="X326" s="4"/>
      <c r="Y326" s="4"/>
      <c r="Z326" s="4"/>
    </row>
    <row r="327" spans="2:26" ht="15" x14ac:dyDescent="0.25">
      <c r="B327" s="4"/>
      <c r="C327" s="4"/>
      <c r="D327" s="5"/>
      <c r="E327" s="4"/>
      <c r="F327" s="4"/>
      <c r="G327" s="4"/>
      <c r="H327" s="4"/>
      <c r="I327" s="4"/>
      <c r="J327" s="4"/>
      <c r="K327" s="4"/>
      <c r="L327" s="4"/>
      <c r="M327" s="4"/>
      <c r="N327" s="4"/>
      <c r="O327" s="4"/>
      <c r="P327" s="4"/>
      <c r="Q327" s="4"/>
      <c r="R327" s="4"/>
      <c r="S327" s="4"/>
      <c r="T327" s="4"/>
      <c r="U327" s="4"/>
      <c r="V327" s="4"/>
      <c r="W327" s="4"/>
      <c r="X327" s="4"/>
      <c r="Y327" s="4"/>
      <c r="Z327" s="4"/>
    </row>
    <row r="328" spans="2:26" ht="15" x14ac:dyDescent="0.25">
      <c r="B328" s="4"/>
      <c r="C328" s="4"/>
      <c r="D328" s="5"/>
      <c r="E328" s="4"/>
      <c r="F328" s="4"/>
      <c r="G328" s="4"/>
      <c r="H328" s="4"/>
      <c r="I328" s="4"/>
      <c r="J328" s="4"/>
      <c r="K328" s="4"/>
      <c r="L328" s="4"/>
      <c r="M328" s="4"/>
      <c r="N328" s="4"/>
      <c r="O328" s="4"/>
      <c r="P328" s="4"/>
      <c r="Q328" s="4"/>
      <c r="R328" s="4"/>
      <c r="S328" s="4"/>
      <c r="T328" s="4"/>
      <c r="U328" s="4"/>
      <c r="V328" s="4"/>
      <c r="W328" s="4"/>
      <c r="X328" s="4"/>
      <c r="Y328" s="4"/>
      <c r="Z328" s="4"/>
    </row>
    <row r="329" spans="2:26" ht="15" x14ac:dyDescent="0.25">
      <c r="B329" s="4"/>
      <c r="C329" s="4"/>
      <c r="D329" s="5"/>
      <c r="E329" s="4"/>
      <c r="F329" s="4"/>
      <c r="G329" s="4"/>
      <c r="H329" s="4"/>
      <c r="I329" s="4"/>
      <c r="J329" s="4"/>
      <c r="K329" s="4"/>
      <c r="L329" s="4"/>
      <c r="M329" s="4"/>
      <c r="N329" s="4"/>
      <c r="O329" s="4"/>
      <c r="P329" s="4"/>
      <c r="Q329" s="4"/>
      <c r="R329" s="4"/>
      <c r="S329" s="4"/>
      <c r="T329" s="4"/>
      <c r="U329" s="4"/>
      <c r="V329" s="4"/>
      <c r="W329" s="4"/>
      <c r="X329" s="4"/>
      <c r="Y329" s="4"/>
      <c r="Z329" s="4"/>
    </row>
    <row r="330" spans="2:26" ht="15" x14ac:dyDescent="0.25">
      <c r="B330" s="4"/>
      <c r="C330" s="4"/>
      <c r="D330" s="5"/>
      <c r="E330" s="4"/>
      <c r="F330" s="4"/>
      <c r="G330" s="4"/>
      <c r="H330" s="4"/>
      <c r="I330" s="4"/>
      <c r="J330" s="4"/>
      <c r="K330" s="4"/>
      <c r="L330" s="4"/>
      <c r="M330" s="4"/>
      <c r="N330" s="4"/>
      <c r="O330" s="4"/>
      <c r="P330" s="4"/>
      <c r="Q330" s="4"/>
      <c r="R330" s="4"/>
      <c r="S330" s="4"/>
      <c r="T330" s="4"/>
      <c r="U330" s="4"/>
      <c r="V330" s="4"/>
      <c r="W330" s="4"/>
      <c r="X330" s="4"/>
      <c r="Y330" s="4"/>
      <c r="Z330" s="4"/>
    </row>
    <row r="331" spans="2:26" ht="15" x14ac:dyDescent="0.25">
      <c r="B331" s="4"/>
      <c r="C331" s="4"/>
      <c r="D331" s="5"/>
      <c r="E331" s="4"/>
      <c r="F331" s="4"/>
      <c r="G331" s="4"/>
      <c r="H331" s="4"/>
      <c r="I331" s="4"/>
      <c r="J331" s="4"/>
      <c r="K331" s="4"/>
      <c r="L331" s="4"/>
      <c r="M331" s="4"/>
      <c r="N331" s="4"/>
      <c r="O331" s="4"/>
      <c r="P331" s="4"/>
      <c r="Q331" s="4"/>
      <c r="R331" s="4"/>
      <c r="S331" s="4"/>
      <c r="T331" s="4"/>
      <c r="U331" s="4"/>
      <c r="V331" s="4"/>
      <c r="W331" s="4"/>
      <c r="X331" s="4"/>
      <c r="Y331" s="4"/>
      <c r="Z331" s="4"/>
    </row>
    <row r="332" spans="2:26" ht="15" x14ac:dyDescent="0.25">
      <c r="B332" s="4"/>
      <c r="C332" s="4"/>
      <c r="D332" s="5"/>
      <c r="E332" s="4"/>
      <c r="F332" s="4"/>
      <c r="G332" s="4"/>
      <c r="H332" s="4"/>
      <c r="I332" s="4"/>
      <c r="J332" s="4"/>
      <c r="K332" s="4"/>
      <c r="L332" s="4"/>
      <c r="M332" s="4"/>
      <c r="N332" s="4"/>
      <c r="O332" s="4"/>
      <c r="P332" s="4"/>
      <c r="Q332" s="4"/>
      <c r="R332" s="4"/>
      <c r="S332" s="4"/>
      <c r="T332" s="4"/>
      <c r="U332" s="4"/>
      <c r="V332" s="4"/>
      <c r="W332" s="4"/>
      <c r="X332" s="4"/>
      <c r="Y332" s="4"/>
      <c r="Z332" s="4"/>
    </row>
    <row r="333" spans="2:26" ht="15" x14ac:dyDescent="0.25">
      <c r="B333" s="4"/>
      <c r="C333" s="4"/>
      <c r="D333" s="5"/>
      <c r="E333" s="4"/>
      <c r="F333" s="4"/>
      <c r="G333" s="4"/>
      <c r="H333" s="4"/>
      <c r="I333" s="4"/>
      <c r="J333" s="4"/>
      <c r="K333" s="4"/>
      <c r="L333" s="4"/>
      <c r="M333" s="4"/>
      <c r="N333" s="4"/>
      <c r="O333" s="4"/>
      <c r="P333" s="4"/>
      <c r="Q333" s="4"/>
      <c r="R333" s="4"/>
      <c r="S333" s="4"/>
      <c r="T333" s="4"/>
      <c r="U333" s="4"/>
      <c r="V333" s="4"/>
      <c r="W333" s="4"/>
      <c r="X333" s="4"/>
      <c r="Y333" s="4"/>
      <c r="Z333" s="4"/>
    </row>
    <row r="334" spans="2:26" ht="15" x14ac:dyDescent="0.25">
      <c r="B334" s="4"/>
      <c r="C334" s="4"/>
      <c r="D334" s="5"/>
      <c r="E334" s="4"/>
      <c r="F334" s="4"/>
      <c r="G334" s="4"/>
      <c r="H334" s="4"/>
      <c r="I334" s="4"/>
      <c r="J334" s="4"/>
      <c r="K334" s="4"/>
      <c r="L334" s="4"/>
      <c r="M334" s="4"/>
      <c r="N334" s="4"/>
      <c r="O334" s="4"/>
      <c r="P334" s="4"/>
      <c r="Q334" s="4"/>
      <c r="R334" s="4"/>
      <c r="S334" s="4"/>
      <c r="T334" s="4"/>
      <c r="U334" s="4"/>
      <c r="V334" s="4"/>
      <c r="W334" s="4"/>
      <c r="X334" s="4"/>
      <c r="Y334" s="4"/>
      <c r="Z334" s="4"/>
    </row>
    <row r="335" spans="2:26" ht="15" x14ac:dyDescent="0.25">
      <c r="B335" s="4"/>
      <c r="C335" s="4"/>
      <c r="D335" s="5"/>
      <c r="E335" s="4"/>
      <c r="F335" s="4"/>
      <c r="G335" s="4"/>
      <c r="H335" s="4"/>
      <c r="I335" s="4"/>
      <c r="J335" s="4"/>
      <c r="K335" s="4"/>
      <c r="L335" s="4"/>
      <c r="M335" s="4"/>
      <c r="N335" s="4"/>
      <c r="O335" s="4"/>
      <c r="P335" s="4"/>
      <c r="Q335" s="4"/>
      <c r="R335" s="4"/>
      <c r="S335" s="4"/>
      <c r="T335" s="4"/>
      <c r="U335" s="4"/>
      <c r="V335" s="4"/>
      <c r="W335" s="4"/>
      <c r="X335" s="4"/>
      <c r="Y335" s="4"/>
      <c r="Z335" s="4"/>
    </row>
    <row r="336" spans="2:26" ht="15" x14ac:dyDescent="0.25">
      <c r="B336" s="4"/>
      <c r="C336" s="4"/>
      <c r="D336" s="5"/>
      <c r="E336" s="4"/>
      <c r="F336" s="4"/>
      <c r="G336" s="4"/>
      <c r="H336" s="4"/>
      <c r="I336" s="4"/>
      <c r="J336" s="4"/>
      <c r="K336" s="4"/>
      <c r="L336" s="4"/>
      <c r="M336" s="4"/>
      <c r="N336" s="4"/>
      <c r="O336" s="4"/>
      <c r="P336" s="4"/>
      <c r="Q336" s="4"/>
      <c r="R336" s="4"/>
      <c r="S336" s="4"/>
      <c r="T336" s="4"/>
      <c r="U336" s="4"/>
      <c r="V336" s="4"/>
      <c r="W336" s="4"/>
      <c r="X336" s="4"/>
      <c r="Y336" s="4"/>
      <c r="Z336" s="4"/>
    </row>
    <row r="337" spans="2:26" ht="15" x14ac:dyDescent="0.25">
      <c r="B337" s="4"/>
      <c r="C337" s="4"/>
      <c r="D337" s="5"/>
      <c r="E337" s="4"/>
      <c r="F337" s="4"/>
      <c r="G337" s="4"/>
      <c r="H337" s="4"/>
      <c r="I337" s="4"/>
      <c r="J337" s="4"/>
      <c r="K337" s="4"/>
      <c r="L337" s="4"/>
      <c r="M337" s="4"/>
      <c r="N337" s="4"/>
      <c r="O337" s="4"/>
      <c r="P337" s="4"/>
      <c r="Q337" s="4"/>
      <c r="R337" s="4"/>
      <c r="S337" s="4"/>
      <c r="T337" s="4"/>
      <c r="U337" s="4"/>
      <c r="V337" s="4"/>
      <c r="W337" s="4"/>
      <c r="X337" s="4"/>
      <c r="Y337" s="4"/>
      <c r="Z337" s="4"/>
    </row>
    <row r="338" spans="2:26" ht="15" x14ac:dyDescent="0.25">
      <c r="B338" s="4"/>
      <c r="C338" s="4"/>
      <c r="D338" s="5"/>
      <c r="E338" s="4"/>
      <c r="F338" s="4"/>
      <c r="G338" s="4"/>
      <c r="H338" s="4"/>
      <c r="I338" s="4"/>
      <c r="J338" s="4"/>
      <c r="K338" s="4"/>
      <c r="L338" s="4"/>
      <c r="M338" s="4"/>
      <c r="N338" s="4"/>
      <c r="O338" s="4"/>
      <c r="P338" s="4"/>
      <c r="Q338" s="4"/>
      <c r="R338" s="4"/>
      <c r="S338" s="4"/>
      <c r="T338" s="4"/>
      <c r="U338" s="4"/>
      <c r="V338" s="4"/>
      <c r="W338" s="4"/>
      <c r="X338" s="4"/>
      <c r="Y338" s="4"/>
      <c r="Z338" s="4"/>
    </row>
    <row r="339" spans="2:26" ht="15" x14ac:dyDescent="0.25">
      <c r="B339" s="4"/>
      <c r="C339" s="4"/>
      <c r="D339" s="5"/>
      <c r="E339" s="4"/>
      <c r="F339" s="4"/>
      <c r="G339" s="4"/>
      <c r="H339" s="4"/>
      <c r="I339" s="4"/>
      <c r="J339" s="4"/>
      <c r="K339" s="4"/>
      <c r="L339" s="4"/>
      <c r="M339" s="4"/>
      <c r="N339" s="4"/>
      <c r="O339" s="4"/>
      <c r="P339" s="4"/>
      <c r="Q339" s="4"/>
      <c r="R339" s="4"/>
      <c r="S339" s="4"/>
      <c r="T339" s="4"/>
      <c r="U339" s="4"/>
      <c r="V339" s="4"/>
      <c r="W339" s="4"/>
      <c r="X339" s="4"/>
      <c r="Y339" s="4"/>
      <c r="Z339" s="4"/>
    </row>
    <row r="340" spans="2:26" ht="15" x14ac:dyDescent="0.25">
      <c r="B340" s="4"/>
      <c r="C340" s="4"/>
      <c r="D340" s="5"/>
      <c r="E340" s="4"/>
      <c r="F340" s="4"/>
      <c r="G340" s="4"/>
      <c r="H340" s="4"/>
      <c r="I340" s="4"/>
      <c r="J340" s="4"/>
      <c r="K340" s="4"/>
      <c r="L340" s="4"/>
      <c r="M340" s="4"/>
      <c r="N340" s="4"/>
      <c r="O340" s="4"/>
      <c r="P340" s="4"/>
      <c r="Q340" s="4"/>
      <c r="R340" s="4"/>
      <c r="S340" s="4"/>
      <c r="T340" s="4"/>
      <c r="U340" s="4"/>
      <c r="V340" s="4"/>
      <c r="W340" s="4"/>
      <c r="X340" s="4"/>
      <c r="Y340" s="4"/>
      <c r="Z340" s="4"/>
    </row>
    <row r="341" spans="2:26" ht="15" x14ac:dyDescent="0.25">
      <c r="B341" s="4"/>
      <c r="C341" s="4"/>
      <c r="D341" s="5"/>
      <c r="E341" s="4"/>
      <c r="F341" s="4"/>
      <c r="G341" s="4"/>
      <c r="H341" s="4"/>
      <c r="I341" s="4"/>
      <c r="J341" s="4"/>
      <c r="K341" s="4"/>
      <c r="L341" s="4"/>
      <c r="M341" s="4"/>
      <c r="N341" s="4"/>
      <c r="O341" s="4"/>
      <c r="P341" s="4"/>
      <c r="Q341" s="4"/>
      <c r="R341" s="4"/>
      <c r="S341" s="4"/>
      <c r="T341" s="4"/>
      <c r="U341" s="4"/>
      <c r="V341" s="4"/>
      <c r="W341" s="4"/>
      <c r="X341" s="4"/>
      <c r="Y341" s="4"/>
      <c r="Z341" s="4"/>
    </row>
    <row r="342" spans="2:26" ht="15" x14ac:dyDescent="0.25">
      <c r="B342" s="4"/>
      <c r="C342" s="4"/>
      <c r="D342" s="5"/>
      <c r="E342" s="4"/>
      <c r="F342" s="4"/>
      <c r="G342" s="4"/>
      <c r="H342" s="4"/>
      <c r="I342" s="4"/>
      <c r="J342" s="4"/>
      <c r="K342" s="4"/>
      <c r="L342" s="4"/>
      <c r="M342" s="4"/>
      <c r="N342" s="4"/>
      <c r="O342" s="4"/>
      <c r="P342" s="4"/>
      <c r="Q342" s="4"/>
      <c r="R342" s="4"/>
      <c r="S342" s="4"/>
      <c r="T342" s="4"/>
      <c r="U342" s="4"/>
      <c r="V342" s="4"/>
      <c r="W342" s="4"/>
      <c r="X342" s="4"/>
      <c r="Y342" s="4"/>
      <c r="Z342" s="4"/>
    </row>
    <row r="343" spans="2:26" ht="15" x14ac:dyDescent="0.25">
      <c r="B343" s="4"/>
      <c r="C343" s="4"/>
      <c r="D343" s="5"/>
      <c r="E343" s="4"/>
      <c r="F343" s="4"/>
      <c r="G343" s="4"/>
      <c r="H343" s="4"/>
      <c r="I343" s="4"/>
      <c r="J343" s="4"/>
      <c r="K343" s="4"/>
      <c r="L343" s="4"/>
      <c r="M343" s="4"/>
      <c r="N343" s="4"/>
      <c r="O343" s="4"/>
      <c r="P343" s="4"/>
      <c r="Q343" s="4"/>
      <c r="R343" s="4"/>
      <c r="S343" s="4"/>
      <c r="T343" s="4"/>
      <c r="U343" s="4"/>
      <c r="V343" s="4"/>
      <c r="W343" s="4"/>
      <c r="X343" s="4"/>
      <c r="Y343" s="4"/>
      <c r="Z343" s="4"/>
    </row>
    <row r="344" spans="2:26" ht="15" x14ac:dyDescent="0.25">
      <c r="B344" s="4"/>
      <c r="C344" s="4"/>
      <c r="D344" s="5"/>
      <c r="E344" s="4"/>
      <c r="F344" s="4"/>
      <c r="G344" s="4"/>
      <c r="H344" s="4"/>
      <c r="I344" s="4"/>
      <c r="J344" s="4"/>
      <c r="K344" s="4"/>
      <c r="L344" s="4"/>
      <c r="M344" s="4"/>
      <c r="N344" s="4"/>
      <c r="O344" s="4"/>
      <c r="P344" s="4"/>
      <c r="Q344" s="4"/>
      <c r="R344" s="4"/>
      <c r="S344" s="4"/>
      <c r="T344" s="4"/>
      <c r="U344" s="4"/>
      <c r="V344" s="4"/>
      <c r="W344" s="4"/>
      <c r="X344" s="4"/>
      <c r="Y344" s="4"/>
      <c r="Z344" s="4"/>
    </row>
    <row r="345" spans="2:26" ht="15" x14ac:dyDescent="0.25">
      <c r="B345" s="4"/>
      <c r="C345" s="4"/>
      <c r="D345" s="5"/>
      <c r="E345" s="4"/>
      <c r="F345" s="4"/>
      <c r="G345" s="4"/>
      <c r="H345" s="4"/>
      <c r="I345" s="4"/>
      <c r="J345" s="4"/>
      <c r="K345" s="4"/>
      <c r="L345" s="4"/>
      <c r="M345" s="4"/>
      <c r="N345" s="4"/>
      <c r="O345" s="4"/>
      <c r="P345" s="4"/>
      <c r="Q345" s="4"/>
      <c r="R345" s="4"/>
      <c r="S345" s="4"/>
      <c r="T345" s="4"/>
      <c r="U345" s="4"/>
      <c r="V345" s="4"/>
      <c r="W345" s="4"/>
      <c r="X345" s="4"/>
      <c r="Y345" s="4"/>
      <c r="Z345" s="4"/>
    </row>
    <row r="346" spans="2:26" ht="15" x14ac:dyDescent="0.25">
      <c r="B346" s="4"/>
      <c r="C346" s="4"/>
      <c r="D346" s="5"/>
      <c r="E346" s="4"/>
      <c r="F346" s="4"/>
      <c r="G346" s="4"/>
      <c r="H346" s="4"/>
      <c r="I346" s="4"/>
      <c r="J346" s="4"/>
      <c r="K346" s="4"/>
      <c r="L346" s="4"/>
      <c r="M346" s="4"/>
      <c r="N346" s="4"/>
      <c r="O346" s="4"/>
      <c r="P346" s="4"/>
      <c r="Q346" s="4"/>
      <c r="R346" s="4"/>
      <c r="S346" s="4"/>
      <c r="T346" s="4"/>
      <c r="U346" s="4"/>
      <c r="V346" s="4"/>
      <c r="W346" s="4"/>
      <c r="X346" s="4"/>
      <c r="Y346" s="4"/>
      <c r="Z346" s="4"/>
    </row>
    <row r="347" spans="2:26" ht="15" x14ac:dyDescent="0.25">
      <c r="B347" s="4"/>
      <c r="C347" s="4"/>
      <c r="D347" s="5"/>
      <c r="E347" s="4"/>
      <c r="F347" s="4"/>
      <c r="G347" s="4"/>
      <c r="H347" s="4"/>
      <c r="I347" s="4"/>
      <c r="J347" s="4"/>
      <c r="K347" s="4"/>
      <c r="L347" s="4"/>
      <c r="M347" s="4"/>
      <c r="N347" s="4"/>
      <c r="O347" s="4"/>
      <c r="P347" s="4"/>
      <c r="Q347" s="4"/>
      <c r="R347" s="4"/>
      <c r="S347" s="4"/>
      <c r="T347" s="4"/>
      <c r="U347" s="4"/>
      <c r="V347" s="4"/>
      <c r="W347" s="4"/>
      <c r="X347" s="4"/>
      <c r="Y347" s="4"/>
      <c r="Z347" s="4"/>
    </row>
    <row r="348" spans="2:26" ht="15" x14ac:dyDescent="0.25">
      <c r="B348" s="4"/>
      <c r="C348" s="4"/>
      <c r="D348" s="5"/>
      <c r="E348" s="4"/>
      <c r="F348" s="4"/>
      <c r="G348" s="4"/>
      <c r="H348" s="4"/>
      <c r="I348" s="4"/>
      <c r="J348" s="4"/>
      <c r="K348" s="4"/>
      <c r="L348" s="4"/>
      <c r="M348" s="4"/>
      <c r="N348" s="4"/>
      <c r="O348" s="4"/>
      <c r="P348" s="4"/>
      <c r="Q348" s="4"/>
      <c r="R348" s="4"/>
      <c r="S348" s="4"/>
      <c r="T348" s="4"/>
      <c r="U348" s="4"/>
      <c r="V348" s="4"/>
      <c r="W348" s="4"/>
      <c r="X348" s="4"/>
      <c r="Y348" s="4"/>
      <c r="Z348" s="4"/>
    </row>
    <row r="349" spans="2:26" ht="15" x14ac:dyDescent="0.25">
      <c r="B349" s="4"/>
      <c r="C349" s="4"/>
      <c r="D349" s="5"/>
      <c r="E349" s="4"/>
      <c r="F349" s="4"/>
      <c r="G349" s="4"/>
      <c r="H349" s="4"/>
      <c r="I349" s="4"/>
      <c r="J349" s="4"/>
      <c r="K349" s="4"/>
      <c r="L349" s="4"/>
      <c r="M349" s="4"/>
      <c r="N349" s="4"/>
      <c r="O349" s="4"/>
      <c r="P349" s="4"/>
      <c r="Q349" s="4"/>
      <c r="R349" s="4"/>
      <c r="S349" s="4"/>
      <c r="T349" s="4"/>
      <c r="U349" s="4"/>
      <c r="V349" s="4"/>
      <c r="W349" s="4"/>
      <c r="X349" s="4"/>
      <c r="Y349" s="4"/>
      <c r="Z349" s="4"/>
    </row>
    <row r="350" spans="2:26" ht="15" x14ac:dyDescent="0.25">
      <c r="B350" s="4"/>
      <c r="C350" s="4"/>
      <c r="D350" s="5"/>
      <c r="E350" s="4"/>
      <c r="F350" s="4"/>
      <c r="G350" s="4"/>
      <c r="H350" s="4"/>
      <c r="I350" s="4"/>
      <c r="J350" s="4"/>
      <c r="K350" s="4"/>
      <c r="L350" s="4"/>
      <c r="M350" s="4"/>
      <c r="N350" s="4"/>
      <c r="O350" s="4"/>
      <c r="P350" s="4"/>
      <c r="Q350" s="4"/>
      <c r="R350" s="4"/>
      <c r="S350" s="4"/>
      <c r="T350" s="4"/>
      <c r="U350" s="4"/>
      <c r="V350" s="4"/>
      <c r="W350" s="4"/>
      <c r="X350" s="4"/>
      <c r="Y350" s="4"/>
      <c r="Z350" s="4"/>
    </row>
    <row r="351" spans="2:26" ht="15" x14ac:dyDescent="0.25">
      <c r="B351" s="4"/>
      <c r="C351" s="4"/>
      <c r="D351" s="5"/>
      <c r="E351" s="4"/>
      <c r="F351" s="4"/>
      <c r="G351" s="4"/>
      <c r="H351" s="4"/>
      <c r="I351" s="4"/>
      <c r="J351" s="4"/>
      <c r="K351" s="4"/>
      <c r="L351" s="4"/>
      <c r="M351" s="4"/>
      <c r="N351" s="4"/>
      <c r="O351" s="4"/>
      <c r="P351" s="4"/>
      <c r="Q351" s="4"/>
      <c r="R351" s="4"/>
      <c r="S351" s="4"/>
      <c r="T351" s="4"/>
      <c r="U351" s="4"/>
      <c r="V351" s="4"/>
      <c r="W351" s="4"/>
      <c r="X351" s="4"/>
      <c r="Y351" s="4"/>
      <c r="Z351" s="4"/>
    </row>
    <row r="352" spans="2:26" ht="15" x14ac:dyDescent="0.25">
      <c r="B352" s="4"/>
      <c r="C352" s="4"/>
      <c r="D352" s="5"/>
      <c r="E352" s="4"/>
      <c r="F352" s="4"/>
      <c r="G352" s="4"/>
      <c r="H352" s="4"/>
      <c r="I352" s="4"/>
      <c r="J352" s="4"/>
      <c r="K352" s="4"/>
      <c r="L352" s="4"/>
      <c r="M352" s="4"/>
      <c r="N352" s="4"/>
      <c r="O352" s="4"/>
      <c r="P352" s="4"/>
      <c r="Q352" s="4"/>
      <c r="R352" s="4"/>
      <c r="S352" s="4"/>
      <c r="T352" s="4"/>
      <c r="U352" s="4"/>
      <c r="V352" s="4"/>
      <c r="W352" s="4"/>
      <c r="X352" s="4"/>
      <c r="Y352" s="4"/>
      <c r="Z352" s="4"/>
    </row>
    <row r="353" spans="2:26" ht="15" x14ac:dyDescent="0.25">
      <c r="B353" s="4"/>
      <c r="C353" s="4"/>
      <c r="D353" s="5"/>
      <c r="E353" s="4"/>
      <c r="F353" s="4"/>
      <c r="G353" s="4"/>
      <c r="H353" s="4"/>
      <c r="I353" s="4"/>
      <c r="J353" s="4"/>
      <c r="K353" s="4"/>
      <c r="L353" s="4"/>
      <c r="M353" s="4"/>
      <c r="N353" s="4"/>
      <c r="O353" s="4"/>
      <c r="P353" s="4"/>
      <c r="Q353" s="4"/>
      <c r="R353" s="4"/>
      <c r="S353" s="4"/>
      <c r="T353" s="4"/>
      <c r="U353" s="4"/>
      <c r="V353" s="4"/>
      <c r="W353" s="4"/>
      <c r="X353" s="4"/>
      <c r="Y353" s="4"/>
      <c r="Z353" s="4"/>
    </row>
    <row r="354" spans="2:26" ht="15" x14ac:dyDescent="0.25">
      <c r="B354" s="4"/>
      <c r="C354" s="4"/>
      <c r="D354" s="5"/>
      <c r="E354" s="4"/>
      <c r="F354" s="4"/>
      <c r="G354" s="4"/>
      <c r="H354" s="4"/>
      <c r="I354" s="4"/>
      <c r="J354" s="4"/>
      <c r="K354" s="4"/>
      <c r="L354" s="4"/>
      <c r="M354" s="4"/>
      <c r="N354" s="4"/>
      <c r="O354" s="4"/>
      <c r="P354" s="4"/>
      <c r="Q354" s="4"/>
      <c r="R354" s="4"/>
      <c r="S354" s="4"/>
      <c r="T354" s="4"/>
      <c r="U354" s="4"/>
      <c r="V354" s="4"/>
      <c r="W354" s="4"/>
      <c r="X354" s="4"/>
      <c r="Y354" s="4"/>
      <c r="Z354" s="4"/>
    </row>
    <row r="355" spans="2:26" ht="15" x14ac:dyDescent="0.25">
      <c r="B355" s="4"/>
      <c r="C355" s="4"/>
      <c r="D355" s="5"/>
      <c r="E355" s="4"/>
      <c r="F355" s="4"/>
      <c r="G355" s="4"/>
      <c r="H355" s="4"/>
      <c r="I355" s="4"/>
      <c r="J355" s="4"/>
      <c r="K355" s="4"/>
      <c r="L355" s="4"/>
      <c r="M355" s="4"/>
      <c r="N355" s="4"/>
      <c r="O355" s="4"/>
      <c r="P355" s="4"/>
      <c r="Q355" s="4"/>
      <c r="R355" s="4"/>
      <c r="S355" s="4"/>
      <c r="T355" s="4"/>
      <c r="U355" s="4"/>
      <c r="V355" s="4"/>
      <c r="W355" s="4"/>
      <c r="X355" s="4"/>
      <c r="Y355" s="4"/>
      <c r="Z355" s="4"/>
    </row>
    <row r="356" spans="2:26" ht="15" x14ac:dyDescent="0.25">
      <c r="B356" s="4"/>
      <c r="C356" s="4"/>
      <c r="D356" s="5"/>
      <c r="E356" s="4"/>
      <c r="F356" s="4"/>
      <c r="G356" s="4"/>
      <c r="H356" s="4"/>
      <c r="I356" s="4"/>
      <c r="J356" s="4"/>
      <c r="K356" s="4"/>
      <c r="L356" s="4"/>
      <c r="M356" s="4"/>
      <c r="N356" s="4"/>
      <c r="O356" s="4"/>
      <c r="P356" s="4"/>
      <c r="Q356" s="4"/>
      <c r="R356" s="4"/>
      <c r="S356" s="4"/>
      <c r="T356" s="4"/>
      <c r="U356" s="4"/>
      <c r="V356" s="4"/>
      <c r="W356" s="4"/>
      <c r="X356" s="4"/>
      <c r="Y356" s="4"/>
      <c r="Z356" s="4"/>
    </row>
    <row r="357" spans="2:26" ht="15" x14ac:dyDescent="0.25">
      <c r="B357" s="4"/>
      <c r="C357" s="4"/>
      <c r="D357" s="5"/>
      <c r="E357" s="4"/>
      <c r="F357" s="4"/>
      <c r="G357" s="4"/>
      <c r="H357" s="4"/>
      <c r="I357" s="4"/>
      <c r="J357" s="4"/>
      <c r="K357" s="4"/>
      <c r="L357" s="4"/>
      <c r="M357" s="4"/>
      <c r="N357" s="4"/>
      <c r="O357" s="4"/>
      <c r="P357" s="4"/>
      <c r="Q357" s="4"/>
      <c r="R357" s="4"/>
      <c r="S357" s="4"/>
      <c r="T357" s="4"/>
      <c r="U357" s="4"/>
      <c r="V357" s="4"/>
      <c r="W357" s="4"/>
      <c r="X357" s="4"/>
      <c r="Y357" s="4"/>
      <c r="Z357" s="4"/>
    </row>
    <row r="358" spans="2:26" ht="15" x14ac:dyDescent="0.25">
      <c r="B358" s="4"/>
      <c r="C358" s="4"/>
      <c r="D358" s="5"/>
      <c r="E358" s="4"/>
      <c r="F358" s="4"/>
      <c r="G358" s="4"/>
      <c r="H358" s="4"/>
      <c r="I358" s="4"/>
      <c r="J358" s="4"/>
      <c r="K358" s="4"/>
      <c r="L358" s="4"/>
      <c r="M358" s="4"/>
      <c r="N358" s="4"/>
      <c r="O358" s="4"/>
      <c r="P358" s="4"/>
      <c r="Q358" s="4"/>
      <c r="R358" s="4"/>
      <c r="S358" s="4"/>
      <c r="T358" s="4"/>
      <c r="U358" s="4"/>
      <c r="V358" s="4"/>
      <c r="W358" s="4"/>
      <c r="X358" s="4"/>
      <c r="Y358" s="4"/>
      <c r="Z358" s="4"/>
    </row>
    <row r="359" spans="2:26" ht="15" x14ac:dyDescent="0.25">
      <c r="B359" s="4"/>
      <c r="C359" s="4"/>
      <c r="D359" s="5"/>
      <c r="E359" s="4"/>
      <c r="F359" s="4"/>
      <c r="G359" s="4"/>
      <c r="H359" s="4"/>
      <c r="I359" s="4"/>
      <c r="J359" s="4"/>
      <c r="K359" s="4"/>
      <c r="L359" s="4"/>
      <c r="M359" s="4"/>
      <c r="N359" s="4"/>
      <c r="O359" s="4"/>
      <c r="P359" s="4"/>
      <c r="Q359" s="4"/>
      <c r="R359" s="4"/>
      <c r="S359" s="4"/>
      <c r="T359" s="4"/>
      <c r="U359" s="4"/>
      <c r="V359" s="4"/>
      <c r="W359" s="4"/>
      <c r="X359" s="4"/>
      <c r="Y359" s="4"/>
      <c r="Z359" s="4"/>
    </row>
    <row r="360" spans="2:26" ht="15" x14ac:dyDescent="0.25">
      <c r="B360" s="4"/>
      <c r="C360" s="4"/>
      <c r="D360" s="5"/>
      <c r="E360" s="4"/>
      <c r="F360" s="4"/>
      <c r="G360" s="4"/>
      <c r="H360" s="4"/>
      <c r="I360" s="4"/>
      <c r="J360" s="4"/>
      <c r="K360" s="4"/>
      <c r="L360" s="4"/>
      <c r="M360" s="4"/>
      <c r="N360" s="4"/>
      <c r="O360" s="4"/>
      <c r="P360" s="4"/>
      <c r="Q360" s="4"/>
      <c r="R360" s="4"/>
      <c r="S360" s="4"/>
      <c r="T360" s="4"/>
      <c r="U360" s="4"/>
      <c r="V360" s="4"/>
      <c r="W360" s="4"/>
      <c r="X360" s="4"/>
      <c r="Y360" s="4"/>
      <c r="Z360" s="4"/>
    </row>
    <row r="361" spans="2:26" ht="15" x14ac:dyDescent="0.25">
      <c r="B361" s="4"/>
      <c r="C361" s="4"/>
      <c r="D361" s="5"/>
      <c r="E361" s="4"/>
      <c r="F361" s="4"/>
      <c r="G361" s="4"/>
      <c r="H361" s="4"/>
      <c r="I361" s="4"/>
      <c r="J361" s="4"/>
      <c r="K361" s="4"/>
      <c r="L361" s="4"/>
      <c r="M361" s="4"/>
      <c r="N361" s="4"/>
      <c r="O361" s="4"/>
      <c r="P361" s="4"/>
      <c r="Q361" s="4"/>
      <c r="R361" s="4"/>
      <c r="S361" s="4"/>
      <c r="T361" s="4"/>
      <c r="U361" s="4"/>
      <c r="V361" s="4"/>
      <c r="W361" s="4"/>
      <c r="X361" s="4"/>
      <c r="Y361" s="4"/>
      <c r="Z361" s="4"/>
    </row>
    <row r="362" spans="2:26" ht="15" x14ac:dyDescent="0.25">
      <c r="B362" s="4"/>
      <c r="C362" s="4"/>
      <c r="D362" s="5"/>
      <c r="E362" s="4"/>
      <c r="F362" s="4"/>
      <c r="G362" s="4"/>
      <c r="H362" s="4"/>
      <c r="I362" s="4"/>
      <c r="J362" s="4"/>
      <c r="K362" s="4"/>
      <c r="L362" s="4"/>
      <c r="M362" s="4"/>
      <c r="N362" s="4"/>
      <c r="O362" s="4"/>
      <c r="P362" s="4"/>
      <c r="Q362" s="4"/>
      <c r="R362" s="4"/>
      <c r="S362" s="4"/>
      <c r="T362" s="4"/>
      <c r="U362" s="4"/>
      <c r="V362" s="4"/>
      <c r="W362" s="4"/>
      <c r="X362" s="4"/>
      <c r="Y362" s="4"/>
      <c r="Z362" s="4"/>
    </row>
    <row r="363" spans="2:26" ht="15" x14ac:dyDescent="0.25">
      <c r="B363" s="4"/>
      <c r="C363" s="4"/>
      <c r="D363" s="5"/>
      <c r="E363" s="4"/>
      <c r="F363" s="4"/>
      <c r="G363" s="4"/>
      <c r="H363" s="4"/>
      <c r="I363" s="4"/>
      <c r="J363" s="4"/>
      <c r="K363" s="4"/>
      <c r="L363" s="4"/>
      <c r="M363" s="4"/>
      <c r="N363" s="4"/>
      <c r="O363" s="4"/>
      <c r="P363" s="4"/>
      <c r="Q363" s="4"/>
      <c r="R363" s="4"/>
      <c r="S363" s="4"/>
      <c r="T363" s="4"/>
      <c r="U363" s="4"/>
      <c r="V363" s="4"/>
      <c r="W363" s="4"/>
      <c r="X363" s="4"/>
      <c r="Y363" s="4"/>
      <c r="Z363" s="4"/>
    </row>
    <row r="364" spans="2:26" ht="15" x14ac:dyDescent="0.25">
      <c r="B364" s="4"/>
      <c r="C364" s="4"/>
      <c r="D364" s="5"/>
      <c r="E364" s="4"/>
      <c r="F364" s="4"/>
      <c r="G364" s="4"/>
      <c r="H364" s="4"/>
      <c r="I364" s="4"/>
      <c r="J364" s="4"/>
      <c r="K364" s="4"/>
      <c r="L364" s="4"/>
      <c r="M364" s="4"/>
      <c r="N364" s="4"/>
      <c r="O364" s="4"/>
      <c r="P364" s="4"/>
      <c r="Q364" s="4"/>
      <c r="R364" s="4"/>
      <c r="S364" s="4"/>
      <c r="T364" s="4"/>
      <c r="U364" s="4"/>
      <c r="V364" s="4"/>
      <c r="W364" s="4"/>
      <c r="X364" s="4"/>
      <c r="Y364" s="4"/>
      <c r="Z364" s="4"/>
    </row>
    <row r="365" spans="2:26" ht="15" x14ac:dyDescent="0.25">
      <c r="B365" s="4"/>
      <c r="C365" s="4"/>
      <c r="D365" s="5"/>
      <c r="E365" s="4"/>
      <c r="F365" s="4"/>
      <c r="G365" s="4"/>
      <c r="H365" s="4"/>
      <c r="I365" s="4"/>
      <c r="J365" s="4"/>
      <c r="K365" s="4"/>
      <c r="L365" s="4"/>
      <c r="M365" s="4"/>
      <c r="N365" s="4"/>
      <c r="O365" s="4"/>
      <c r="P365" s="4"/>
      <c r="Q365" s="4"/>
      <c r="R365" s="4"/>
      <c r="S365" s="4"/>
      <c r="T365" s="4"/>
      <c r="U365" s="4"/>
      <c r="V365" s="4"/>
      <c r="W365" s="4"/>
      <c r="X365" s="4"/>
      <c r="Y365" s="4"/>
      <c r="Z365" s="4"/>
    </row>
    <row r="366" spans="2:26" ht="15" x14ac:dyDescent="0.25">
      <c r="B366" s="4"/>
      <c r="C366" s="4"/>
      <c r="D366" s="5"/>
      <c r="E366" s="4"/>
      <c r="F366" s="4"/>
      <c r="G366" s="4"/>
      <c r="H366" s="4"/>
      <c r="I366" s="4"/>
      <c r="J366" s="4"/>
      <c r="K366" s="4"/>
      <c r="L366" s="4"/>
      <c r="M366" s="4"/>
      <c r="N366" s="4"/>
      <c r="O366" s="4"/>
      <c r="P366" s="4"/>
      <c r="Q366" s="4"/>
      <c r="R366" s="4"/>
      <c r="S366" s="4"/>
      <c r="T366" s="4"/>
      <c r="U366" s="4"/>
      <c r="V366" s="4"/>
      <c r="W366" s="4"/>
      <c r="X366" s="4"/>
      <c r="Y366" s="4"/>
      <c r="Z366" s="4"/>
    </row>
    <row r="367" spans="2:26" ht="15" x14ac:dyDescent="0.25">
      <c r="B367" s="4"/>
      <c r="C367" s="4"/>
      <c r="D367" s="5"/>
      <c r="E367" s="4"/>
      <c r="F367" s="4"/>
      <c r="G367" s="4"/>
      <c r="H367" s="4"/>
      <c r="I367" s="4"/>
      <c r="J367" s="4"/>
      <c r="K367" s="4"/>
      <c r="L367" s="4"/>
      <c r="M367" s="4"/>
      <c r="N367" s="4"/>
      <c r="O367" s="4"/>
      <c r="P367" s="4"/>
      <c r="Q367" s="4"/>
      <c r="R367" s="4"/>
      <c r="S367" s="4"/>
      <c r="T367" s="4"/>
      <c r="U367" s="4"/>
      <c r="V367" s="4"/>
      <c r="W367" s="4"/>
      <c r="X367" s="4"/>
      <c r="Y367" s="4"/>
      <c r="Z367" s="4"/>
    </row>
    <row r="368" spans="2:26" ht="15" x14ac:dyDescent="0.25">
      <c r="B368" s="4"/>
      <c r="C368" s="4"/>
      <c r="D368" s="5"/>
      <c r="E368" s="4"/>
      <c r="F368" s="4"/>
      <c r="G368" s="4"/>
      <c r="H368" s="4"/>
      <c r="I368" s="4"/>
      <c r="J368" s="4"/>
      <c r="K368" s="4"/>
      <c r="L368" s="4"/>
      <c r="M368" s="4"/>
      <c r="N368" s="4"/>
      <c r="O368" s="4"/>
      <c r="P368" s="4"/>
      <c r="Q368" s="4"/>
      <c r="R368" s="4"/>
      <c r="S368" s="4"/>
      <c r="T368" s="4"/>
      <c r="U368" s="4"/>
      <c r="V368" s="4"/>
      <c r="W368" s="4"/>
      <c r="X368" s="4"/>
      <c r="Y368" s="4"/>
      <c r="Z368" s="4"/>
    </row>
    <row r="369" spans="2:26" ht="15" x14ac:dyDescent="0.25">
      <c r="B369" s="4"/>
      <c r="C369" s="4"/>
      <c r="D369" s="5"/>
      <c r="E369" s="4"/>
      <c r="F369" s="4"/>
      <c r="G369" s="4"/>
      <c r="H369" s="4"/>
      <c r="I369" s="4"/>
      <c r="J369" s="4"/>
      <c r="K369" s="4"/>
      <c r="L369" s="4"/>
      <c r="M369" s="4"/>
      <c r="N369" s="4"/>
      <c r="O369" s="4"/>
      <c r="P369" s="4"/>
      <c r="Q369" s="4"/>
      <c r="R369" s="4"/>
      <c r="S369" s="4"/>
      <c r="T369" s="4"/>
      <c r="U369" s="4"/>
      <c r="V369" s="4"/>
      <c r="W369" s="4"/>
      <c r="X369" s="4"/>
      <c r="Y369" s="4"/>
      <c r="Z369" s="4"/>
    </row>
    <row r="370" spans="2:26" ht="15" x14ac:dyDescent="0.25">
      <c r="B370" s="4"/>
      <c r="C370" s="4"/>
      <c r="D370" s="5"/>
      <c r="E370" s="4"/>
      <c r="F370" s="4"/>
      <c r="G370" s="4"/>
      <c r="H370" s="4"/>
      <c r="I370" s="4"/>
      <c r="J370" s="4"/>
      <c r="K370" s="4"/>
      <c r="L370" s="4"/>
      <c r="M370" s="4"/>
      <c r="N370" s="4"/>
      <c r="O370" s="4"/>
      <c r="P370" s="4"/>
      <c r="Q370" s="4"/>
      <c r="R370" s="4"/>
      <c r="S370" s="4"/>
      <c r="T370" s="4"/>
      <c r="U370" s="4"/>
      <c r="V370" s="4"/>
      <c r="W370" s="4"/>
      <c r="X370" s="4"/>
      <c r="Y370" s="4"/>
      <c r="Z370" s="4"/>
    </row>
    <row r="371" spans="2:26" ht="15" x14ac:dyDescent="0.25">
      <c r="B371" s="4"/>
      <c r="C371" s="4"/>
      <c r="D371" s="5"/>
      <c r="E371" s="4"/>
      <c r="F371" s="4"/>
      <c r="G371" s="4"/>
      <c r="H371" s="4"/>
      <c r="I371" s="4"/>
      <c r="J371" s="4"/>
      <c r="K371" s="4"/>
      <c r="L371" s="4"/>
      <c r="M371" s="4"/>
      <c r="N371" s="4"/>
      <c r="O371" s="4"/>
      <c r="P371" s="4"/>
      <c r="Q371" s="4"/>
      <c r="R371" s="4"/>
      <c r="S371" s="4"/>
      <c r="T371" s="4"/>
      <c r="U371" s="4"/>
      <c r="V371" s="4"/>
      <c r="W371" s="4"/>
      <c r="X371" s="4"/>
      <c r="Y371" s="4"/>
      <c r="Z371" s="4"/>
    </row>
    <row r="372" spans="2:26" ht="15" x14ac:dyDescent="0.25">
      <c r="B372" s="4"/>
      <c r="C372" s="4"/>
      <c r="D372" s="5"/>
      <c r="E372" s="4"/>
      <c r="F372" s="4"/>
      <c r="G372" s="4"/>
      <c r="H372" s="4"/>
      <c r="I372" s="4"/>
      <c r="J372" s="4"/>
      <c r="K372" s="4"/>
      <c r="L372" s="4"/>
      <c r="M372" s="4"/>
      <c r="N372" s="4"/>
      <c r="O372" s="4"/>
      <c r="P372" s="4"/>
      <c r="Q372" s="4"/>
      <c r="R372" s="4"/>
      <c r="S372" s="4"/>
      <c r="T372" s="4"/>
      <c r="U372" s="4"/>
      <c r="V372" s="4"/>
      <c r="W372" s="4"/>
      <c r="X372" s="4"/>
      <c r="Y372" s="4"/>
      <c r="Z372" s="4"/>
    </row>
    <row r="373" spans="2:26" ht="15" x14ac:dyDescent="0.25">
      <c r="B373" s="4"/>
      <c r="C373" s="4"/>
      <c r="D373" s="5"/>
      <c r="E373" s="4"/>
      <c r="F373" s="4"/>
      <c r="G373" s="4"/>
      <c r="H373" s="4"/>
      <c r="I373" s="4"/>
      <c r="J373" s="4"/>
      <c r="K373" s="4"/>
      <c r="L373" s="4"/>
      <c r="M373" s="4"/>
      <c r="N373" s="4"/>
      <c r="O373" s="4"/>
      <c r="P373" s="4"/>
      <c r="Q373" s="4"/>
      <c r="R373" s="4"/>
      <c r="S373" s="4"/>
      <c r="T373" s="4"/>
      <c r="U373" s="4"/>
      <c r="V373" s="4"/>
      <c r="W373" s="4"/>
      <c r="X373" s="4"/>
      <c r="Y373" s="4"/>
      <c r="Z373" s="4"/>
    </row>
    <row r="374" spans="2:26" ht="15" x14ac:dyDescent="0.25">
      <c r="B374" s="4"/>
      <c r="C374" s="4"/>
      <c r="D374" s="5"/>
      <c r="E374" s="4"/>
      <c r="F374" s="4"/>
      <c r="G374" s="4"/>
      <c r="H374" s="4"/>
      <c r="I374" s="4"/>
      <c r="J374" s="4"/>
      <c r="K374" s="4"/>
      <c r="L374" s="4"/>
      <c r="M374" s="4"/>
      <c r="N374" s="4"/>
      <c r="O374" s="4"/>
      <c r="P374" s="4"/>
      <c r="Q374" s="4"/>
      <c r="R374" s="4"/>
      <c r="S374" s="4"/>
      <c r="T374" s="4"/>
      <c r="U374" s="4"/>
      <c r="V374" s="4"/>
      <c r="W374" s="4"/>
      <c r="X374" s="4"/>
      <c r="Y374" s="4"/>
      <c r="Z374" s="4"/>
    </row>
    <row r="375" spans="2:26" ht="15" x14ac:dyDescent="0.25">
      <c r="B375" s="4"/>
      <c r="C375" s="4"/>
      <c r="D375" s="5"/>
      <c r="E375" s="4"/>
      <c r="F375" s="4"/>
      <c r="G375" s="4"/>
      <c r="H375" s="4"/>
      <c r="I375" s="4"/>
      <c r="J375" s="4"/>
      <c r="K375" s="4"/>
      <c r="L375" s="4"/>
      <c r="M375" s="4"/>
      <c r="N375" s="4"/>
      <c r="O375" s="4"/>
      <c r="P375" s="4"/>
      <c r="Q375" s="4"/>
      <c r="R375" s="4"/>
      <c r="S375" s="4"/>
      <c r="T375" s="4"/>
      <c r="U375" s="4"/>
      <c r="V375" s="4"/>
      <c r="W375" s="4"/>
      <c r="X375" s="4"/>
      <c r="Y375" s="4"/>
      <c r="Z375" s="4"/>
    </row>
    <row r="376" spans="2:26" ht="15" x14ac:dyDescent="0.25">
      <c r="B376" s="4"/>
      <c r="C376" s="4"/>
      <c r="D376" s="5"/>
      <c r="E376" s="4"/>
      <c r="F376" s="4"/>
      <c r="G376" s="4"/>
      <c r="H376" s="4"/>
      <c r="I376" s="4"/>
      <c r="J376" s="4"/>
      <c r="K376" s="4"/>
      <c r="L376" s="4"/>
      <c r="M376" s="4"/>
      <c r="N376" s="4"/>
      <c r="O376" s="4"/>
      <c r="P376" s="4"/>
      <c r="Q376" s="4"/>
      <c r="R376" s="4"/>
      <c r="S376" s="4"/>
      <c r="T376" s="4"/>
      <c r="U376" s="4"/>
      <c r="V376" s="4"/>
      <c r="W376" s="4"/>
      <c r="X376" s="4"/>
      <c r="Y376" s="4"/>
      <c r="Z376" s="4"/>
    </row>
    <row r="377" spans="2:26" ht="15" x14ac:dyDescent="0.25">
      <c r="B377" s="4"/>
      <c r="C377" s="4"/>
      <c r="D377" s="5"/>
      <c r="E377" s="4"/>
      <c r="F377" s="4"/>
      <c r="G377" s="4"/>
      <c r="H377" s="4"/>
      <c r="I377" s="4"/>
      <c r="J377" s="4"/>
      <c r="K377" s="4"/>
      <c r="L377" s="4"/>
      <c r="M377" s="4"/>
      <c r="N377" s="4"/>
      <c r="O377" s="4"/>
      <c r="P377" s="4"/>
      <c r="Q377" s="4"/>
      <c r="R377" s="4"/>
      <c r="S377" s="4"/>
      <c r="T377" s="4"/>
      <c r="U377" s="4"/>
      <c r="V377" s="4"/>
      <c r="W377" s="4"/>
      <c r="X377" s="4"/>
      <c r="Y377" s="4"/>
      <c r="Z377" s="4"/>
    </row>
    <row r="378" spans="2:26" ht="15" x14ac:dyDescent="0.25">
      <c r="B378" s="4"/>
      <c r="C378" s="4"/>
      <c r="D378" s="5"/>
      <c r="E378" s="4"/>
      <c r="F378" s="4"/>
      <c r="G378" s="4"/>
      <c r="H378" s="4"/>
      <c r="I378" s="4"/>
      <c r="J378" s="4"/>
      <c r="K378" s="4"/>
      <c r="L378" s="4"/>
      <c r="M378" s="4"/>
      <c r="N378" s="4"/>
      <c r="O378" s="4"/>
      <c r="P378" s="4"/>
      <c r="Q378" s="4"/>
      <c r="R378" s="4"/>
      <c r="S378" s="4"/>
      <c r="T378" s="4"/>
      <c r="U378" s="4"/>
      <c r="V378" s="4"/>
      <c r="W378" s="4"/>
      <c r="X378" s="4"/>
      <c r="Y378" s="4"/>
      <c r="Z378" s="4"/>
    </row>
    <row r="379" spans="2:26" ht="15" x14ac:dyDescent="0.25">
      <c r="B379" s="4"/>
      <c r="C379" s="4"/>
      <c r="D379" s="5"/>
      <c r="E379" s="4"/>
      <c r="F379" s="4"/>
      <c r="G379" s="4"/>
      <c r="H379" s="4"/>
      <c r="I379" s="4"/>
      <c r="J379" s="4"/>
      <c r="K379" s="4"/>
      <c r="L379" s="4"/>
      <c r="M379" s="4"/>
      <c r="N379" s="4"/>
      <c r="O379" s="4"/>
      <c r="P379" s="4"/>
      <c r="Q379" s="4"/>
      <c r="R379" s="4"/>
      <c r="S379" s="4"/>
      <c r="T379" s="4"/>
      <c r="U379" s="4"/>
      <c r="V379" s="4"/>
      <c r="W379" s="4"/>
      <c r="X379" s="4"/>
      <c r="Y379" s="4"/>
      <c r="Z379" s="4"/>
    </row>
    <row r="380" spans="2:26" ht="15" x14ac:dyDescent="0.25">
      <c r="B380" s="4"/>
      <c r="C380" s="4"/>
      <c r="D380" s="5"/>
      <c r="E380" s="4"/>
      <c r="F380" s="4"/>
      <c r="G380" s="4"/>
      <c r="H380" s="4"/>
      <c r="I380" s="4"/>
      <c r="J380" s="4"/>
      <c r="K380" s="4"/>
      <c r="L380" s="4"/>
      <c r="M380" s="4"/>
      <c r="N380" s="4"/>
      <c r="O380" s="4"/>
      <c r="P380" s="4"/>
      <c r="Q380" s="4"/>
      <c r="R380" s="4"/>
      <c r="S380" s="4"/>
      <c r="T380" s="4"/>
      <c r="U380" s="4"/>
      <c r="V380" s="4"/>
      <c r="W380" s="4"/>
      <c r="X380" s="4"/>
      <c r="Y380" s="4"/>
      <c r="Z380" s="4"/>
    </row>
    <row r="381" spans="2:26" ht="15" x14ac:dyDescent="0.25">
      <c r="B381" s="4"/>
      <c r="C381" s="4"/>
      <c r="D381" s="5"/>
      <c r="E381" s="4"/>
      <c r="F381" s="4"/>
      <c r="G381" s="4"/>
      <c r="H381" s="4"/>
      <c r="I381" s="4"/>
      <c r="J381" s="4"/>
      <c r="K381" s="4"/>
      <c r="L381" s="4"/>
      <c r="M381" s="4"/>
      <c r="N381" s="4"/>
      <c r="O381" s="4"/>
      <c r="P381" s="4"/>
      <c r="Q381" s="4"/>
      <c r="R381" s="4"/>
      <c r="S381" s="4"/>
      <c r="T381" s="4"/>
      <c r="U381" s="4"/>
      <c r="V381" s="4"/>
      <c r="W381" s="4"/>
      <c r="X381" s="4"/>
      <c r="Y381" s="4"/>
      <c r="Z381" s="4"/>
    </row>
    <row r="382" spans="2:26" ht="15" x14ac:dyDescent="0.25">
      <c r="B382" s="4"/>
      <c r="C382" s="4"/>
      <c r="D382" s="5"/>
      <c r="E382" s="4"/>
      <c r="F382" s="4"/>
      <c r="G382" s="4"/>
      <c r="H382" s="4"/>
      <c r="I382" s="4"/>
      <c r="J382" s="4"/>
      <c r="K382" s="4"/>
      <c r="L382" s="4"/>
      <c r="M382" s="4"/>
      <c r="N382" s="4"/>
      <c r="O382" s="4"/>
      <c r="P382" s="4"/>
      <c r="Q382" s="4"/>
      <c r="R382" s="4"/>
      <c r="S382" s="4"/>
      <c r="T382" s="4"/>
      <c r="U382" s="4"/>
      <c r="V382" s="4"/>
      <c r="W382" s="4"/>
      <c r="X382" s="4"/>
      <c r="Y382" s="4"/>
      <c r="Z382" s="4"/>
    </row>
    <row r="383" spans="2:26" ht="15" x14ac:dyDescent="0.25">
      <c r="B383" s="4"/>
      <c r="C383" s="4"/>
      <c r="D383" s="5"/>
      <c r="E383" s="4"/>
      <c r="F383" s="4"/>
      <c r="G383" s="4"/>
      <c r="H383" s="4"/>
      <c r="I383" s="4"/>
      <c r="J383" s="4"/>
      <c r="K383" s="4"/>
      <c r="L383" s="4"/>
      <c r="M383" s="4"/>
      <c r="N383" s="4"/>
      <c r="O383" s="4"/>
      <c r="P383" s="4"/>
      <c r="Q383" s="4"/>
      <c r="R383" s="4"/>
      <c r="S383" s="4"/>
      <c r="T383" s="4"/>
      <c r="U383" s="4"/>
      <c r="V383" s="4"/>
      <c r="W383" s="4"/>
      <c r="X383" s="4"/>
      <c r="Y383" s="4"/>
      <c r="Z383" s="4"/>
    </row>
    <row r="384" spans="2:26" ht="15" x14ac:dyDescent="0.25">
      <c r="B384" s="4"/>
      <c r="C384" s="4"/>
      <c r="D384" s="5"/>
      <c r="E384" s="4"/>
      <c r="F384" s="4"/>
      <c r="G384" s="4"/>
      <c r="H384" s="4"/>
      <c r="I384" s="4"/>
      <c r="J384" s="4"/>
      <c r="K384" s="4"/>
      <c r="L384" s="4"/>
      <c r="M384" s="4"/>
      <c r="N384" s="4"/>
      <c r="O384" s="4"/>
      <c r="P384" s="4"/>
      <c r="Q384" s="4"/>
      <c r="R384" s="4"/>
      <c r="S384" s="4"/>
      <c r="T384" s="4"/>
      <c r="U384" s="4"/>
      <c r="V384" s="4"/>
      <c r="W384" s="4"/>
      <c r="X384" s="4"/>
      <c r="Y384" s="4"/>
      <c r="Z384" s="4"/>
    </row>
    <row r="385" spans="2:26" ht="15" x14ac:dyDescent="0.25">
      <c r="B385" s="4"/>
      <c r="C385" s="4"/>
      <c r="D385" s="5"/>
      <c r="E385" s="4"/>
      <c r="F385" s="4"/>
      <c r="G385" s="4"/>
      <c r="H385" s="4"/>
      <c r="I385" s="4"/>
      <c r="J385" s="4"/>
      <c r="K385" s="4"/>
      <c r="L385" s="4"/>
      <c r="M385" s="4"/>
      <c r="N385" s="4"/>
      <c r="O385" s="4"/>
      <c r="P385" s="4"/>
      <c r="Q385" s="4"/>
      <c r="R385" s="4"/>
      <c r="S385" s="4"/>
      <c r="T385" s="4"/>
      <c r="U385" s="4"/>
      <c r="V385" s="4"/>
      <c r="W385" s="4"/>
      <c r="X385" s="4"/>
      <c r="Y385" s="4"/>
      <c r="Z385" s="4"/>
    </row>
    <row r="386" spans="2:26" ht="15" x14ac:dyDescent="0.25">
      <c r="B386" s="4"/>
      <c r="C386" s="4"/>
      <c r="D386" s="5"/>
      <c r="E386" s="4"/>
      <c r="F386" s="4"/>
      <c r="G386" s="4"/>
      <c r="H386" s="4"/>
      <c r="I386" s="4"/>
      <c r="J386" s="4"/>
      <c r="K386" s="4"/>
      <c r="L386" s="4"/>
      <c r="M386" s="4"/>
      <c r="N386" s="4"/>
      <c r="O386" s="4"/>
      <c r="P386" s="4"/>
      <c r="Q386" s="4"/>
      <c r="R386" s="4"/>
      <c r="S386" s="4"/>
      <c r="T386" s="4"/>
      <c r="U386" s="4"/>
      <c r="V386" s="4"/>
      <c r="W386" s="4"/>
      <c r="X386" s="4"/>
      <c r="Y386" s="4"/>
      <c r="Z386" s="4"/>
    </row>
    <row r="387" spans="2:26" ht="15" x14ac:dyDescent="0.25">
      <c r="B387" s="4"/>
      <c r="C387" s="4"/>
      <c r="D387" s="5"/>
      <c r="E387" s="4"/>
      <c r="F387" s="4"/>
      <c r="G387" s="4"/>
      <c r="H387" s="4"/>
      <c r="I387" s="4"/>
      <c r="J387" s="4"/>
      <c r="K387" s="4"/>
      <c r="L387" s="4"/>
      <c r="M387" s="4"/>
      <c r="N387" s="4"/>
      <c r="O387" s="4"/>
      <c r="P387" s="4"/>
      <c r="Q387" s="4"/>
      <c r="R387" s="4"/>
      <c r="S387" s="4"/>
      <c r="T387" s="4"/>
      <c r="U387" s="4"/>
      <c r="V387" s="4"/>
      <c r="W387" s="4"/>
      <c r="X387" s="4"/>
      <c r="Y387" s="4"/>
      <c r="Z387" s="4"/>
    </row>
    <row r="388" spans="2:26" ht="15" x14ac:dyDescent="0.25">
      <c r="B388" s="4"/>
      <c r="C388" s="4"/>
      <c r="D388" s="5"/>
      <c r="E388" s="4"/>
      <c r="F388" s="4"/>
      <c r="G388" s="4"/>
      <c r="H388" s="4"/>
      <c r="I388" s="4"/>
      <c r="J388" s="4"/>
      <c r="K388" s="4"/>
      <c r="L388" s="4"/>
      <c r="M388" s="4"/>
      <c r="N388" s="4"/>
      <c r="O388" s="4"/>
      <c r="P388" s="4"/>
      <c r="Q388" s="4"/>
      <c r="R388" s="4"/>
      <c r="S388" s="4"/>
      <c r="T388" s="4"/>
      <c r="U388" s="4"/>
      <c r="V388" s="4"/>
      <c r="W388" s="4"/>
      <c r="X388" s="4"/>
      <c r="Y388" s="4"/>
      <c r="Z388" s="4"/>
    </row>
    <row r="389" spans="2:26" ht="15" x14ac:dyDescent="0.25">
      <c r="B389" s="4"/>
      <c r="C389" s="4"/>
      <c r="D389" s="5"/>
      <c r="E389" s="4"/>
      <c r="F389" s="4"/>
      <c r="G389" s="4"/>
      <c r="H389" s="4"/>
      <c r="I389" s="4"/>
      <c r="J389" s="4"/>
      <c r="K389" s="4"/>
      <c r="L389" s="4"/>
      <c r="M389" s="4"/>
      <c r="N389" s="4"/>
      <c r="O389" s="4"/>
      <c r="P389" s="4"/>
      <c r="Q389" s="4"/>
      <c r="R389" s="4"/>
      <c r="S389" s="4"/>
      <c r="T389" s="4"/>
      <c r="U389" s="4"/>
      <c r="V389" s="4"/>
      <c r="W389" s="4"/>
      <c r="X389" s="4"/>
      <c r="Y389" s="4"/>
      <c r="Z389" s="4"/>
    </row>
    <row r="390" spans="2:26" ht="15" x14ac:dyDescent="0.25">
      <c r="B390" s="4"/>
      <c r="C390" s="4"/>
      <c r="D390" s="5"/>
      <c r="E390" s="4"/>
      <c r="F390" s="4"/>
      <c r="G390" s="4"/>
      <c r="H390" s="4"/>
      <c r="I390" s="4"/>
      <c r="J390" s="4"/>
      <c r="K390" s="4"/>
      <c r="L390" s="4"/>
      <c r="M390" s="4"/>
      <c r="N390" s="4"/>
      <c r="O390" s="4"/>
      <c r="P390" s="4"/>
      <c r="Q390" s="4"/>
      <c r="R390" s="4"/>
      <c r="S390" s="4"/>
      <c r="T390" s="4"/>
      <c r="U390" s="4"/>
      <c r="V390" s="4"/>
      <c r="W390" s="4"/>
      <c r="X390" s="4"/>
      <c r="Y390" s="4"/>
      <c r="Z390" s="4"/>
    </row>
    <row r="391" spans="2:26" ht="15" x14ac:dyDescent="0.25">
      <c r="B391" s="4"/>
      <c r="C391" s="4"/>
      <c r="D391" s="5"/>
      <c r="E391" s="4"/>
      <c r="F391" s="4"/>
      <c r="G391" s="4"/>
      <c r="H391" s="4"/>
      <c r="I391" s="4"/>
      <c r="J391" s="4"/>
      <c r="K391" s="4"/>
      <c r="L391" s="4"/>
      <c r="M391" s="4"/>
      <c r="N391" s="4"/>
      <c r="O391" s="4"/>
      <c r="P391" s="4"/>
      <c r="Q391" s="4"/>
      <c r="R391" s="4"/>
      <c r="S391" s="4"/>
      <c r="T391" s="4"/>
      <c r="U391" s="4"/>
      <c r="V391" s="4"/>
      <c r="W391" s="4"/>
      <c r="X391" s="4"/>
      <c r="Y391" s="4"/>
      <c r="Z391" s="4"/>
    </row>
    <row r="392" spans="2:26" ht="15" x14ac:dyDescent="0.25">
      <c r="B392" s="4"/>
      <c r="C392" s="4"/>
      <c r="D392" s="5"/>
      <c r="E392" s="4"/>
      <c r="F392" s="4"/>
      <c r="G392" s="4"/>
      <c r="H392" s="4"/>
      <c r="I392" s="4"/>
      <c r="J392" s="4"/>
      <c r="K392" s="4"/>
      <c r="L392" s="4"/>
      <c r="M392" s="4"/>
      <c r="N392" s="4"/>
      <c r="O392" s="4"/>
      <c r="P392" s="4"/>
      <c r="Q392" s="4"/>
      <c r="R392" s="4"/>
      <c r="S392" s="4"/>
      <c r="T392" s="4"/>
      <c r="U392" s="4"/>
      <c r="V392" s="4"/>
      <c r="W392" s="4"/>
      <c r="X392" s="4"/>
      <c r="Y392" s="4"/>
      <c r="Z392" s="4"/>
    </row>
    <row r="393" spans="2:26" ht="15" x14ac:dyDescent="0.25">
      <c r="B393" s="4"/>
      <c r="C393" s="4"/>
      <c r="D393" s="5"/>
      <c r="E393" s="4"/>
      <c r="F393" s="4"/>
      <c r="G393" s="4"/>
      <c r="H393" s="4"/>
      <c r="I393" s="4"/>
      <c r="J393" s="4"/>
      <c r="K393" s="4"/>
      <c r="L393" s="4"/>
      <c r="M393" s="4"/>
      <c r="N393" s="4"/>
      <c r="O393" s="4"/>
      <c r="P393" s="4"/>
      <c r="Q393" s="4"/>
      <c r="R393" s="4"/>
      <c r="S393" s="4"/>
      <c r="T393" s="4"/>
      <c r="U393" s="4"/>
      <c r="V393" s="4"/>
      <c r="W393" s="4"/>
      <c r="X393" s="4"/>
      <c r="Y393" s="4"/>
      <c r="Z393" s="4"/>
    </row>
    <row r="394" spans="2:26" ht="15" x14ac:dyDescent="0.25">
      <c r="B394" s="4"/>
      <c r="C394" s="4"/>
      <c r="D394" s="5"/>
      <c r="E394" s="4"/>
      <c r="F394" s="4"/>
      <c r="G394" s="4"/>
      <c r="H394" s="4"/>
      <c r="I394" s="4"/>
      <c r="J394" s="4"/>
      <c r="K394" s="4"/>
      <c r="L394" s="4"/>
      <c r="M394" s="4"/>
      <c r="N394" s="4"/>
      <c r="O394" s="4"/>
      <c r="P394" s="4"/>
      <c r="Q394" s="4"/>
      <c r="R394" s="4"/>
      <c r="S394" s="4"/>
      <c r="T394" s="4"/>
      <c r="U394" s="4"/>
      <c r="V394" s="4"/>
      <c r="W394" s="4"/>
      <c r="X394" s="4"/>
      <c r="Y394" s="4"/>
      <c r="Z394" s="4"/>
    </row>
    <row r="395" spans="2:26" ht="15" x14ac:dyDescent="0.25">
      <c r="B395" s="4"/>
      <c r="C395" s="4"/>
      <c r="D395" s="5"/>
      <c r="E395" s="4"/>
      <c r="F395" s="4"/>
      <c r="G395" s="4"/>
      <c r="H395" s="4"/>
      <c r="I395" s="4"/>
      <c r="J395" s="4"/>
      <c r="K395" s="4"/>
      <c r="L395" s="4"/>
      <c r="M395" s="4"/>
      <c r="N395" s="4"/>
      <c r="O395" s="4"/>
      <c r="P395" s="4"/>
      <c r="Q395" s="4"/>
      <c r="R395" s="4"/>
      <c r="S395" s="4"/>
      <c r="T395" s="4"/>
      <c r="U395" s="4"/>
      <c r="V395" s="4"/>
      <c r="W395" s="4"/>
      <c r="X395" s="4"/>
      <c r="Y395" s="4"/>
      <c r="Z395" s="4"/>
    </row>
    <row r="396" spans="2:26" ht="15" x14ac:dyDescent="0.25">
      <c r="B396" s="4"/>
      <c r="C396" s="4"/>
      <c r="D396" s="5"/>
      <c r="E396" s="4"/>
      <c r="F396" s="4"/>
      <c r="G396" s="4"/>
      <c r="H396" s="4"/>
      <c r="I396" s="4"/>
      <c r="J396" s="4"/>
      <c r="K396" s="4"/>
      <c r="L396" s="4"/>
      <c r="M396" s="4"/>
      <c r="N396" s="4"/>
      <c r="O396" s="4"/>
      <c r="P396" s="4"/>
      <c r="Q396" s="4"/>
      <c r="R396" s="4"/>
      <c r="S396" s="4"/>
      <c r="T396" s="4"/>
      <c r="U396" s="4"/>
      <c r="V396" s="4"/>
      <c r="W396" s="4"/>
      <c r="X396" s="4"/>
      <c r="Y396" s="4"/>
      <c r="Z396" s="4"/>
    </row>
    <row r="397" spans="2:26" ht="15" x14ac:dyDescent="0.25">
      <c r="B397" s="4"/>
      <c r="C397" s="4"/>
      <c r="D397" s="5"/>
      <c r="E397" s="4"/>
      <c r="F397" s="4"/>
      <c r="G397" s="4"/>
      <c r="H397" s="4"/>
      <c r="I397" s="4"/>
      <c r="J397" s="4"/>
      <c r="K397" s="4"/>
      <c r="L397" s="4"/>
      <c r="M397" s="4"/>
      <c r="N397" s="4"/>
      <c r="O397" s="4"/>
      <c r="P397" s="4"/>
      <c r="Q397" s="4"/>
      <c r="R397" s="4"/>
      <c r="S397" s="4"/>
      <c r="T397" s="4"/>
      <c r="U397" s="4"/>
      <c r="V397" s="4"/>
      <c r="W397" s="4"/>
      <c r="X397" s="4"/>
      <c r="Y397" s="4"/>
      <c r="Z397" s="4"/>
    </row>
    <row r="398" spans="2:26" ht="15" x14ac:dyDescent="0.25">
      <c r="B398" s="4"/>
      <c r="C398" s="4"/>
      <c r="D398" s="5"/>
      <c r="E398" s="4"/>
      <c r="F398" s="4"/>
      <c r="G398" s="4"/>
      <c r="H398" s="4"/>
      <c r="I398" s="4"/>
      <c r="J398" s="4"/>
      <c r="K398" s="4"/>
      <c r="L398" s="4"/>
      <c r="M398" s="4"/>
      <c r="N398" s="4"/>
      <c r="O398" s="4"/>
      <c r="P398" s="4"/>
      <c r="Q398" s="4"/>
      <c r="R398" s="4"/>
      <c r="S398" s="4"/>
      <c r="T398" s="4"/>
      <c r="U398" s="4"/>
      <c r="V398" s="4"/>
      <c r="W398" s="4"/>
      <c r="X398" s="4"/>
      <c r="Y398" s="4"/>
      <c r="Z398" s="4"/>
    </row>
    <row r="399" spans="2:26" ht="15" x14ac:dyDescent="0.25">
      <c r="B399" s="4"/>
      <c r="C399" s="4"/>
      <c r="D399" s="5"/>
      <c r="E399" s="4"/>
      <c r="F399" s="4"/>
      <c r="G399" s="4"/>
      <c r="H399" s="4"/>
      <c r="I399" s="4"/>
      <c r="J399" s="4"/>
      <c r="K399" s="4"/>
      <c r="L399" s="4"/>
      <c r="M399" s="4"/>
      <c r="N399" s="4"/>
      <c r="O399" s="4"/>
      <c r="P399" s="4"/>
      <c r="Q399" s="4"/>
      <c r="R399" s="4"/>
      <c r="S399" s="4"/>
      <c r="T399" s="4"/>
      <c r="U399" s="4"/>
      <c r="V399" s="4"/>
      <c r="W399" s="4"/>
      <c r="X399" s="4"/>
      <c r="Y399" s="4"/>
      <c r="Z399" s="4"/>
    </row>
    <row r="400" spans="2:26" ht="15" x14ac:dyDescent="0.25">
      <c r="B400" s="4"/>
      <c r="C400" s="4"/>
      <c r="D400" s="5"/>
      <c r="E400" s="4"/>
      <c r="F400" s="4"/>
      <c r="G400" s="4"/>
      <c r="H400" s="4"/>
      <c r="I400" s="4"/>
      <c r="J400" s="4"/>
      <c r="K400" s="4"/>
      <c r="L400" s="4"/>
      <c r="M400" s="4"/>
      <c r="N400" s="4"/>
      <c r="O400" s="4"/>
      <c r="P400" s="4"/>
      <c r="Q400" s="4"/>
      <c r="R400" s="4"/>
      <c r="S400" s="4"/>
      <c r="T400" s="4"/>
      <c r="U400" s="4"/>
      <c r="V400" s="4"/>
      <c r="W400" s="4"/>
      <c r="X400" s="4"/>
      <c r="Y400" s="4"/>
      <c r="Z400" s="4"/>
    </row>
    <row r="401" spans="2:26" ht="15" x14ac:dyDescent="0.25">
      <c r="B401" s="4"/>
      <c r="C401" s="4"/>
      <c r="D401" s="5"/>
      <c r="E401" s="4"/>
      <c r="F401" s="4"/>
      <c r="G401" s="4"/>
      <c r="H401" s="4"/>
      <c r="I401" s="4"/>
      <c r="J401" s="4"/>
      <c r="K401" s="4"/>
      <c r="L401" s="4"/>
      <c r="M401" s="4"/>
      <c r="N401" s="4"/>
      <c r="O401" s="4"/>
      <c r="P401" s="4"/>
      <c r="Q401" s="4"/>
      <c r="R401" s="4"/>
      <c r="S401" s="4"/>
      <c r="T401" s="4"/>
      <c r="U401" s="4"/>
      <c r="V401" s="4"/>
      <c r="W401" s="4"/>
      <c r="X401" s="4"/>
      <c r="Y401" s="4"/>
      <c r="Z401" s="4"/>
    </row>
    <row r="402" spans="2:26" ht="15" x14ac:dyDescent="0.25">
      <c r="B402" s="4"/>
      <c r="C402" s="4"/>
      <c r="D402" s="5"/>
      <c r="E402" s="4"/>
      <c r="F402" s="4"/>
      <c r="G402" s="4"/>
      <c r="H402" s="4"/>
      <c r="I402" s="4"/>
      <c r="J402" s="4"/>
      <c r="K402" s="4"/>
      <c r="L402" s="4"/>
      <c r="M402" s="4"/>
      <c r="N402" s="4"/>
      <c r="O402" s="4"/>
      <c r="P402" s="4"/>
      <c r="Q402" s="4"/>
      <c r="R402" s="4"/>
      <c r="S402" s="4"/>
      <c r="T402" s="4"/>
      <c r="U402" s="4"/>
      <c r="V402" s="4"/>
      <c r="W402" s="4"/>
      <c r="X402" s="4"/>
      <c r="Y402" s="4"/>
      <c r="Z402" s="4"/>
    </row>
    <row r="403" spans="2:26" ht="15" x14ac:dyDescent="0.25">
      <c r="B403" s="4"/>
      <c r="C403" s="4"/>
      <c r="D403" s="5"/>
      <c r="E403" s="4"/>
      <c r="F403" s="4"/>
      <c r="G403" s="4"/>
      <c r="H403" s="4"/>
      <c r="I403" s="4"/>
      <c r="J403" s="4"/>
      <c r="K403" s="4"/>
      <c r="L403" s="4"/>
      <c r="M403" s="4"/>
      <c r="N403" s="4"/>
      <c r="O403" s="4"/>
      <c r="P403" s="4"/>
      <c r="Q403" s="4"/>
      <c r="R403" s="4"/>
      <c r="S403" s="4"/>
      <c r="T403" s="4"/>
      <c r="U403" s="4"/>
      <c r="V403" s="4"/>
      <c r="W403" s="4"/>
      <c r="X403" s="4"/>
      <c r="Y403" s="4"/>
      <c r="Z403" s="4"/>
    </row>
    <row r="404" spans="2:26" ht="15" x14ac:dyDescent="0.25">
      <c r="B404" s="4"/>
      <c r="C404" s="4"/>
      <c r="D404" s="5"/>
      <c r="E404" s="4"/>
      <c r="F404" s="4"/>
      <c r="G404" s="4"/>
      <c r="H404" s="4"/>
      <c r="I404" s="4"/>
      <c r="J404" s="4"/>
      <c r="K404" s="4"/>
      <c r="L404" s="4"/>
      <c r="M404" s="4"/>
      <c r="N404" s="4"/>
      <c r="O404" s="4"/>
      <c r="P404" s="4"/>
      <c r="Q404" s="4"/>
      <c r="R404" s="4"/>
      <c r="S404" s="4"/>
      <c r="T404" s="4"/>
      <c r="U404" s="4"/>
      <c r="V404" s="4"/>
      <c r="W404" s="4"/>
      <c r="X404" s="4"/>
      <c r="Y404" s="4"/>
      <c r="Z404" s="4"/>
    </row>
    <row r="405" spans="2:26" ht="15" x14ac:dyDescent="0.25">
      <c r="B405" s="4"/>
      <c r="C405" s="4"/>
      <c r="D405" s="5"/>
      <c r="E405" s="4"/>
      <c r="F405" s="4"/>
      <c r="G405" s="4"/>
      <c r="H405" s="4"/>
      <c r="I405" s="4"/>
      <c r="J405" s="4"/>
      <c r="K405" s="4"/>
      <c r="L405" s="4"/>
      <c r="M405" s="4"/>
      <c r="N405" s="4"/>
      <c r="O405" s="4"/>
      <c r="P405" s="4"/>
      <c r="Q405" s="4"/>
      <c r="R405" s="4"/>
      <c r="S405" s="4"/>
      <c r="T405" s="4"/>
      <c r="U405" s="4"/>
      <c r="V405" s="4"/>
      <c r="W405" s="4"/>
      <c r="X405" s="4"/>
      <c r="Y405" s="4"/>
      <c r="Z405" s="4"/>
    </row>
    <row r="406" spans="2:26" ht="15" x14ac:dyDescent="0.25">
      <c r="B406" s="4"/>
      <c r="C406" s="4"/>
      <c r="D406" s="5"/>
      <c r="E406" s="4"/>
      <c r="F406" s="4"/>
      <c r="G406" s="4"/>
      <c r="H406" s="4"/>
      <c r="I406" s="4"/>
      <c r="J406" s="4"/>
      <c r="K406" s="4"/>
      <c r="L406" s="4"/>
      <c r="M406" s="4"/>
      <c r="N406" s="4"/>
      <c r="O406" s="4"/>
      <c r="P406" s="4"/>
      <c r="Q406" s="4"/>
      <c r="R406" s="4"/>
      <c r="S406" s="4"/>
      <c r="T406" s="4"/>
      <c r="U406" s="4"/>
      <c r="V406" s="4"/>
      <c r="W406" s="4"/>
      <c r="X406" s="4"/>
      <c r="Y406" s="4"/>
      <c r="Z406" s="4"/>
    </row>
    <row r="407" spans="2:26" ht="15" x14ac:dyDescent="0.25">
      <c r="B407" s="4"/>
      <c r="C407" s="4"/>
      <c r="D407" s="5"/>
      <c r="E407" s="4"/>
      <c r="F407" s="4"/>
      <c r="G407" s="4"/>
      <c r="H407" s="4"/>
      <c r="I407" s="4"/>
      <c r="J407" s="4"/>
      <c r="K407" s="4"/>
      <c r="L407" s="4"/>
      <c r="M407" s="4"/>
      <c r="N407" s="4"/>
      <c r="O407" s="4"/>
      <c r="P407" s="4"/>
      <c r="Q407" s="4"/>
      <c r="R407" s="4"/>
      <c r="S407" s="4"/>
      <c r="T407" s="4"/>
      <c r="U407" s="4"/>
      <c r="V407" s="4"/>
      <c r="W407" s="4"/>
      <c r="X407" s="4"/>
      <c r="Y407" s="4"/>
      <c r="Z407" s="4"/>
    </row>
    <row r="408" spans="2:26" ht="15" x14ac:dyDescent="0.25">
      <c r="B408" s="4"/>
      <c r="C408" s="4"/>
      <c r="D408" s="5"/>
      <c r="E408" s="4"/>
      <c r="F408" s="4"/>
      <c r="G408" s="4"/>
      <c r="H408" s="4"/>
      <c r="I408" s="4"/>
      <c r="J408" s="4"/>
      <c r="K408" s="4"/>
      <c r="L408" s="4"/>
      <c r="M408" s="4"/>
      <c r="N408" s="4"/>
      <c r="O408" s="4"/>
      <c r="P408" s="4"/>
      <c r="Q408" s="4"/>
      <c r="R408" s="4"/>
      <c r="S408" s="4"/>
      <c r="T408" s="4"/>
      <c r="U408" s="4"/>
      <c r="V408" s="4"/>
      <c r="W408" s="4"/>
      <c r="X408" s="4"/>
      <c r="Y408" s="4"/>
      <c r="Z408" s="4"/>
    </row>
    <row r="409" spans="2:26" ht="15" x14ac:dyDescent="0.25">
      <c r="B409" s="4"/>
      <c r="C409" s="4"/>
      <c r="D409" s="5"/>
      <c r="E409" s="4"/>
      <c r="F409" s="4"/>
      <c r="G409" s="4"/>
      <c r="H409" s="4"/>
      <c r="I409" s="4"/>
      <c r="J409" s="4"/>
      <c r="K409" s="4"/>
      <c r="L409" s="4"/>
      <c r="M409" s="4"/>
      <c r="N409" s="4"/>
      <c r="O409" s="4"/>
      <c r="P409" s="4"/>
      <c r="Q409" s="4"/>
      <c r="R409" s="4"/>
      <c r="S409" s="4"/>
      <c r="T409" s="4"/>
      <c r="U409" s="4"/>
      <c r="V409" s="4"/>
      <c r="W409" s="4"/>
      <c r="X409" s="4"/>
      <c r="Y409" s="4"/>
      <c r="Z409" s="4"/>
    </row>
    <row r="410" spans="2:26" ht="15" x14ac:dyDescent="0.25">
      <c r="B410" s="4"/>
      <c r="C410" s="4"/>
      <c r="D410" s="5"/>
      <c r="E410" s="4"/>
      <c r="F410" s="4"/>
      <c r="G410" s="4"/>
      <c r="H410" s="4"/>
      <c r="I410" s="4"/>
      <c r="J410" s="4"/>
      <c r="K410" s="4"/>
      <c r="L410" s="4"/>
      <c r="M410" s="4"/>
      <c r="N410" s="4"/>
      <c r="O410" s="4"/>
      <c r="P410" s="4"/>
      <c r="Q410" s="4"/>
      <c r="R410" s="4"/>
      <c r="S410" s="4"/>
      <c r="T410" s="4"/>
      <c r="U410" s="4"/>
      <c r="V410" s="4"/>
      <c r="W410" s="4"/>
      <c r="X410" s="4"/>
      <c r="Y410" s="4"/>
      <c r="Z410" s="4"/>
    </row>
    <row r="411" spans="2:26" ht="15" x14ac:dyDescent="0.25">
      <c r="B411" s="4"/>
      <c r="C411" s="4"/>
      <c r="D411" s="5"/>
      <c r="E411" s="4"/>
      <c r="F411" s="4"/>
      <c r="G411" s="4"/>
      <c r="H411" s="4"/>
      <c r="I411" s="4"/>
      <c r="J411" s="4"/>
      <c r="K411" s="4"/>
      <c r="L411" s="4"/>
      <c r="M411" s="4"/>
      <c r="N411" s="4"/>
      <c r="O411" s="4"/>
      <c r="P411" s="4"/>
      <c r="Q411" s="4"/>
      <c r="R411" s="4"/>
      <c r="S411" s="4"/>
      <c r="T411" s="4"/>
      <c r="U411" s="4"/>
      <c r="V411" s="4"/>
      <c r="W411" s="4"/>
      <c r="X411" s="4"/>
      <c r="Y411" s="4"/>
      <c r="Z411" s="4"/>
    </row>
    <row r="412" spans="2:26" ht="15" x14ac:dyDescent="0.25">
      <c r="B412" s="4"/>
      <c r="C412" s="4"/>
      <c r="D412" s="5"/>
      <c r="E412" s="4"/>
      <c r="F412" s="4"/>
      <c r="G412" s="4"/>
      <c r="H412" s="4"/>
      <c r="I412" s="4"/>
      <c r="J412" s="4"/>
      <c r="K412" s="4"/>
      <c r="L412" s="4"/>
      <c r="M412" s="4"/>
      <c r="N412" s="4"/>
      <c r="O412" s="4"/>
      <c r="P412" s="4"/>
      <c r="Q412" s="4"/>
      <c r="R412" s="4"/>
      <c r="S412" s="4"/>
      <c r="T412" s="4"/>
      <c r="U412" s="4"/>
      <c r="V412" s="4"/>
      <c r="W412" s="4"/>
      <c r="X412" s="4"/>
      <c r="Y412" s="4"/>
      <c r="Z412" s="4"/>
    </row>
    <row r="413" spans="2:26" ht="15" x14ac:dyDescent="0.25">
      <c r="B413" s="4"/>
      <c r="C413" s="4"/>
      <c r="D413" s="5"/>
      <c r="E413" s="4"/>
      <c r="F413" s="4"/>
      <c r="G413" s="4"/>
      <c r="H413" s="4"/>
      <c r="I413" s="4"/>
      <c r="J413" s="4"/>
      <c r="K413" s="4"/>
      <c r="L413" s="4"/>
      <c r="M413" s="4"/>
      <c r="N413" s="4"/>
      <c r="O413" s="4"/>
      <c r="P413" s="4"/>
      <c r="Q413" s="4"/>
      <c r="R413" s="4"/>
      <c r="S413" s="4"/>
      <c r="T413" s="4"/>
      <c r="U413" s="4"/>
      <c r="V413" s="4"/>
      <c r="W413" s="4"/>
      <c r="X413" s="4"/>
      <c r="Y413" s="4"/>
      <c r="Z413" s="4"/>
    </row>
    <row r="414" spans="2:26" ht="15" x14ac:dyDescent="0.25">
      <c r="B414" s="4"/>
      <c r="C414" s="4"/>
      <c r="D414" s="5"/>
      <c r="E414" s="4"/>
      <c r="F414" s="4"/>
      <c r="G414" s="4"/>
      <c r="H414" s="4"/>
      <c r="I414" s="4"/>
      <c r="J414" s="4"/>
      <c r="K414" s="4"/>
      <c r="L414" s="4"/>
      <c r="M414" s="4"/>
      <c r="N414" s="4"/>
      <c r="O414" s="4"/>
      <c r="P414" s="4"/>
      <c r="Q414" s="4"/>
      <c r="R414" s="4"/>
      <c r="S414" s="4"/>
      <c r="T414" s="4"/>
      <c r="U414" s="4"/>
      <c r="V414" s="4"/>
      <c r="W414" s="4"/>
      <c r="X414" s="4"/>
      <c r="Y414" s="4"/>
      <c r="Z414" s="4"/>
    </row>
    <row r="415" spans="2:26" ht="15" x14ac:dyDescent="0.25">
      <c r="B415" s="4"/>
      <c r="C415" s="4"/>
      <c r="D415" s="5"/>
      <c r="E415" s="4"/>
      <c r="F415" s="4"/>
      <c r="G415" s="4"/>
      <c r="H415" s="4"/>
      <c r="I415" s="4"/>
      <c r="J415" s="4"/>
      <c r="K415" s="4"/>
      <c r="L415" s="4"/>
      <c r="M415" s="4"/>
      <c r="N415" s="4"/>
      <c r="O415" s="4"/>
      <c r="P415" s="4"/>
      <c r="Q415" s="4"/>
      <c r="R415" s="4"/>
      <c r="S415" s="4"/>
      <c r="T415" s="4"/>
      <c r="U415" s="4"/>
      <c r="V415" s="4"/>
      <c r="W415" s="4"/>
      <c r="X415" s="4"/>
      <c r="Y415" s="4"/>
      <c r="Z415" s="4"/>
    </row>
    <row r="416" spans="2:26" ht="15" x14ac:dyDescent="0.25">
      <c r="B416" s="4"/>
      <c r="C416" s="4"/>
      <c r="D416" s="5"/>
      <c r="E416" s="4"/>
      <c r="F416" s="4"/>
      <c r="G416" s="4"/>
      <c r="H416" s="4"/>
      <c r="I416" s="4"/>
      <c r="J416" s="4"/>
      <c r="K416" s="4"/>
      <c r="L416" s="4"/>
      <c r="M416" s="4"/>
      <c r="N416" s="4"/>
      <c r="O416" s="4"/>
      <c r="P416" s="4"/>
      <c r="Q416" s="4"/>
      <c r="R416" s="4"/>
      <c r="S416" s="4"/>
      <c r="T416" s="4"/>
      <c r="U416" s="4"/>
      <c r="V416" s="4"/>
      <c r="W416" s="4"/>
      <c r="X416" s="4"/>
      <c r="Y416" s="4"/>
      <c r="Z416" s="4"/>
    </row>
    <row r="417" spans="2:26" ht="15" x14ac:dyDescent="0.25">
      <c r="B417" s="4"/>
      <c r="C417" s="4"/>
      <c r="D417" s="5"/>
      <c r="E417" s="4"/>
      <c r="F417" s="4"/>
      <c r="G417" s="4"/>
      <c r="H417" s="4"/>
      <c r="I417" s="4"/>
      <c r="J417" s="4"/>
      <c r="K417" s="4"/>
      <c r="L417" s="4"/>
      <c r="M417" s="4"/>
      <c r="N417" s="4"/>
      <c r="O417" s="4"/>
      <c r="P417" s="4"/>
      <c r="Q417" s="4"/>
      <c r="R417" s="4"/>
      <c r="S417" s="4"/>
      <c r="T417" s="4"/>
      <c r="U417" s="4"/>
      <c r="V417" s="4"/>
      <c r="W417" s="4"/>
      <c r="X417" s="4"/>
      <c r="Y417" s="4"/>
      <c r="Z417" s="4"/>
    </row>
    <row r="418" spans="2:26" ht="15" x14ac:dyDescent="0.25">
      <c r="B418" s="4"/>
      <c r="C418" s="4"/>
      <c r="D418" s="5"/>
      <c r="E418" s="4"/>
      <c r="F418" s="4"/>
      <c r="G418" s="4"/>
      <c r="H418" s="4"/>
      <c r="I418" s="4"/>
      <c r="J418" s="4"/>
      <c r="K418" s="4"/>
      <c r="L418" s="4"/>
      <c r="M418" s="4"/>
      <c r="N418" s="4"/>
      <c r="O418" s="4"/>
      <c r="P418" s="4"/>
      <c r="Q418" s="4"/>
      <c r="R418" s="4"/>
      <c r="S418" s="4"/>
      <c r="T418" s="4"/>
      <c r="U418" s="4"/>
      <c r="V418" s="4"/>
      <c r="W418" s="4"/>
      <c r="X418" s="4"/>
      <c r="Y418" s="4"/>
      <c r="Z418" s="4"/>
    </row>
    <row r="419" spans="2:26" ht="15" x14ac:dyDescent="0.25">
      <c r="B419" s="4"/>
      <c r="C419" s="4"/>
      <c r="D419" s="5"/>
      <c r="E419" s="4"/>
      <c r="F419" s="4"/>
      <c r="G419" s="4"/>
      <c r="H419" s="4"/>
      <c r="I419" s="4"/>
      <c r="J419" s="4"/>
      <c r="K419" s="4"/>
      <c r="L419" s="4"/>
      <c r="M419" s="4"/>
      <c r="N419" s="4"/>
      <c r="O419" s="4"/>
      <c r="P419" s="4"/>
      <c r="Q419" s="4"/>
      <c r="R419" s="4"/>
      <c r="S419" s="4"/>
      <c r="T419" s="4"/>
      <c r="U419" s="4"/>
      <c r="V419" s="4"/>
      <c r="W419" s="4"/>
      <c r="X419" s="4"/>
      <c r="Y419" s="4"/>
      <c r="Z419" s="4"/>
    </row>
    <row r="420" spans="2:26" ht="15" x14ac:dyDescent="0.25">
      <c r="B420" s="4"/>
      <c r="C420" s="4"/>
      <c r="D420" s="5"/>
      <c r="E420" s="4"/>
      <c r="F420" s="4"/>
      <c r="G420" s="4"/>
      <c r="H420" s="4"/>
      <c r="I420" s="4"/>
      <c r="J420" s="4"/>
      <c r="K420" s="4"/>
      <c r="L420" s="4"/>
      <c r="M420" s="4"/>
      <c r="N420" s="4"/>
      <c r="O420" s="4"/>
      <c r="P420" s="4"/>
      <c r="Q420" s="4"/>
      <c r="R420" s="4"/>
      <c r="S420" s="4"/>
      <c r="T420" s="4"/>
      <c r="U420" s="4"/>
      <c r="V420" s="4"/>
      <c r="W420" s="4"/>
      <c r="X420" s="4"/>
      <c r="Y420" s="4"/>
      <c r="Z420" s="4"/>
    </row>
    <row r="421" spans="2:26" ht="15" x14ac:dyDescent="0.25">
      <c r="B421" s="4"/>
      <c r="C421" s="4"/>
      <c r="D421" s="5"/>
      <c r="E421" s="4"/>
      <c r="F421" s="4"/>
      <c r="G421" s="4"/>
      <c r="H421" s="4"/>
      <c r="I421" s="4"/>
      <c r="J421" s="4"/>
      <c r="K421" s="4"/>
      <c r="L421" s="4"/>
      <c r="M421" s="4"/>
      <c r="N421" s="4"/>
      <c r="O421" s="4"/>
      <c r="P421" s="4"/>
      <c r="Q421" s="4"/>
      <c r="R421" s="4"/>
      <c r="S421" s="4"/>
      <c r="T421" s="4"/>
      <c r="U421" s="4"/>
      <c r="V421" s="4"/>
      <c r="W421" s="4"/>
      <c r="X421" s="4"/>
      <c r="Y421" s="4"/>
      <c r="Z421" s="4"/>
    </row>
    <row r="422" spans="2:26" ht="15" x14ac:dyDescent="0.25">
      <c r="B422" s="4"/>
      <c r="C422" s="4"/>
      <c r="D422" s="5"/>
      <c r="E422" s="4"/>
      <c r="F422" s="4"/>
      <c r="G422" s="4"/>
      <c r="H422" s="4"/>
      <c r="I422" s="4"/>
      <c r="J422" s="4"/>
      <c r="K422" s="4"/>
      <c r="L422" s="4"/>
      <c r="M422" s="4"/>
      <c r="N422" s="4"/>
      <c r="O422" s="4"/>
      <c r="P422" s="4"/>
      <c r="Q422" s="4"/>
      <c r="R422" s="4"/>
      <c r="S422" s="4"/>
      <c r="T422" s="4"/>
      <c r="U422" s="4"/>
      <c r="V422" s="4"/>
      <c r="W422" s="4"/>
      <c r="X422" s="4"/>
      <c r="Y422" s="4"/>
      <c r="Z422" s="4"/>
    </row>
    <row r="423" spans="2:26" ht="15" x14ac:dyDescent="0.25">
      <c r="B423" s="4"/>
      <c r="C423" s="4"/>
      <c r="D423" s="5"/>
      <c r="E423" s="4"/>
      <c r="F423" s="4"/>
      <c r="G423" s="4"/>
      <c r="H423" s="4"/>
      <c r="I423" s="4"/>
      <c r="J423" s="4"/>
      <c r="K423" s="4"/>
      <c r="L423" s="4"/>
      <c r="M423" s="4"/>
      <c r="N423" s="4"/>
      <c r="O423" s="4"/>
      <c r="P423" s="4"/>
      <c r="Q423" s="4"/>
      <c r="R423" s="4"/>
      <c r="S423" s="4"/>
      <c r="T423" s="4"/>
      <c r="U423" s="4"/>
      <c r="V423" s="4"/>
      <c r="W423" s="4"/>
      <c r="X423" s="4"/>
      <c r="Y423" s="4"/>
      <c r="Z423" s="4"/>
    </row>
    <row r="424" spans="2:26" ht="15" x14ac:dyDescent="0.25">
      <c r="B424" s="4"/>
      <c r="C424" s="4"/>
      <c r="D424" s="5"/>
      <c r="E424" s="4"/>
      <c r="F424" s="4"/>
      <c r="G424" s="4"/>
      <c r="H424" s="4"/>
      <c r="I424" s="4"/>
      <c r="J424" s="4"/>
      <c r="K424" s="4"/>
      <c r="L424" s="4"/>
      <c r="M424" s="4"/>
      <c r="N424" s="4"/>
      <c r="O424" s="4"/>
      <c r="P424" s="4"/>
      <c r="Q424" s="4"/>
      <c r="R424" s="4"/>
      <c r="S424" s="4"/>
      <c r="T424" s="4"/>
      <c r="U424" s="4"/>
      <c r="V424" s="4"/>
      <c r="W424" s="4"/>
      <c r="X424" s="4"/>
      <c r="Y424" s="4"/>
      <c r="Z424" s="4"/>
    </row>
    <row r="425" spans="2:26" ht="15" x14ac:dyDescent="0.25">
      <c r="B425" s="4"/>
      <c r="C425" s="4"/>
      <c r="D425" s="5"/>
      <c r="E425" s="4"/>
      <c r="F425" s="4"/>
      <c r="G425" s="4"/>
      <c r="H425" s="4"/>
      <c r="I425" s="4"/>
      <c r="J425" s="4"/>
      <c r="K425" s="4"/>
      <c r="L425" s="4"/>
      <c r="M425" s="4"/>
      <c r="N425" s="4"/>
      <c r="O425" s="4"/>
      <c r="P425" s="4"/>
      <c r="Q425" s="4"/>
      <c r="R425" s="4"/>
      <c r="S425" s="4"/>
      <c r="T425" s="4"/>
      <c r="U425" s="4"/>
      <c r="V425" s="4"/>
      <c r="W425" s="4"/>
      <c r="X425" s="4"/>
      <c r="Y425" s="4"/>
      <c r="Z425" s="4"/>
    </row>
    <row r="426" spans="2:26" ht="15" x14ac:dyDescent="0.25">
      <c r="B426" s="4"/>
      <c r="C426" s="4"/>
      <c r="D426" s="5"/>
      <c r="E426" s="4"/>
      <c r="F426" s="4"/>
      <c r="G426" s="4"/>
      <c r="H426" s="4"/>
      <c r="I426" s="4"/>
      <c r="J426" s="4"/>
      <c r="K426" s="4"/>
      <c r="L426" s="4"/>
      <c r="M426" s="4"/>
      <c r="N426" s="4"/>
      <c r="O426" s="4"/>
      <c r="P426" s="4"/>
      <c r="Q426" s="4"/>
      <c r="R426" s="4"/>
      <c r="S426" s="4"/>
      <c r="T426" s="4"/>
      <c r="U426" s="4"/>
      <c r="V426" s="4"/>
      <c r="W426" s="4"/>
      <c r="X426" s="4"/>
      <c r="Y426" s="4"/>
      <c r="Z426" s="4"/>
    </row>
    <row r="427" spans="2:26" ht="15" x14ac:dyDescent="0.25">
      <c r="B427" s="4"/>
      <c r="C427" s="4"/>
      <c r="D427" s="5"/>
      <c r="E427" s="4"/>
      <c r="F427" s="4"/>
      <c r="G427" s="4"/>
      <c r="H427" s="4"/>
      <c r="I427" s="4"/>
      <c r="J427" s="4"/>
      <c r="K427" s="4"/>
      <c r="L427" s="4"/>
      <c r="M427" s="4"/>
      <c r="N427" s="4"/>
      <c r="O427" s="4"/>
      <c r="P427" s="4"/>
      <c r="Q427" s="4"/>
      <c r="R427" s="4"/>
      <c r="S427" s="4"/>
      <c r="T427" s="4"/>
      <c r="U427" s="4"/>
      <c r="V427" s="4"/>
      <c r="W427" s="4"/>
      <c r="X427" s="4"/>
      <c r="Y427" s="4"/>
      <c r="Z427" s="4"/>
    </row>
    <row r="428" spans="2:26" ht="15" x14ac:dyDescent="0.25">
      <c r="B428" s="4"/>
      <c r="C428" s="4"/>
      <c r="D428" s="5"/>
      <c r="E428" s="4"/>
      <c r="F428" s="4"/>
      <c r="G428" s="4"/>
      <c r="H428" s="4"/>
      <c r="I428" s="4"/>
      <c r="J428" s="4"/>
      <c r="K428" s="4"/>
      <c r="L428" s="4"/>
      <c r="M428" s="4"/>
      <c r="N428" s="4"/>
      <c r="O428" s="4"/>
      <c r="P428" s="4"/>
      <c r="Q428" s="4"/>
      <c r="R428" s="4"/>
      <c r="S428" s="4"/>
      <c r="T428" s="4"/>
      <c r="U428" s="4"/>
      <c r="V428" s="4"/>
      <c r="W428" s="4"/>
      <c r="X428" s="4"/>
      <c r="Y428" s="4"/>
      <c r="Z428" s="4"/>
    </row>
    <row r="429" spans="2:26" ht="15" x14ac:dyDescent="0.25">
      <c r="B429" s="4"/>
      <c r="C429" s="4"/>
      <c r="D429" s="5"/>
      <c r="E429" s="4"/>
      <c r="F429" s="4"/>
      <c r="G429" s="4"/>
      <c r="H429" s="4"/>
      <c r="I429" s="4"/>
      <c r="J429" s="4"/>
      <c r="K429" s="4"/>
      <c r="L429" s="4"/>
      <c r="M429" s="4"/>
      <c r="N429" s="4"/>
      <c r="O429" s="4"/>
      <c r="P429" s="4"/>
      <c r="Q429" s="4"/>
      <c r="R429" s="4"/>
      <c r="S429" s="4"/>
      <c r="T429" s="4"/>
      <c r="U429" s="4"/>
      <c r="V429" s="4"/>
      <c r="W429" s="4"/>
      <c r="X429" s="4"/>
      <c r="Y429" s="4"/>
      <c r="Z429" s="4"/>
    </row>
    <row r="430" spans="2:26" ht="15" x14ac:dyDescent="0.25">
      <c r="B430" s="4"/>
      <c r="C430" s="4"/>
      <c r="D430" s="5"/>
      <c r="E430" s="4"/>
      <c r="F430" s="4"/>
      <c r="G430" s="4"/>
      <c r="H430" s="4"/>
      <c r="I430" s="4"/>
      <c r="J430" s="4"/>
      <c r="K430" s="4"/>
      <c r="L430" s="4"/>
      <c r="M430" s="4"/>
      <c r="N430" s="4"/>
      <c r="O430" s="4"/>
      <c r="P430" s="4"/>
      <c r="Q430" s="4"/>
      <c r="R430" s="4"/>
      <c r="S430" s="4"/>
      <c r="T430" s="4"/>
      <c r="U430" s="4"/>
      <c r="V430" s="4"/>
      <c r="W430" s="4"/>
      <c r="X430" s="4"/>
      <c r="Y430" s="4"/>
      <c r="Z430" s="4"/>
    </row>
    <row r="431" spans="2:26" ht="15" x14ac:dyDescent="0.25">
      <c r="B431" s="4"/>
      <c r="C431" s="4"/>
      <c r="D431" s="5"/>
      <c r="E431" s="4"/>
      <c r="F431" s="4"/>
      <c r="G431" s="4"/>
      <c r="H431" s="4"/>
      <c r="I431" s="4"/>
      <c r="J431" s="4"/>
      <c r="K431" s="4"/>
      <c r="L431" s="4"/>
      <c r="M431" s="4"/>
      <c r="N431" s="4"/>
      <c r="O431" s="4"/>
      <c r="P431" s="4"/>
      <c r="Q431" s="4"/>
      <c r="R431" s="4"/>
      <c r="S431" s="4"/>
      <c r="T431" s="4"/>
      <c r="U431" s="4"/>
      <c r="V431" s="4"/>
      <c r="W431" s="4"/>
      <c r="X431" s="4"/>
      <c r="Y431" s="4"/>
      <c r="Z431" s="4"/>
    </row>
    <row r="432" spans="2:26" ht="15" x14ac:dyDescent="0.25">
      <c r="B432" s="4"/>
      <c r="C432" s="4"/>
      <c r="D432" s="5"/>
      <c r="E432" s="4"/>
      <c r="F432" s="4"/>
      <c r="G432" s="4"/>
      <c r="H432" s="4"/>
      <c r="I432" s="4"/>
      <c r="J432" s="4"/>
      <c r="K432" s="4"/>
      <c r="L432" s="4"/>
      <c r="M432" s="4"/>
      <c r="N432" s="4"/>
      <c r="O432" s="4"/>
      <c r="P432" s="4"/>
      <c r="Q432" s="4"/>
      <c r="R432" s="4"/>
      <c r="S432" s="4"/>
      <c r="T432" s="4"/>
      <c r="U432" s="4"/>
      <c r="V432" s="4"/>
      <c r="W432" s="4"/>
      <c r="X432" s="4"/>
      <c r="Y432" s="4"/>
      <c r="Z432" s="4"/>
    </row>
    <row r="433" spans="2:26" ht="15" x14ac:dyDescent="0.25">
      <c r="B433" s="4"/>
      <c r="C433" s="4"/>
      <c r="D433" s="5"/>
      <c r="E433" s="4"/>
      <c r="F433" s="4"/>
      <c r="G433" s="4"/>
      <c r="H433" s="4"/>
      <c r="I433" s="4"/>
      <c r="J433" s="4"/>
      <c r="K433" s="4"/>
      <c r="L433" s="4"/>
      <c r="M433" s="4"/>
      <c r="N433" s="4"/>
      <c r="O433" s="4"/>
      <c r="P433" s="4"/>
      <c r="Q433" s="4"/>
      <c r="R433" s="4"/>
      <c r="S433" s="4"/>
      <c r="T433" s="4"/>
      <c r="U433" s="4"/>
      <c r="V433" s="4"/>
      <c r="W433" s="4"/>
      <c r="X433" s="4"/>
      <c r="Y433" s="4"/>
      <c r="Z433" s="4"/>
    </row>
    <row r="434" spans="2:26" ht="15" x14ac:dyDescent="0.25">
      <c r="B434" s="4"/>
      <c r="C434" s="4"/>
      <c r="D434" s="5"/>
      <c r="E434" s="4"/>
      <c r="F434" s="4"/>
      <c r="G434" s="4"/>
      <c r="H434" s="4"/>
      <c r="I434" s="4"/>
      <c r="J434" s="4"/>
      <c r="K434" s="4"/>
      <c r="L434" s="4"/>
      <c r="M434" s="4"/>
      <c r="N434" s="4"/>
      <c r="O434" s="4"/>
      <c r="P434" s="4"/>
      <c r="Q434" s="4"/>
      <c r="R434" s="4"/>
      <c r="S434" s="4"/>
      <c r="T434" s="4"/>
      <c r="U434" s="4"/>
      <c r="V434" s="4"/>
      <c r="W434" s="4"/>
      <c r="X434" s="4"/>
      <c r="Y434" s="4"/>
      <c r="Z434" s="4"/>
    </row>
    <row r="435" spans="2:26" ht="15" x14ac:dyDescent="0.25">
      <c r="B435" s="4"/>
      <c r="C435" s="4"/>
      <c r="D435" s="5"/>
      <c r="E435" s="4"/>
      <c r="F435" s="4"/>
      <c r="G435" s="4"/>
      <c r="H435" s="4"/>
      <c r="I435" s="4"/>
      <c r="J435" s="4"/>
      <c r="K435" s="4"/>
      <c r="L435" s="4"/>
      <c r="M435" s="4"/>
      <c r="N435" s="4"/>
      <c r="O435" s="4"/>
      <c r="P435" s="4"/>
      <c r="Q435" s="4"/>
      <c r="R435" s="4"/>
      <c r="S435" s="4"/>
      <c r="T435" s="4"/>
      <c r="U435" s="4"/>
      <c r="V435" s="4"/>
      <c r="W435" s="4"/>
      <c r="X435" s="4"/>
      <c r="Y435" s="4"/>
      <c r="Z435" s="4"/>
    </row>
    <row r="436" spans="2:26" ht="15" x14ac:dyDescent="0.25">
      <c r="B436" s="4"/>
      <c r="C436" s="4"/>
      <c r="D436" s="5"/>
      <c r="E436" s="4"/>
      <c r="F436" s="4"/>
      <c r="G436" s="4"/>
      <c r="H436" s="4"/>
      <c r="I436" s="4"/>
      <c r="J436" s="4"/>
      <c r="K436" s="4"/>
      <c r="L436" s="4"/>
      <c r="M436" s="4"/>
      <c r="N436" s="4"/>
      <c r="O436" s="4"/>
      <c r="P436" s="4"/>
      <c r="Q436" s="4"/>
      <c r="R436" s="4"/>
      <c r="S436" s="4"/>
      <c r="T436" s="4"/>
      <c r="U436" s="4"/>
      <c r="V436" s="4"/>
      <c r="W436" s="4"/>
      <c r="X436" s="4"/>
      <c r="Y436" s="4"/>
      <c r="Z436" s="4"/>
    </row>
    <row r="437" spans="2:26" ht="15" x14ac:dyDescent="0.25">
      <c r="B437" s="4"/>
      <c r="C437" s="4"/>
      <c r="D437" s="5"/>
      <c r="E437" s="4"/>
      <c r="F437" s="4"/>
      <c r="G437" s="4"/>
      <c r="H437" s="4"/>
      <c r="I437" s="4"/>
      <c r="J437" s="4"/>
      <c r="K437" s="4"/>
      <c r="L437" s="4"/>
      <c r="M437" s="4"/>
      <c r="N437" s="4"/>
      <c r="O437" s="4"/>
      <c r="P437" s="4"/>
      <c r="Q437" s="4"/>
      <c r="R437" s="4"/>
      <c r="S437" s="4"/>
      <c r="T437" s="4"/>
      <c r="U437" s="4"/>
      <c r="V437" s="4"/>
      <c r="W437" s="4"/>
      <c r="X437" s="4"/>
      <c r="Y437" s="4"/>
      <c r="Z437" s="4"/>
    </row>
    <row r="438" spans="2:26" ht="15" x14ac:dyDescent="0.25">
      <c r="B438" s="4"/>
      <c r="C438" s="4"/>
      <c r="D438" s="5"/>
      <c r="E438" s="4"/>
      <c r="F438" s="4"/>
      <c r="G438" s="4"/>
      <c r="H438" s="4"/>
      <c r="I438" s="4"/>
      <c r="J438" s="4"/>
      <c r="K438" s="4"/>
      <c r="L438" s="4"/>
      <c r="M438" s="4"/>
      <c r="N438" s="4"/>
      <c r="O438" s="4"/>
      <c r="P438" s="4"/>
      <c r="Q438" s="4"/>
      <c r="R438" s="4"/>
      <c r="S438" s="4"/>
      <c r="T438" s="4"/>
      <c r="U438" s="4"/>
      <c r="V438" s="4"/>
      <c r="W438" s="4"/>
      <c r="X438" s="4"/>
      <c r="Y438" s="4"/>
      <c r="Z438" s="4"/>
    </row>
    <row r="439" spans="2:26" ht="15" x14ac:dyDescent="0.25">
      <c r="B439" s="4"/>
      <c r="C439" s="4"/>
      <c r="D439" s="5"/>
      <c r="E439" s="4"/>
      <c r="F439" s="4"/>
      <c r="G439" s="4"/>
      <c r="H439" s="4"/>
      <c r="I439" s="4"/>
      <c r="J439" s="4"/>
      <c r="K439" s="4"/>
      <c r="L439" s="4"/>
      <c r="M439" s="4"/>
      <c r="N439" s="4"/>
      <c r="O439" s="4"/>
      <c r="P439" s="4"/>
      <c r="Q439" s="4"/>
      <c r="R439" s="4"/>
      <c r="S439" s="4"/>
      <c r="T439" s="4"/>
      <c r="U439" s="4"/>
      <c r="V439" s="4"/>
      <c r="W439" s="4"/>
      <c r="X439" s="4"/>
      <c r="Y439" s="4"/>
      <c r="Z439" s="4"/>
    </row>
    <row r="440" spans="2:26" ht="15" x14ac:dyDescent="0.25">
      <c r="B440" s="4"/>
      <c r="C440" s="4"/>
      <c r="D440" s="5"/>
      <c r="E440" s="4"/>
      <c r="F440" s="4"/>
      <c r="G440" s="4"/>
      <c r="H440" s="4"/>
      <c r="I440" s="4"/>
      <c r="J440" s="4"/>
      <c r="K440" s="4"/>
      <c r="L440" s="4"/>
      <c r="M440" s="4"/>
      <c r="N440" s="4"/>
      <c r="O440" s="4"/>
      <c r="P440" s="4"/>
      <c r="Q440" s="4"/>
      <c r="R440" s="4"/>
      <c r="S440" s="4"/>
      <c r="T440" s="4"/>
      <c r="U440" s="4"/>
      <c r="V440" s="4"/>
      <c r="W440" s="4"/>
      <c r="X440" s="4"/>
      <c r="Y440" s="4"/>
      <c r="Z440" s="4"/>
    </row>
    <row r="441" spans="2:26" ht="15" x14ac:dyDescent="0.25">
      <c r="B441" s="4"/>
      <c r="C441" s="4"/>
      <c r="D441" s="5"/>
      <c r="E441" s="4"/>
      <c r="F441" s="4"/>
      <c r="G441" s="4"/>
      <c r="H441" s="4"/>
      <c r="I441" s="4"/>
      <c r="J441" s="4"/>
      <c r="K441" s="4"/>
      <c r="L441" s="4"/>
      <c r="M441" s="4"/>
      <c r="N441" s="4"/>
      <c r="O441" s="4"/>
      <c r="P441" s="4"/>
      <c r="Q441" s="4"/>
      <c r="R441" s="4"/>
      <c r="S441" s="4"/>
      <c r="T441" s="4"/>
      <c r="U441" s="4"/>
      <c r="V441" s="4"/>
      <c r="W441" s="4"/>
      <c r="X441" s="4"/>
      <c r="Y441" s="4"/>
      <c r="Z441" s="4"/>
    </row>
    <row r="442" spans="2:26" ht="15" x14ac:dyDescent="0.25">
      <c r="B442" s="4"/>
      <c r="C442" s="4"/>
      <c r="D442" s="5"/>
      <c r="E442" s="4"/>
      <c r="F442" s="4"/>
      <c r="G442" s="4"/>
      <c r="H442" s="4"/>
      <c r="I442" s="4"/>
      <c r="J442" s="4"/>
      <c r="K442" s="4"/>
      <c r="L442" s="4"/>
      <c r="M442" s="4"/>
      <c r="N442" s="4"/>
      <c r="O442" s="4"/>
      <c r="P442" s="4"/>
      <c r="Q442" s="4"/>
      <c r="R442" s="4"/>
      <c r="S442" s="4"/>
      <c r="T442" s="4"/>
      <c r="U442" s="4"/>
      <c r="V442" s="4"/>
      <c r="W442" s="4"/>
      <c r="X442" s="4"/>
      <c r="Y442" s="4"/>
      <c r="Z442" s="4"/>
    </row>
    <row r="443" spans="2:26" ht="15" x14ac:dyDescent="0.25">
      <c r="B443" s="4"/>
      <c r="C443" s="4"/>
      <c r="D443" s="5"/>
      <c r="E443" s="4"/>
      <c r="F443" s="4"/>
      <c r="G443" s="4"/>
      <c r="H443" s="4"/>
      <c r="I443" s="4"/>
      <c r="J443" s="4"/>
      <c r="K443" s="4"/>
      <c r="L443" s="4"/>
      <c r="M443" s="4"/>
      <c r="N443" s="4"/>
      <c r="O443" s="4"/>
      <c r="P443" s="4"/>
      <c r="Q443" s="4"/>
      <c r="R443" s="4"/>
      <c r="S443" s="4"/>
      <c r="T443" s="4"/>
      <c r="U443" s="4"/>
      <c r="V443" s="4"/>
      <c r="W443" s="4"/>
      <c r="X443" s="4"/>
      <c r="Y443" s="4"/>
      <c r="Z443" s="4"/>
    </row>
    <row r="444" spans="2:26" ht="15" x14ac:dyDescent="0.25">
      <c r="B444" s="4"/>
      <c r="C444" s="4"/>
      <c r="D444" s="5"/>
      <c r="E444" s="4"/>
      <c r="F444" s="4"/>
      <c r="G444" s="4"/>
      <c r="H444" s="4"/>
      <c r="I444" s="4"/>
      <c r="J444" s="4"/>
      <c r="K444" s="4"/>
      <c r="L444" s="4"/>
      <c r="M444" s="4"/>
      <c r="N444" s="4"/>
      <c r="O444" s="4"/>
      <c r="P444" s="4"/>
      <c r="Q444" s="4"/>
      <c r="R444" s="4"/>
      <c r="S444" s="4"/>
      <c r="T444" s="4"/>
      <c r="U444" s="4"/>
      <c r="V444" s="4"/>
      <c r="W444" s="4"/>
      <c r="X444" s="4"/>
      <c r="Y444" s="4"/>
      <c r="Z444" s="4"/>
    </row>
    <row r="445" spans="2:26" ht="15" x14ac:dyDescent="0.25">
      <c r="B445" s="4"/>
      <c r="C445" s="4"/>
      <c r="D445" s="5"/>
      <c r="E445" s="4"/>
      <c r="F445" s="4"/>
      <c r="G445" s="4"/>
      <c r="H445" s="4"/>
      <c r="I445" s="4"/>
      <c r="J445" s="4"/>
      <c r="K445" s="4"/>
      <c r="L445" s="4"/>
      <c r="M445" s="4"/>
      <c r="N445" s="4"/>
      <c r="O445" s="4"/>
      <c r="P445" s="4"/>
      <c r="Q445" s="4"/>
      <c r="R445" s="4"/>
      <c r="S445" s="4"/>
      <c r="T445" s="4"/>
      <c r="U445" s="4"/>
      <c r="V445" s="4"/>
      <c r="W445" s="4"/>
      <c r="X445" s="4"/>
      <c r="Y445" s="4"/>
      <c r="Z445" s="4"/>
    </row>
    <row r="446" spans="2:26" ht="15" x14ac:dyDescent="0.25">
      <c r="B446" s="4"/>
      <c r="C446" s="4"/>
      <c r="D446" s="5"/>
      <c r="E446" s="4"/>
      <c r="F446" s="4"/>
      <c r="G446" s="4"/>
      <c r="H446" s="4"/>
      <c r="I446" s="4"/>
      <c r="J446" s="4"/>
      <c r="K446" s="4"/>
      <c r="L446" s="4"/>
      <c r="M446" s="4"/>
      <c r="N446" s="4"/>
      <c r="O446" s="4"/>
      <c r="P446" s="4"/>
      <c r="Q446" s="4"/>
      <c r="R446" s="4"/>
      <c r="S446" s="4"/>
      <c r="T446" s="4"/>
      <c r="U446" s="4"/>
      <c r="V446" s="4"/>
      <c r="W446" s="4"/>
      <c r="X446" s="4"/>
      <c r="Y446" s="4"/>
      <c r="Z446" s="4"/>
    </row>
    <row r="447" spans="2:26" ht="15" x14ac:dyDescent="0.25">
      <c r="B447" s="4"/>
      <c r="C447" s="4"/>
      <c r="D447" s="5"/>
      <c r="E447" s="4"/>
      <c r="F447" s="4"/>
      <c r="G447" s="4"/>
      <c r="H447" s="4"/>
      <c r="I447" s="4"/>
      <c r="J447" s="4"/>
      <c r="K447" s="4"/>
      <c r="L447" s="4"/>
      <c r="M447" s="4"/>
      <c r="N447" s="4"/>
      <c r="O447" s="4"/>
      <c r="P447" s="4"/>
      <c r="Q447" s="4"/>
      <c r="R447" s="4"/>
      <c r="S447" s="4"/>
      <c r="T447" s="4"/>
      <c r="U447" s="4"/>
      <c r="V447" s="4"/>
      <c r="W447" s="4"/>
      <c r="X447" s="4"/>
      <c r="Y447" s="4"/>
      <c r="Z447" s="4"/>
    </row>
    <row r="448" spans="2:26" ht="15" x14ac:dyDescent="0.25">
      <c r="B448" s="4"/>
      <c r="C448" s="4"/>
      <c r="D448" s="5"/>
      <c r="E448" s="4"/>
      <c r="F448" s="4"/>
      <c r="G448" s="4"/>
      <c r="H448" s="4"/>
      <c r="I448" s="4"/>
      <c r="J448" s="4"/>
      <c r="K448" s="4"/>
      <c r="L448" s="4"/>
      <c r="M448" s="4"/>
      <c r="N448" s="4"/>
      <c r="O448" s="4"/>
      <c r="P448" s="4"/>
      <c r="Q448" s="4"/>
      <c r="R448" s="4"/>
      <c r="S448" s="4"/>
      <c r="T448" s="4"/>
      <c r="U448" s="4"/>
      <c r="V448" s="4"/>
      <c r="W448" s="4"/>
      <c r="X448" s="4"/>
      <c r="Y448" s="4"/>
      <c r="Z448" s="4"/>
    </row>
    <row r="449" spans="2:26" ht="15" x14ac:dyDescent="0.25">
      <c r="B449" s="4"/>
      <c r="C449" s="4"/>
      <c r="D449" s="5"/>
      <c r="E449" s="4"/>
      <c r="F449" s="4"/>
      <c r="G449" s="4"/>
      <c r="H449" s="4"/>
      <c r="I449" s="4"/>
      <c r="J449" s="4"/>
      <c r="K449" s="4"/>
      <c r="L449" s="4"/>
      <c r="M449" s="4"/>
      <c r="N449" s="4"/>
      <c r="O449" s="4"/>
      <c r="P449" s="4"/>
      <c r="Q449" s="4"/>
      <c r="R449" s="4"/>
      <c r="S449" s="4"/>
      <c r="T449" s="4"/>
      <c r="U449" s="4"/>
      <c r="V449" s="4"/>
      <c r="W449" s="4"/>
      <c r="X449" s="4"/>
      <c r="Y449" s="4"/>
      <c r="Z449" s="4"/>
    </row>
    <row r="450" spans="2:26" ht="15" x14ac:dyDescent="0.25">
      <c r="B450" s="4"/>
      <c r="C450" s="4"/>
      <c r="D450" s="5"/>
      <c r="E450" s="4"/>
      <c r="F450" s="4"/>
      <c r="G450" s="4"/>
      <c r="H450" s="4"/>
      <c r="I450" s="4"/>
      <c r="J450" s="4"/>
      <c r="K450" s="4"/>
      <c r="L450" s="4"/>
      <c r="M450" s="4"/>
      <c r="N450" s="4"/>
      <c r="O450" s="4"/>
      <c r="P450" s="4"/>
      <c r="Q450" s="4"/>
      <c r="R450" s="4"/>
      <c r="S450" s="4"/>
      <c r="T450" s="4"/>
      <c r="U450" s="4"/>
      <c r="V450" s="4"/>
      <c r="W450" s="4"/>
      <c r="X450" s="4"/>
      <c r="Y450" s="4"/>
      <c r="Z450" s="4"/>
    </row>
    <row r="451" spans="2:26" ht="15" x14ac:dyDescent="0.25">
      <c r="B451" s="4"/>
      <c r="C451" s="4"/>
      <c r="D451" s="5"/>
      <c r="E451" s="4"/>
      <c r="F451" s="4"/>
      <c r="G451" s="4"/>
      <c r="H451" s="4"/>
      <c r="I451" s="4"/>
      <c r="J451" s="4"/>
      <c r="K451" s="4"/>
      <c r="L451" s="4"/>
      <c r="M451" s="4"/>
      <c r="N451" s="4"/>
      <c r="O451" s="4"/>
      <c r="P451" s="4"/>
      <c r="Q451" s="4"/>
      <c r="R451" s="4"/>
      <c r="S451" s="4"/>
      <c r="T451" s="4"/>
      <c r="U451" s="4"/>
      <c r="V451" s="4"/>
      <c r="W451" s="4"/>
      <c r="X451" s="4"/>
      <c r="Y451" s="4"/>
      <c r="Z451" s="4"/>
    </row>
    <row r="452" spans="2:26" ht="15" x14ac:dyDescent="0.25">
      <c r="B452" s="4"/>
      <c r="C452" s="4"/>
      <c r="D452" s="5"/>
      <c r="E452" s="4"/>
      <c r="F452" s="4"/>
      <c r="G452" s="4"/>
      <c r="H452" s="4"/>
      <c r="I452" s="4"/>
      <c r="J452" s="4"/>
      <c r="K452" s="4"/>
      <c r="L452" s="4"/>
      <c r="M452" s="4"/>
      <c r="N452" s="4"/>
      <c r="O452" s="4"/>
      <c r="P452" s="4"/>
      <c r="Q452" s="4"/>
      <c r="R452" s="4"/>
      <c r="S452" s="4"/>
      <c r="T452" s="4"/>
      <c r="U452" s="4"/>
      <c r="V452" s="4"/>
      <c r="W452" s="4"/>
      <c r="X452" s="4"/>
      <c r="Y452" s="4"/>
      <c r="Z452" s="4"/>
    </row>
    <row r="453" spans="2:26" ht="15" x14ac:dyDescent="0.25">
      <c r="B453" s="4"/>
      <c r="C453" s="4"/>
      <c r="D453" s="5"/>
      <c r="E453" s="4"/>
      <c r="F453" s="4"/>
      <c r="G453" s="4"/>
      <c r="H453" s="4"/>
      <c r="I453" s="4"/>
      <c r="J453" s="4"/>
      <c r="K453" s="4"/>
      <c r="L453" s="4"/>
      <c r="M453" s="4"/>
      <c r="N453" s="4"/>
      <c r="O453" s="4"/>
      <c r="P453" s="4"/>
      <c r="Q453" s="4"/>
      <c r="R453" s="4"/>
      <c r="S453" s="4"/>
      <c r="T453" s="4"/>
      <c r="U453" s="4"/>
      <c r="V453" s="4"/>
      <c r="W453" s="4"/>
      <c r="X453" s="4"/>
      <c r="Y453" s="4"/>
      <c r="Z453" s="4"/>
    </row>
    <row r="454" spans="2:26" ht="15" x14ac:dyDescent="0.25">
      <c r="B454" s="4"/>
      <c r="C454" s="4"/>
      <c r="D454" s="5"/>
      <c r="E454" s="4"/>
      <c r="F454" s="4"/>
      <c r="G454" s="4"/>
      <c r="H454" s="4"/>
      <c r="I454" s="4"/>
      <c r="J454" s="4"/>
      <c r="K454" s="4"/>
      <c r="L454" s="4"/>
      <c r="M454" s="4"/>
      <c r="N454" s="4"/>
      <c r="O454" s="4"/>
      <c r="P454" s="4"/>
      <c r="Q454" s="4"/>
      <c r="R454" s="4"/>
      <c r="S454" s="4"/>
      <c r="T454" s="4"/>
      <c r="U454" s="4"/>
      <c r="V454" s="4"/>
      <c r="W454" s="4"/>
      <c r="X454" s="4"/>
      <c r="Y454" s="4"/>
      <c r="Z454" s="4"/>
    </row>
    <row r="455" spans="2:26" ht="15" x14ac:dyDescent="0.25">
      <c r="B455" s="4"/>
      <c r="C455" s="4"/>
      <c r="D455" s="5"/>
      <c r="E455" s="4"/>
      <c r="F455" s="4"/>
      <c r="G455" s="4"/>
      <c r="H455" s="4"/>
      <c r="I455" s="4"/>
      <c r="J455" s="4"/>
      <c r="K455" s="4"/>
      <c r="L455" s="4"/>
      <c r="M455" s="4"/>
      <c r="N455" s="4"/>
      <c r="O455" s="4"/>
      <c r="P455" s="4"/>
      <c r="Q455" s="4"/>
      <c r="R455" s="4"/>
      <c r="S455" s="4"/>
      <c r="T455" s="4"/>
      <c r="U455" s="4"/>
      <c r="V455" s="4"/>
      <c r="W455" s="4"/>
      <c r="X455" s="4"/>
      <c r="Y455" s="4"/>
      <c r="Z455" s="4"/>
    </row>
    <row r="456" spans="2:26" ht="15" x14ac:dyDescent="0.25">
      <c r="B456" s="4"/>
      <c r="C456" s="4"/>
      <c r="D456" s="5"/>
      <c r="E456" s="4"/>
      <c r="F456" s="4"/>
      <c r="G456" s="4"/>
      <c r="H456" s="4"/>
      <c r="I456" s="4"/>
      <c r="J456" s="4"/>
      <c r="K456" s="4"/>
      <c r="L456" s="4"/>
      <c r="M456" s="4"/>
      <c r="N456" s="4"/>
      <c r="O456" s="4"/>
      <c r="P456" s="4"/>
      <c r="Q456" s="4"/>
      <c r="R456" s="4"/>
      <c r="S456" s="4"/>
      <c r="T456" s="4"/>
      <c r="U456" s="4"/>
      <c r="V456" s="4"/>
      <c r="W456" s="4"/>
      <c r="X456" s="4"/>
      <c r="Y456" s="4"/>
      <c r="Z456" s="4"/>
    </row>
    <row r="457" spans="2:26" ht="15" x14ac:dyDescent="0.25">
      <c r="B457" s="4"/>
      <c r="C457" s="4"/>
      <c r="D457" s="5"/>
      <c r="E457" s="4"/>
      <c r="F457" s="4"/>
      <c r="G457" s="4"/>
      <c r="H457" s="4"/>
      <c r="I457" s="4"/>
      <c r="J457" s="4"/>
      <c r="K457" s="4"/>
      <c r="L457" s="4"/>
      <c r="M457" s="4"/>
      <c r="N457" s="4"/>
      <c r="O457" s="4"/>
      <c r="P457" s="4"/>
      <c r="Q457" s="4"/>
      <c r="R457" s="4"/>
      <c r="S457" s="4"/>
      <c r="T457" s="4"/>
      <c r="U457" s="4"/>
      <c r="V457" s="4"/>
      <c r="W457" s="4"/>
      <c r="X457" s="4"/>
      <c r="Y457" s="4"/>
      <c r="Z457" s="4"/>
    </row>
    <row r="458" spans="2:26" ht="15" x14ac:dyDescent="0.25">
      <c r="B458" s="4"/>
      <c r="C458" s="4"/>
      <c r="D458" s="5"/>
      <c r="E458" s="4"/>
      <c r="F458" s="4"/>
      <c r="G458" s="4"/>
      <c r="H458" s="4"/>
      <c r="I458" s="4"/>
      <c r="J458" s="4"/>
      <c r="K458" s="4"/>
      <c r="L458" s="4"/>
      <c r="M458" s="4"/>
      <c r="N458" s="4"/>
      <c r="O458" s="4"/>
      <c r="P458" s="4"/>
      <c r="Q458" s="4"/>
      <c r="R458" s="4"/>
      <c r="S458" s="4"/>
      <c r="T458" s="4"/>
      <c r="U458" s="4"/>
      <c r="V458" s="4"/>
      <c r="W458" s="4"/>
      <c r="X458" s="4"/>
      <c r="Y458" s="4"/>
      <c r="Z458" s="4"/>
    </row>
    <row r="459" spans="2:26" ht="15" x14ac:dyDescent="0.25">
      <c r="B459" s="4"/>
      <c r="C459" s="4"/>
      <c r="D459" s="5"/>
      <c r="E459" s="4"/>
      <c r="F459" s="4"/>
      <c r="G459" s="4"/>
      <c r="H459" s="4"/>
      <c r="I459" s="4"/>
      <c r="J459" s="4"/>
      <c r="K459" s="4"/>
      <c r="L459" s="4"/>
      <c r="M459" s="4"/>
      <c r="N459" s="4"/>
      <c r="O459" s="4"/>
      <c r="P459" s="4"/>
      <c r="Q459" s="4"/>
      <c r="R459" s="4"/>
      <c r="S459" s="4"/>
      <c r="T459" s="4"/>
      <c r="U459" s="4"/>
      <c r="V459" s="4"/>
      <c r="W459" s="4"/>
      <c r="X459" s="4"/>
      <c r="Y459" s="4"/>
      <c r="Z459" s="4"/>
    </row>
    <row r="460" spans="2:26" ht="15" x14ac:dyDescent="0.25">
      <c r="B460" s="4"/>
      <c r="C460" s="4"/>
      <c r="D460" s="5"/>
      <c r="E460" s="4"/>
      <c r="F460" s="4"/>
      <c r="G460" s="4"/>
      <c r="H460" s="4"/>
      <c r="I460" s="4"/>
      <c r="J460" s="4"/>
      <c r="K460" s="4"/>
      <c r="L460" s="4"/>
      <c r="M460" s="4"/>
      <c r="N460" s="4"/>
      <c r="O460" s="4"/>
      <c r="P460" s="4"/>
      <c r="Q460" s="4"/>
      <c r="R460" s="4"/>
      <c r="S460" s="4"/>
      <c r="T460" s="4"/>
      <c r="U460" s="4"/>
      <c r="V460" s="4"/>
      <c r="W460" s="4"/>
      <c r="X460" s="4"/>
      <c r="Y460" s="4"/>
      <c r="Z460" s="4"/>
    </row>
    <row r="461" spans="2:26" ht="15" x14ac:dyDescent="0.25">
      <c r="B461" s="4"/>
      <c r="C461" s="4"/>
      <c r="D461" s="5"/>
      <c r="E461" s="4"/>
      <c r="F461" s="4"/>
      <c r="G461" s="4"/>
      <c r="H461" s="4"/>
      <c r="I461" s="4"/>
      <c r="J461" s="4"/>
      <c r="K461" s="4"/>
      <c r="L461" s="4"/>
      <c r="M461" s="4"/>
      <c r="N461" s="4"/>
      <c r="O461" s="4"/>
      <c r="P461" s="4"/>
      <c r="Q461" s="4"/>
      <c r="R461" s="4"/>
      <c r="S461" s="4"/>
      <c r="T461" s="4"/>
      <c r="U461" s="4"/>
      <c r="V461" s="4"/>
      <c r="W461" s="4"/>
      <c r="X461" s="4"/>
      <c r="Y461" s="4"/>
      <c r="Z461" s="4"/>
    </row>
    <row r="462" spans="2:26" ht="15" x14ac:dyDescent="0.25">
      <c r="B462" s="4"/>
      <c r="C462" s="4"/>
      <c r="D462" s="5"/>
      <c r="E462" s="4"/>
      <c r="F462" s="4"/>
      <c r="G462" s="4"/>
      <c r="H462" s="4"/>
      <c r="I462" s="4"/>
      <c r="J462" s="4"/>
      <c r="K462" s="4"/>
      <c r="L462" s="4"/>
      <c r="M462" s="4"/>
      <c r="N462" s="4"/>
      <c r="O462" s="4"/>
      <c r="P462" s="4"/>
      <c r="Q462" s="4"/>
      <c r="R462" s="4"/>
      <c r="S462" s="4"/>
      <c r="T462" s="4"/>
      <c r="U462" s="4"/>
      <c r="V462" s="4"/>
      <c r="W462" s="4"/>
      <c r="X462" s="4"/>
      <c r="Y462" s="4"/>
      <c r="Z462" s="4"/>
    </row>
    <row r="463" spans="2:26" ht="15" x14ac:dyDescent="0.25">
      <c r="B463" s="4"/>
      <c r="C463" s="4"/>
      <c r="D463" s="5"/>
      <c r="E463" s="4"/>
      <c r="F463" s="4"/>
      <c r="G463" s="4"/>
      <c r="H463" s="4"/>
      <c r="I463" s="4"/>
      <c r="J463" s="4"/>
      <c r="K463" s="4"/>
      <c r="L463" s="4"/>
      <c r="M463" s="4"/>
      <c r="N463" s="4"/>
      <c r="O463" s="4"/>
      <c r="P463" s="4"/>
      <c r="Q463" s="4"/>
      <c r="R463" s="4"/>
      <c r="S463" s="4"/>
      <c r="T463" s="4"/>
      <c r="U463" s="4"/>
      <c r="V463" s="4"/>
      <c r="W463" s="4"/>
      <c r="X463" s="4"/>
      <c r="Y463" s="4"/>
      <c r="Z463" s="4"/>
    </row>
    <row r="464" spans="2:26" ht="15" x14ac:dyDescent="0.25">
      <c r="B464" s="4"/>
      <c r="C464" s="4"/>
      <c r="D464" s="5"/>
      <c r="E464" s="4"/>
      <c r="F464" s="4"/>
      <c r="G464" s="4"/>
      <c r="H464" s="4"/>
      <c r="I464" s="4"/>
      <c r="J464" s="4"/>
      <c r="K464" s="4"/>
      <c r="L464" s="4"/>
      <c r="M464" s="4"/>
      <c r="N464" s="4"/>
      <c r="O464" s="4"/>
      <c r="P464" s="4"/>
      <c r="Q464" s="4"/>
      <c r="R464" s="4"/>
      <c r="S464" s="4"/>
      <c r="T464" s="4"/>
      <c r="U464" s="4"/>
      <c r="V464" s="4"/>
      <c r="W464" s="4"/>
      <c r="X464" s="4"/>
      <c r="Y464" s="4"/>
      <c r="Z464" s="4"/>
    </row>
    <row r="465" spans="2:26" ht="15" x14ac:dyDescent="0.25">
      <c r="B465" s="4"/>
      <c r="C465" s="4"/>
      <c r="D465" s="5"/>
      <c r="E465" s="4"/>
      <c r="F465" s="4"/>
      <c r="G465" s="4"/>
      <c r="H465" s="4"/>
      <c r="I465" s="4"/>
      <c r="J465" s="4"/>
      <c r="K465" s="4"/>
      <c r="L465" s="4"/>
      <c r="M465" s="4"/>
      <c r="N465" s="4"/>
      <c r="O465" s="4"/>
      <c r="P465" s="4"/>
      <c r="Q465" s="4"/>
      <c r="R465" s="4"/>
      <c r="S465" s="4"/>
      <c r="T465" s="4"/>
      <c r="U465" s="4"/>
      <c r="V465" s="4"/>
      <c r="W465" s="4"/>
      <c r="X465" s="4"/>
      <c r="Y465" s="4"/>
      <c r="Z465" s="4"/>
    </row>
    <row r="466" spans="2:26" ht="15" x14ac:dyDescent="0.25">
      <c r="B466" s="4"/>
      <c r="C466" s="4"/>
      <c r="D466" s="5"/>
      <c r="E466" s="4"/>
      <c r="F466" s="4"/>
      <c r="G466" s="4"/>
      <c r="H466" s="4"/>
      <c r="I466" s="4"/>
      <c r="J466" s="4"/>
      <c r="K466" s="4"/>
      <c r="L466" s="4"/>
      <c r="M466" s="4"/>
      <c r="N466" s="4"/>
      <c r="O466" s="4"/>
      <c r="P466" s="4"/>
      <c r="Q466" s="4"/>
      <c r="R466" s="4"/>
      <c r="S466" s="4"/>
      <c r="T466" s="4"/>
      <c r="U466" s="4"/>
      <c r="V466" s="4"/>
      <c r="W466" s="4"/>
      <c r="X466" s="4"/>
      <c r="Y466" s="4"/>
      <c r="Z466" s="4"/>
    </row>
    <row r="467" spans="2:26" ht="15" x14ac:dyDescent="0.25">
      <c r="B467" s="4"/>
      <c r="C467" s="4"/>
      <c r="D467" s="5"/>
      <c r="E467" s="4"/>
      <c r="F467" s="4"/>
      <c r="G467" s="4"/>
      <c r="H467" s="4"/>
      <c r="I467" s="4"/>
      <c r="J467" s="4"/>
      <c r="K467" s="4"/>
      <c r="L467" s="4"/>
      <c r="M467" s="4"/>
      <c r="N467" s="4"/>
      <c r="O467" s="4"/>
      <c r="P467" s="4"/>
      <c r="Q467" s="4"/>
      <c r="R467" s="4"/>
      <c r="S467" s="4"/>
      <c r="T467" s="4"/>
      <c r="U467" s="4"/>
      <c r="V467" s="4"/>
      <c r="W467" s="4"/>
      <c r="X467" s="4"/>
      <c r="Y467" s="4"/>
      <c r="Z467" s="4"/>
    </row>
    <row r="468" spans="2:26" ht="15" x14ac:dyDescent="0.25">
      <c r="B468" s="4"/>
      <c r="C468" s="4"/>
      <c r="D468" s="5"/>
      <c r="E468" s="4"/>
      <c r="F468" s="4"/>
      <c r="G468" s="4"/>
      <c r="H468" s="4"/>
      <c r="I468" s="4"/>
      <c r="J468" s="4"/>
      <c r="K468" s="4"/>
      <c r="L468" s="4"/>
      <c r="M468" s="4"/>
      <c r="N468" s="4"/>
      <c r="O468" s="4"/>
      <c r="P468" s="4"/>
      <c r="Q468" s="4"/>
      <c r="R468" s="4"/>
      <c r="S468" s="4"/>
      <c r="T468" s="4"/>
      <c r="U468" s="4"/>
      <c r="V468" s="4"/>
      <c r="W468" s="4"/>
      <c r="X468" s="4"/>
      <c r="Y468" s="4"/>
      <c r="Z468" s="4"/>
    </row>
    <row r="469" spans="2:26" ht="15" x14ac:dyDescent="0.25">
      <c r="B469" s="4"/>
      <c r="C469" s="4"/>
      <c r="D469" s="5"/>
      <c r="E469" s="4"/>
      <c r="F469" s="4"/>
      <c r="G469" s="4"/>
      <c r="H469" s="4"/>
      <c r="I469" s="4"/>
      <c r="J469" s="4"/>
      <c r="K469" s="4"/>
      <c r="L469" s="4"/>
      <c r="M469" s="4"/>
      <c r="N469" s="4"/>
      <c r="O469" s="4"/>
      <c r="P469" s="4"/>
      <c r="Q469" s="4"/>
      <c r="R469" s="4"/>
      <c r="S469" s="4"/>
      <c r="T469" s="4"/>
      <c r="U469" s="4"/>
      <c r="V469" s="4"/>
      <c r="W469" s="4"/>
      <c r="X469" s="4"/>
      <c r="Y469" s="4"/>
      <c r="Z469" s="4"/>
    </row>
    <row r="470" spans="2:26" ht="15" x14ac:dyDescent="0.25">
      <c r="B470" s="4"/>
      <c r="C470" s="4"/>
      <c r="D470" s="5"/>
      <c r="E470" s="4"/>
      <c r="F470" s="4"/>
      <c r="G470" s="4"/>
      <c r="H470" s="4"/>
      <c r="I470" s="4"/>
      <c r="J470" s="4"/>
      <c r="K470" s="4"/>
      <c r="L470" s="4"/>
      <c r="M470" s="4"/>
      <c r="N470" s="4"/>
      <c r="O470" s="4"/>
      <c r="P470" s="4"/>
      <c r="Q470" s="4"/>
      <c r="R470" s="4"/>
      <c r="S470" s="4"/>
      <c r="T470" s="4"/>
      <c r="U470" s="4"/>
      <c r="V470" s="4"/>
      <c r="W470" s="4"/>
      <c r="X470" s="4"/>
      <c r="Y470" s="4"/>
      <c r="Z470" s="4"/>
    </row>
    <row r="471" spans="2:26" ht="15" x14ac:dyDescent="0.25">
      <c r="B471" s="4"/>
      <c r="C471" s="4"/>
      <c r="D471" s="5"/>
      <c r="E471" s="4"/>
      <c r="F471" s="4"/>
      <c r="G471" s="4"/>
      <c r="H471" s="4"/>
      <c r="I471" s="4"/>
      <c r="J471" s="4"/>
      <c r="K471" s="4"/>
      <c r="L471" s="4"/>
      <c r="M471" s="4"/>
      <c r="N471" s="4"/>
      <c r="O471" s="4"/>
      <c r="P471" s="4"/>
      <c r="Q471" s="4"/>
      <c r="R471" s="4"/>
      <c r="S471" s="4"/>
      <c r="T471" s="4"/>
      <c r="U471" s="4"/>
      <c r="V471" s="4"/>
      <c r="W471" s="4"/>
      <c r="X471" s="4"/>
      <c r="Y471" s="4"/>
      <c r="Z471" s="4"/>
    </row>
    <row r="472" spans="2:26" ht="15" x14ac:dyDescent="0.25">
      <c r="B472" s="4"/>
      <c r="C472" s="4"/>
      <c r="D472" s="5"/>
      <c r="E472" s="4"/>
      <c r="F472" s="4"/>
      <c r="G472" s="4"/>
      <c r="H472" s="4"/>
      <c r="I472" s="4"/>
      <c r="J472" s="4"/>
      <c r="K472" s="4"/>
      <c r="L472" s="4"/>
      <c r="M472" s="4"/>
      <c r="N472" s="4"/>
      <c r="O472" s="4"/>
      <c r="P472" s="4"/>
      <c r="Q472" s="4"/>
      <c r="R472" s="4"/>
      <c r="S472" s="4"/>
      <c r="T472" s="4"/>
      <c r="U472" s="4"/>
      <c r="V472" s="4"/>
      <c r="W472" s="4"/>
      <c r="X472" s="4"/>
      <c r="Y472" s="4"/>
      <c r="Z472" s="4"/>
    </row>
    <row r="473" spans="2:26" ht="15" x14ac:dyDescent="0.25">
      <c r="B473" s="4"/>
      <c r="C473" s="4"/>
      <c r="D473" s="5"/>
      <c r="E473" s="4"/>
      <c r="F473" s="4"/>
      <c r="G473" s="4"/>
      <c r="H473" s="4"/>
      <c r="I473" s="4"/>
      <c r="J473" s="4"/>
      <c r="K473" s="4"/>
      <c r="L473" s="4"/>
      <c r="M473" s="4"/>
      <c r="N473" s="4"/>
      <c r="O473" s="4"/>
      <c r="P473" s="4"/>
      <c r="Q473" s="4"/>
      <c r="R473" s="4"/>
      <c r="S473" s="4"/>
      <c r="T473" s="4"/>
      <c r="U473" s="4"/>
      <c r="V473" s="4"/>
      <c r="W473" s="4"/>
      <c r="X473" s="4"/>
      <c r="Y473" s="4"/>
      <c r="Z473" s="4"/>
    </row>
    <row r="474" spans="2:26" ht="15" x14ac:dyDescent="0.25">
      <c r="B474" s="4"/>
      <c r="C474" s="4"/>
      <c r="D474" s="5"/>
      <c r="E474" s="4"/>
      <c r="F474" s="4"/>
      <c r="G474" s="4"/>
      <c r="H474" s="4"/>
      <c r="I474" s="4"/>
      <c r="J474" s="4"/>
      <c r="K474" s="4"/>
      <c r="L474" s="4"/>
      <c r="M474" s="4"/>
      <c r="N474" s="4"/>
      <c r="O474" s="4"/>
      <c r="P474" s="4"/>
      <c r="Q474" s="4"/>
      <c r="R474" s="4"/>
      <c r="S474" s="4"/>
      <c r="T474" s="4"/>
      <c r="U474" s="4"/>
      <c r="V474" s="4"/>
      <c r="W474" s="4"/>
      <c r="X474" s="4"/>
      <c r="Y474" s="4"/>
      <c r="Z474" s="4"/>
    </row>
    <row r="475" spans="2:26" ht="15" x14ac:dyDescent="0.25">
      <c r="B475" s="4"/>
      <c r="C475" s="4"/>
      <c r="D475" s="5"/>
      <c r="E475" s="4"/>
      <c r="F475" s="4"/>
      <c r="G475" s="4"/>
      <c r="H475" s="4"/>
      <c r="I475" s="4"/>
      <c r="J475" s="4"/>
      <c r="K475" s="4"/>
      <c r="L475" s="4"/>
      <c r="M475" s="4"/>
      <c r="N475" s="4"/>
      <c r="O475" s="4"/>
      <c r="P475" s="4"/>
      <c r="Q475" s="4"/>
      <c r="R475" s="4"/>
      <c r="S475" s="4"/>
      <c r="T475" s="4"/>
      <c r="U475" s="4"/>
      <c r="V475" s="4"/>
      <c r="W475" s="4"/>
      <c r="X475" s="4"/>
      <c r="Y475" s="4"/>
      <c r="Z475" s="4"/>
    </row>
    <row r="476" spans="2:26" ht="15" x14ac:dyDescent="0.25">
      <c r="B476" s="4"/>
      <c r="C476" s="4"/>
      <c r="D476" s="5"/>
      <c r="E476" s="4"/>
      <c r="F476" s="4"/>
      <c r="G476" s="4"/>
      <c r="H476" s="4"/>
      <c r="I476" s="4"/>
      <c r="J476" s="4"/>
      <c r="K476" s="4"/>
      <c r="L476" s="4"/>
      <c r="M476" s="4"/>
      <c r="N476" s="4"/>
      <c r="O476" s="4"/>
      <c r="P476" s="4"/>
      <c r="Q476" s="4"/>
      <c r="R476" s="4"/>
      <c r="S476" s="4"/>
      <c r="T476" s="4"/>
      <c r="U476" s="4"/>
      <c r="V476" s="4"/>
      <c r="W476" s="4"/>
      <c r="X476" s="4"/>
      <c r="Y476" s="4"/>
      <c r="Z476" s="4"/>
    </row>
    <row r="477" spans="2:26" ht="15" x14ac:dyDescent="0.25">
      <c r="B477" s="4"/>
      <c r="C477" s="4"/>
      <c r="D477" s="5"/>
      <c r="E477" s="4"/>
      <c r="F477" s="4"/>
      <c r="G477" s="4"/>
      <c r="H477" s="4"/>
      <c r="I477" s="4"/>
      <c r="J477" s="4"/>
      <c r="K477" s="4"/>
      <c r="L477" s="4"/>
      <c r="M477" s="4"/>
      <c r="N477" s="4"/>
      <c r="O477" s="4"/>
      <c r="P477" s="4"/>
      <c r="Q477" s="4"/>
      <c r="R477" s="4"/>
      <c r="S477" s="4"/>
      <c r="T477" s="4"/>
      <c r="U477" s="4"/>
      <c r="V477" s="4"/>
      <c r="W477" s="4"/>
      <c r="X477" s="4"/>
      <c r="Y477" s="4"/>
      <c r="Z477" s="4"/>
    </row>
    <row r="478" spans="2:26" ht="15" x14ac:dyDescent="0.25">
      <c r="B478" s="4"/>
      <c r="C478" s="4"/>
      <c r="D478" s="5"/>
      <c r="E478" s="4"/>
      <c r="F478" s="4"/>
      <c r="G478" s="4"/>
      <c r="H478" s="4"/>
      <c r="I478" s="4"/>
      <c r="J478" s="4"/>
      <c r="K478" s="4"/>
      <c r="L478" s="4"/>
      <c r="M478" s="4"/>
      <c r="N478" s="4"/>
      <c r="O478" s="4"/>
      <c r="P478" s="4"/>
      <c r="Q478" s="4"/>
      <c r="R478" s="4"/>
      <c r="S478" s="4"/>
      <c r="T478" s="4"/>
      <c r="U478" s="4"/>
      <c r="V478" s="4"/>
      <c r="W478" s="4"/>
      <c r="X478" s="4"/>
      <c r="Y478" s="4"/>
      <c r="Z478" s="4"/>
    </row>
    <row r="479" spans="2:26" ht="15" x14ac:dyDescent="0.25">
      <c r="B479" s="4"/>
      <c r="C479" s="4"/>
      <c r="D479" s="5"/>
      <c r="E479" s="4"/>
      <c r="F479" s="4"/>
      <c r="G479" s="4"/>
      <c r="H479" s="4"/>
      <c r="I479" s="4"/>
      <c r="J479" s="4"/>
      <c r="K479" s="4"/>
      <c r="L479" s="4"/>
      <c r="M479" s="4"/>
      <c r="N479" s="4"/>
      <c r="O479" s="4"/>
      <c r="P479" s="4"/>
      <c r="Q479" s="4"/>
      <c r="R479" s="4"/>
      <c r="S479" s="4"/>
      <c r="T479" s="4"/>
      <c r="U479" s="4"/>
      <c r="V479" s="4"/>
      <c r="W479" s="4"/>
      <c r="X479" s="4"/>
      <c r="Y479" s="4"/>
      <c r="Z479" s="4"/>
    </row>
    <row r="480" spans="2:26" ht="15" x14ac:dyDescent="0.25">
      <c r="B480" s="4"/>
      <c r="C480" s="4"/>
      <c r="D480" s="5"/>
      <c r="E480" s="4"/>
      <c r="F480" s="4"/>
      <c r="G480" s="4"/>
      <c r="H480" s="4"/>
      <c r="I480" s="4"/>
      <c r="J480" s="4"/>
      <c r="K480" s="4"/>
      <c r="L480" s="4"/>
      <c r="M480" s="4"/>
      <c r="N480" s="4"/>
      <c r="O480" s="4"/>
      <c r="P480" s="4"/>
      <c r="Q480" s="4"/>
      <c r="R480" s="4"/>
      <c r="S480" s="4"/>
      <c r="T480" s="4"/>
      <c r="U480" s="4"/>
      <c r="V480" s="4"/>
      <c r="W480" s="4"/>
      <c r="X480" s="4"/>
      <c r="Y480" s="4"/>
      <c r="Z480" s="4"/>
    </row>
    <row r="481" spans="2:26" ht="15" x14ac:dyDescent="0.25">
      <c r="B481" s="4"/>
      <c r="C481" s="4"/>
      <c r="D481" s="5"/>
      <c r="E481" s="4"/>
      <c r="F481" s="4"/>
      <c r="G481" s="4"/>
      <c r="H481" s="4"/>
      <c r="I481" s="4"/>
      <c r="J481" s="4"/>
      <c r="K481" s="4"/>
      <c r="L481" s="4"/>
      <c r="M481" s="4"/>
      <c r="N481" s="4"/>
      <c r="O481" s="4"/>
      <c r="P481" s="4"/>
      <c r="Q481" s="4"/>
      <c r="R481" s="4"/>
      <c r="S481" s="4"/>
      <c r="T481" s="4"/>
      <c r="U481" s="4"/>
      <c r="V481" s="4"/>
      <c r="W481" s="4"/>
      <c r="X481" s="4"/>
      <c r="Y481" s="4"/>
      <c r="Z481" s="4"/>
    </row>
    <row r="482" spans="2:26" ht="15" x14ac:dyDescent="0.25">
      <c r="B482" s="4"/>
      <c r="C482" s="4"/>
      <c r="D482" s="5"/>
      <c r="E482" s="4"/>
      <c r="F482" s="4"/>
      <c r="G482" s="4"/>
      <c r="H482" s="4"/>
      <c r="I482" s="4"/>
      <c r="J482" s="4"/>
      <c r="K482" s="4"/>
      <c r="L482" s="4"/>
      <c r="M482" s="4"/>
      <c r="N482" s="4"/>
      <c r="O482" s="4"/>
      <c r="P482" s="4"/>
      <c r="Q482" s="4"/>
      <c r="R482" s="4"/>
      <c r="S482" s="4"/>
      <c r="T482" s="4"/>
      <c r="U482" s="4"/>
      <c r="V482" s="4"/>
      <c r="W482" s="4"/>
      <c r="X482" s="4"/>
      <c r="Y482" s="4"/>
      <c r="Z482" s="4"/>
    </row>
    <row r="483" spans="2:26" ht="15" x14ac:dyDescent="0.25">
      <c r="B483" s="4"/>
      <c r="C483" s="4"/>
      <c r="D483" s="5"/>
      <c r="E483" s="4"/>
      <c r="F483" s="4"/>
      <c r="G483" s="4"/>
      <c r="H483" s="4"/>
      <c r="I483" s="4"/>
      <c r="J483" s="4"/>
      <c r="K483" s="4"/>
      <c r="L483" s="4"/>
      <c r="M483" s="4"/>
      <c r="N483" s="4"/>
      <c r="O483" s="4"/>
      <c r="P483" s="4"/>
      <c r="Q483" s="4"/>
      <c r="R483" s="4"/>
      <c r="S483" s="4"/>
      <c r="T483" s="4"/>
      <c r="U483" s="4"/>
      <c r="V483" s="4"/>
      <c r="W483" s="4"/>
      <c r="X483" s="4"/>
      <c r="Y483" s="4"/>
      <c r="Z483" s="4"/>
    </row>
    <row r="484" spans="2:26" ht="15" x14ac:dyDescent="0.25">
      <c r="B484" s="4"/>
      <c r="C484" s="4"/>
      <c r="D484" s="5"/>
      <c r="E484" s="4"/>
      <c r="F484" s="4"/>
      <c r="G484" s="4"/>
      <c r="H484" s="4"/>
      <c r="I484" s="4"/>
      <c r="J484" s="4"/>
      <c r="K484" s="4"/>
      <c r="L484" s="4"/>
      <c r="M484" s="4"/>
      <c r="N484" s="4"/>
      <c r="O484" s="4"/>
      <c r="P484" s="4"/>
      <c r="Q484" s="4"/>
      <c r="R484" s="4"/>
      <c r="S484" s="4"/>
      <c r="T484" s="4"/>
      <c r="U484" s="4"/>
      <c r="V484" s="4"/>
      <c r="W484" s="4"/>
      <c r="X484" s="4"/>
      <c r="Y484" s="4"/>
      <c r="Z484" s="4"/>
    </row>
    <row r="485" spans="2:26" ht="15" x14ac:dyDescent="0.25">
      <c r="B485" s="4"/>
      <c r="C485" s="4"/>
      <c r="D485" s="5"/>
      <c r="E485" s="4"/>
      <c r="F485" s="4"/>
      <c r="G485" s="4"/>
      <c r="H485" s="4"/>
      <c r="I485" s="4"/>
      <c r="J485" s="4"/>
      <c r="K485" s="4"/>
      <c r="L485" s="4"/>
      <c r="M485" s="4"/>
      <c r="N485" s="4"/>
      <c r="O485" s="4"/>
      <c r="P485" s="4"/>
      <c r="Q485" s="4"/>
      <c r="R485" s="4"/>
      <c r="S485" s="4"/>
      <c r="T485" s="4"/>
      <c r="U485" s="4"/>
      <c r="V485" s="4"/>
      <c r="W485" s="4"/>
      <c r="X485" s="4"/>
      <c r="Y485" s="4"/>
      <c r="Z485" s="4"/>
    </row>
    <row r="486" spans="2:26" ht="15" x14ac:dyDescent="0.25">
      <c r="B486" s="4"/>
      <c r="C486" s="4"/>
      <c r="D486" s="5"/>
      <c r="E486" s="4"/>
      <c r="F486" s="4"/>
      <c r="G486" s="4"/>
      <c r="H486" s="4"/>
      <c r="I486" s="4"/>
      <c r="J486" s="4"/>
      <c r="K486" s="4"/>
      <c r="L486" s="4"/>
      <c r="M486" s="4"/>
      <c r="N486" s="4"/>
      <c r="O486" s="4"/>
      <c r="P486" s="4"/>
      <c r="Q486" s="4"/>
      <c r="R486" s="4"/>
      <c r="S486" s="4"/>
      <c r="T486" s="4"/>
      <c r="U486" s="4"/>
      <c r="V486" s="4"/>
      <c r="W486" s="4"/>
      <c r="X486" s="4"/>
      <c r="Y486" s="4"/>
      <c r="Z486" s="4"/>
    </row>
    <row r="487" spans="2:26" ht="15" x14ac:dyDescent="0.25">
      <c r="B487" s="4"/>
      <c r="C487" s="4"/>
      <c r="D487" s="5"/>
      <c r="E487" s="4"/>
      <c r="F487" s="4"/>
      <c r="G487" s="4"/>
      <c r="H487" s="4"/>
      <c r="I487" s="4"/>
      <c r="J487" s="4"/>
      <c r="K487" s="4"/>
      <c r="L487" s="4"/>
      <c r="M487" s="4"/>
      <c r="N487" s="4"/>
      <c r="O487" s="4"/>
      <c r="P487" s="4"/>
      <c r="Q487" s="4"/>
      <c r="R487" s="4"/>
      <c r="S487" s="4"/>
      <c r="T487" s="4"/>
      <c r="U487" s="4"/>
      <c r="V487" s="4"/>
      <c r="W487" s="4"/>
      <c r="X487" s="4"/>
      <c r="Y487" s="4"/>
      <c r="Z487" s="4"/>
    </row>
    <row r="488" spans="2:26" ht="15" x14ac:dyDescent="0.25">
      <c r="B488" s="4"/>
      <c r="C488" s="4"/>
      <c r="D488" s="5"/>
      <c r="E488" s="4"/>
      <c r="F488" s="4"/>
      <c r="G488" s="4"/>
      <c r="H488" s="4"/>
      <c r="I488" s="4"/>
      <c r="J488" s="4"/>
      <c r="K488" s="4"/>
      <c r="L488" s="4"/>
      <c r="M488" s="4"/>
      <c r="N488" s="4"/>
      <c r="O488" s="4"/>
      <c r="P488" s="4"/>
      <c r="Q488" s="4"/>
      <c r="R488" s="4"/>
      <c r="S488" s="4"/>
      <c r="T488" s="4"/>
      <c r="U488" s="4"/>
      <c r="V488" s="4"/>
      <c r="W488" s="4"/>
      <c r="X488" s="4"/>
      <c r="Y488" s="4"/>
      <c r="Z488" s="4"/>
    </row>
    <row r="489" spans="2:26" ht="15" x14ac:dyDescent="0.25">
      <c r="B489" s="4"/>
      <c r="C489" s="4"/>
      <c r="D489" s="5"/>
      <c r="E489" s="4"/>
      <c r="F489" s="4"/>
      <c r="G489" s="4"/>
      <c r="H489" s="4"/>
      <c r="I489" s="4"/>
      <c r="J489" s="4"/>
      <c r="K489" s="4"/>
      <c r="L489" s="4"/>
      <c r="M489" s="4"/>
      <c r="N489" s="4"/>
      <c r="O489" s="4"/>
      <c r="P489" s="4"/>
      <c r="Q489" s="4"/>
      <c r="R489" s="4"/>
      <c r="S489" s="4"/>
      <c r="T489" s="4"/>
      <c r="U489" s="4"/>
      <c r="V489" s="4"/>
      <c r="W489" s="4"/>
      <c r="X489" s="4"/>
      <c r="Y489" s="4"/>
      <c r="Z489" s="4"/>
    </row>
    <row r="490" spans="2:26" ht="15" x14ac:dyDescent="0.25">
      <c r="B490" s="4"/>
      <c r="C490" s="4"/>
      <c r="D490" s="5"/>
      <c r="E490" s="4"/>
      <c r="F490" s="4"/>
      <c r="G490" s="4"/>
      <c r="H490" s="4"/>
      <c r="I490" s="4"/>
      <c r="J490" s="4"/>
      <c r="K490" s="4"/>
      <c r="L490" s="4"/>
      <c r="M490" s="4"/>
      <c r="N490" s="4"/>
      <c r="O490" s="4"/>
      <c r="P490" s="4"/>
      <c r="Q490" s="4"/>
      <c r="R490" s="4"/>
      <c r="S490" s="4"/>
      <c r="T490" s="4"/>
      <c r="U490" s="4"/>
      <c r="V490" s="4"/>
      <c r="W490" s="4"/>
      <c r="X490" s="4"/>
      <c r="Y490" s="4"/>
      <c r="Z490" s="4"/>
    </row>
    <row r="491" spans="2:26" ht="15" x14ac:dyDescent="0.25">
      <c r="B491" s="4"/>
      <c r="C491" s="4"/>
      <c r="D491" s="5"/>
      <c r="E491" s="4"/>
      <c r="F491" s="4"/>
      <c r="G491" s="4"/>
      <c r="H491" s="4"/>
      <c r="I491" s="4"/>
      <c r="J491" s="4"/>
      <c r="K491" s="4"/>
      <c r="L491" s="4"/>
      <c r="M491" s="4"/>
      <c r="N491" s="4"/>
      <c r="O491" s="4"/>
      <c r="P491" s="4"/>
      <c r="Q491" s="4"/>
      <c r="R491" s="4"/>
      <c r="S491" s="4"/>
      <c r="T491" s="4"/>
      <c r="U491" s="4"/>
      <c r="V491" s="4"/>
      <c r="W491" s="4"/>
      <c r="X491" s="4"/>
      <c r="Y491" s="4"/>
      <c r="Z491" s="4"/>
    </row>
    <row r="492" spans="2:26" ht="15" x14ac:dyDescent="0.25">
      <c r="B492" s="4"/>
      <c r="C492" s="4"/>
      <c r="D492" s="5"/>
      <c r="E492" s="4"/>
      <c r="F492" s="4"/>
      <c r="G492" s="4"/>
      <c r="H492" s="4"/>
      <c r="I492" s="4"/>
      <c r="J492" s="4"/>
      <c r="K492" s="4"/>
      <c r="L492" s="4"/>
      <c r="M492" s="4"/>
      <c r="N492" s="4"/>
      <c r="O492" s="4"/>
      <c r="P492" s="4"/>
      <c r="Q492" s="4"/>
      <c r="R492" s="4"/>
      <c r="S492" s="4"/>
      <c r="T492" s="4"/>
      <c r="U492" s="4"/>
      <c r="V492" s="4"/>
      <c r="W492" s="4"/>
      <c r="X492" s="4"/>
      <c r="Y492" s="4"/>
      <c r="Z492" s="4"/>
    </row>
    <row r="493" spans="2:26" ht="15" x14ac:dyDescent="0.25">
      <c r="B493" s="4"/>
      <c r="C493" s="4"/>
      <c r="D493" s="5"/>
      <c r="E493" s="4"/>
      <c r="F493" s="4"/>
      <c r="G493" s="4"/>
      <c r="H493" s="4"/>
      <c r="I493" s="4"/>
      <c r="J493" s="4"/>
      <c r="K493" s="4"/>
      <c r="L493" s="4"/>
      <c r="M493" s="4"/>
      <c r="N493" s="4"/>
      <c r="O493" s="4"/>
      <c r="P493" s="4"/>
      <c r="Q493" s="4"/>
      <c r="R493" s="4"/>
      <c r="S493" s="4"/>
      <c r="T493" s="4"/>
      <c r="U493" s="4"/>
      <c r="V493" s="4"/>
      <c r="W493" s="4"/>
      <c r="X493" s="4"/>
      <c r="Y493" s="4"/>
      <c r="Z493" s="4"/>
    </row>
    <row r="494" spans="2:26" ht="15" x14ac:dyDescent="0.25">
      <c r="B494" s="4"/>
      <c r="C494" s="4"/>
      <c r="D494" s="5"/>
      <c r="E494" s="4"/>
      <c r="F494" s="4"/>
      <c r="G494" s="4"/>
      <c r="H494" s="4"/>
      <c r="I494" s="4"/>
      <c r="J494" s="4"/>
      <c r="K494" s="4"/>
      <c r="L494" s="4"/>
      <c r="M494" s="4"/>
      <c r="N494" s="4"/>
      <c r="O494" s="4"/>
      <c r="P494" s="4"/>
      <c r="Q494" s="4"/>
      <c r="R494" s="4"/>
      <c r="S494" s="4"/>
      <c r="T494" s="4"/>
      <c r="U494" s="4"/>
      <c r="V494" s="4"/>
      <c r="W494" s="4"/>
      <c r="X494" s="4"/>
      <c r="Y494" s="4"/>
      <c r="Z494" s="4"/>
    </row>
    <row r="495" spans="2:26" ht="15" x14ac:dyDescent="0.25">
      <c r="B495" s="4"/>
      <c r="C495" s="4"/>
      <c r="D495" s="5"/>
      <c r="E495" s="4"/>
      <c r="F495" s="4"/>
      <c r="G495" s="4"/>
      <c r="H495" s="4"/>
      <c r="I495" s="4"/>
      <c r="J495" s="4"/>
      <c r="K495" s="4"/>
      <c r="L495" s="4"/>
      <c r="M495" s="4"/>
      <c r="N495" s="4"/>
      <c r="O495" s="4"/>
      <c r="P495" s="4"/>
      <c r="Q495" s="4"/>
      <c r="R495" s="4"/>
      <c r="S495" s="4"/>
      <c r="T495" s="4"/>
      <c r="U495" s="4"/>
      <c r="V495" s="4"/>
      <c r="W495" s="4"/>
      <c r="X495" s="4"/>
      <c r="Y495" s="4"/>
      <c r="Z495" s="4"/>
    </row>
    <row r="496" spans="2:26" ht="15" x14ac:dyDescent="0.25">
      <c r="B496" s="4"/>
      <c r="C496" s="4"/>
      <c r="D496" s="5"/>
      <c r="E496" s="4"/>
      <c r="F496" s="4"/>
      <c r="G496" s="4"/>
      <c r="H496" s="4"/>
      <c r="I496" s="4"/>
      <c r="J496" s="4"/>
      <c r="K496" s="4"/>
      <c r="L496" s="4"/>
      <c r="M496" s="4"/>
      <c r="N496" s="4"/>
      <c r="O496" s="4"/>
      <c r="P496" s="4"/>
      <c r="Q496" s="4"/>
      <c r="R496" s="4"/>
      <c r="S496" s="4"/>
      <c r="T496" s="4"/>
      <c r="U496" s="4"/>
      <c r="V496" s="4"/>
      <c r="W496" s="4"/>
      <c r="X496" s="4"/>
      <c r="Y496" s="4"/>
      <c r="Z496" s="4"/>
    </row>
    <row r="497" spans="2:26" ht="15" x14ac:dyDescent="0.25">
      <c r="B497" s="4"/>
      <c r="C497" s="4"/>
      <c r="D497" s="5"/>
      <c r="E497" s="4"/>
      <c r="F497" s="4"/>
      <c r="G497" s="4"/>
      <c r="H497" s="4"/>
      <c r="I497" s="4"/>
      <c r="J497" s="4"/>
      <c r="K497" s="4"/>
      <c r="L497" s="4"/>
      <c r="M497" s="4"/>
      <c r="N497" s="4"/>
      <c r="O497" s="4"/>
      <c r="P497" s="4"/>
      <c r="Q497" s="4"/>
      <c r="R497" s="4"/>
      <c r="S497" s="4"/>
      <c r="T497" s="4"/>
      <c r="U497" s="4"/>
      <c r="V497" s="4"/>
      <c r="W497" s="4"/>
      <c r="X497" s="4"/>
      <c r="Y497" s="4"/>
      <c r="Z497" s="4"/>
    </row>
    <row r="498" spans="2:26" ht="15" x14ac:dyDescent="0.25">
      <c r="B498" s="4"/>
      <c r="C498" s="4"/>
      <c r="D498" s="5"/>
      <c r="E498" s="4"/>
      <c r="F498" s="4"/>
      <c r="G498" s="4"/>
      <c r="H498" s="4"/>
      <c r="I498" s="4"/>
      <c r="J498" s="4"/>
      <c r="K498" s="4"/>
      <c r="L498" s="4"/>
      <c r="M498" s="4"/>
      <c r="N498" s="4"/>
      <c r="O498" s="4"/>
      <c r="P498" s="4"/>
      <c r="Q498" s="4"/>
      <c r="R498" s="4"/>
      <c r="S498" s="4"/>
      <c r="T498" s="4"/>
      <c r="U498" s="4"/>
      <c r="V498" s="4"/>
      <c r="W498" s="4"/>
      <c r="X498" s="4"/>
      <c r="Y498" s="4"/>
      <c r="Z498" s="4"/>
    </row>
    <row r="499" spans="2:26" ht="15" x14ac:dyDescent="0.25">
      <c r="B499" s="4"/>
      <c r="C499" s="4"/>
      <c r="D499" s="5"/>
      <c r="E499" s="4"/>
      <c r="F499" s="4"/>
      <c r="G499" s="4"/>
      <c r="H499" s="4"/>
      <c r="I499" s="4"/>
      <c r="J499" s="4"/>
      <c r="K499" s="4"/>
      <c r="L499" s="4"/>
      <c r="M499" s="4"/>
      <c r="N499" s="4"/>
      <c r="O499" s="4"/>
      <c r="P499" s="4"/>
      <c r="Q499" s="4"/>
      <c r="R499" s="4"/>
      <c r="S499" s="4"/>
      <c r="T499" s="4"/>
      <c r="U499" s="4"/>
      <c r="V499" s="4"/>
      <c r="W499" s="4"/>
      <c r="X499" s="4"/>
      <c r="Y499" s="4"/>
      <c r="Z499" s="4"/>
    </row>
    <row r="500" spans="2:26" ht="15" x14ac:dyDescent="0.25">
      <c r="B500" s="4"/>
      <c r="C500" s="4"/>
      <c r="D500" s="5"/>
      <c r="E500" s="4"/>
      <c r="F500" s="4"/>
      <c r="G500" s="4"/>
      <c r="H500" s="4"/>
      <c r="I500" s="4"/>
      <c r="J500" s="4"/>
      <c r="K500" s="4"/>
      <c r="L500" s="4"/>
      <c r="M500" s="4"/>
      <c r="N500" s="4"/>
      <c r="O500" s="4"/>
      <c r="P500" s="4"/>
      <c r="Q500" s="4"/>
      <c r="R500" s="4"/>
      <c r="S500" s="4"/>
      <c r="T500" s="4"/>
      <c r="U500" s="4"/>
      <c r="V500" s="4"/>
      <c r="W500" s="4"/>
      <c r="X500" s="4"/>
      <c r="Y500" s="4"/>
      <c r="Z500" s="4"/>
    </row>
    <row r="501" spans="2:26" ht="15" x14ac:dyDescent="0.25">
      <c r="B501" s="4"/>
      <c r="C501" s="4"/>
      <c r="D501" s="5"/>
      <c r="E501" s="4"/>
      <c r="F501" s="4"/>
      <c r="G501" s="4"/>
      <c r="H501" s="4"/>
      <c r="I501" s="4"/>
      <c r="J501" s="4"/>
      <c r="K501" s="4"/>
      <c r="L501" s="4"/>
      <c r="M501" s="4"/>
      <c r="N501" s="4"/>
      <c r="O501" s="4"/>
      <c r="P501" s="4"/>
      <c r="Q501" s="4"/>
      <c r="R501" s="4"/>
      <c r="S501" s="4"/>
      <c r="T501" s="4"/>
      <c r="U501" s="4"/>
      <c r="V501" s="4"/>
      <c r="W501" s="4"/>
      <c r="X501" s="4"/>
      <c r="Y501" s="4"/>
      <c r="Z501" s="4"/>
    </row>
    <row r="502" spans="2:26" ht="15" x14ac:dyDescent="0.25">
      <c r="B502" s="4"/>
      <c r="C502" s="4"/>
      <c r="D502" s="5"/>
      <c r="E502" s="4"/>
      <c r="F502" s="4"/>
      <c r="G502" s="4"/>
      <c r="H502" s="4"/>
      <c r="I502" s="4"/>
      <c r="J502" s="4"/>
      <c r="K502" s="4"/>
      <c r="L502" s="4"/>
      <c r="M502" s="4"/>
      <c r="N502" s="4"/>
      <c r="O502" s="4"/>
      <c r="P502" s="4"/>
      <c r="Q502" s="4"/>
      <c r="R502" s="4"/>
      <c r="S502" s="4"/>
      <c r="T502" s="4"/>
      <c r="U502" s="4"/>
      <c r="V502" s="4"/>
      <c r="W502" s="4"/>
      <c r="X502" s="4"/>
      <c r="Y502" s="4"/>
      <c r="Z502" s="4"/>
    </row>
    <row r="503" spans="2:26" ht="15" x14ac:dyDescent="0.25">
      <c r="B503" s="4"/>
      <c r="C503" s="4"/>
      <c r="D503" s="5"/>
      <c r="E503" s="4"/>
      <c r="F503" s="4"/>
      <c r="G503" s="4"/>
      <c r="H503" s="4"/>
      <c r="I503" s="4"/>
      <c r="J503" s="4"/>
      <c r="K503" s="4"/>
      <c r="L503" s="4"/>
      <c r="M503" s="4"/>
      <c r="N503" s="4"/>
      <c r="O503" s="4"/>
      <c r="P503" s="4"/>
      <c r="Q503" s="4"/>
      <c r="R503" s="4"/>
      <c r="S503" s="4"/>
      <c r="T503" s="4"/>
      <c r="U503" s="4"/>
      <c r="V503" s="4"/>
      <c r="W503" s="4"/>
      <c r="X503" s="4"/>
      <c r="Y503" s="4"/>
      <c r="Z503" s="4"/>
    </row>
    <row r="504" spans="2:26" ht="15" x14ac:dyDescent="0.25">
      <c r="B504" s="4"/>
      <c r="C504" s="4"/>
      <c r="D504" s="5"/>
      <c r="E504" s="4"/>
      <c r="F504" s="4"/>
      <c r="G504" s="4"/>
      <c r="H504" s="4"/>
      <c r="I504" s="4"/>
      <c r="J504" s="4"/>
      <c r="K504" s="4"/>
      <c r="L504" s="4"/>
      <c r="M504" s="4"/>
      <c r="N504" s="4"/>
      <c r="O504" s="4"/>
      <c r="P504" s="4"/>
      <c r="Q504" s="4"/>
      <c r="R504" s="4"/>
      <c r="S504" s="4"/>
      <c r="T504" s="4"/>
      <c r="U504" s="4"/>
      <c r="V504" s="4"/>
      <c r="W504" s="4"/>
      <c r="X504" s="4"/>
      <c r="Y504" s="4"/>
      <c r="Z504" s="4"/>
    </row>
    <row r="505" spans="2:26" ht="15" x14ac:dyDescent="0.25">
      <c r="B505" s="4"/>
      <c r="C505" s="4"/>
      <c r="D505" s="5"/>
      <c r="E505" s="4"/>
      <c r="F505" s="4"/>
      <c r="G505" s="4"/>
      <c r="H505" s="4"/>
      <c r="I505" s="4"/>
      <c r="J505" s="4"/>
      <c r="K505" s="4"/>
      <c r="L505" s="4"/>
      <c r="M505" s="4"/>
      <c r="N505" s="4"/>
      <c r="O505" s="4"/>
      <c r="P505" s="4"/>
      <c r="Q505" s="4"/>
      <c r="R505" s="4"/>
      <c r="S505" s="4"/>
      <c r="T505" s="4"/>
      <c r="U505" s="4"/>
      <c r="V505" s="4"/>
      <c r="W505" s="4"/>
      <c r="X505" s="4"/>
      <c r="Y505" s="4"/>
      <c r="Z505" s="4"/>
    </row>
    <row r="506" spans="2:26" ht="15" x14ac:dyDescent="0.25">
      <c r="B506" s="4"/>
      <c r="C506" s="4"/>
      <c r="D506" s="5"/>
      <c r="E506" s="4"/>
      <c r="F506" s="4"/>
      <c r="G506" s="4"/>
      <c r="H506" s="4"/>
      <c r="I506" s="4"/>
      <c r="J506" s="4"/>
      <c r="K506" s="4"/>
      <c r="L506" s="4"/>
      <c r="M506" s="4"/>
      <c r="N506" s="4"/>
      <c r="O506" s="4"/>
      <c r="P506" s="4"/>
      <c r="Q506" s="4"/>
      <c r="R506" s="4"/>
      <c r="S506" s="4"/>
      <c r="T506" s="4"/>
      <c r="U506" s="4"/>
      <c r="V506" s="4"/>
      <c r="W506" s="4"/>
      <c r="X506" s="4"/>
      <c r="Y506" s="4"/>
      <c r="Z506" s="4"/>
    </row>
    <row r="507" spans="2:26" ht="15" x14ac:dyDescent="0.25">
      <c r="B507" s="4"/>
      <c r="C507" s="4"/>
      <c r="D507" s="5"/>
      <c r="E507" s="4"/>
      <c r="F507" s="4"/>
      <c r="G507" s="4"/>
      <c r="H507" s="4"/>
      <c r="I507" s="4"/>
      <c r="J507" s="4"/>
      <c r="K507" s="4"/>
      <c r="L507" s="4"/>
      <c r="M507" s="4"/>
      <c r="N507" s="4"/>
      <c r="O507" s="4"/>
      <c r="P507" s="4"/>
      <c r="Q507" s="4"/>
      <c r="R507" s="4"/>
      <c r="S507" s="4"/>
      <c r="T507" s="4"/>
      <c r="U507" s="4"/>
      <c r="V507" s="4"/>
      <c r="W507" s="4"/>
      <c r="X507" s="4"/>
      <c r="Y507" s="4"/>
      <c r="Z507" s="4"/>
    </row>
    <row r="508" spans="2:26" ht="15" x14ac:dyDescent="0.25">
      <c r="B508" s="4"/>
      <c r="C508" s="4"/>
      <c r="D508" s="5"/>
      <c r="E508" s="4"/>
      <c r="F508" s="4"/>
      <c r="G508" s="4"/>
      <c r="H508" s="4"/>
      <c r="I508" s="4"/>
      <c r="J508" s="4"/>
      <c r="K508" s="4"/>
      <c r="L508" s="4"/>
      <c r="M508" s="4"/>
      <c r="N508" s="4"/>
      <c r="O508" s="4"/>
      <c r="P508" s="4"/>
      <c r="Q508" s="4"/>
      <c r="R508" s="4"/>
      <c r="S508" s="4"/>
      <c r="T508" s="4"/>
      <c r="U508" s="4"/>
      <c r="V508" s="4"/>
      <c r="W508" s="4"/>
      <c r="X508" s="4"/>
      <c r="Y508" s="4"/>
      <c r="Z508" s="4"/>
    </row>
    <row r="509" spans="2:26" ht="15" x14ac:dyDescent="0.25">
      <c r="B509" s="4"/>
      <c r="C509" s="4"/>
      <c r="D509" s="5"/>
      <c r="E509" s="4"/>
      <c r="F509" s="4"/>
      <c r="G509" s="4"/>
      <c r="H509" s="4"/>
      <c r="I509" s="4"/>
      <c r="J509" s="4"/>
      <c r="K509" s="4"/>
      <c r="L509" s="4"/>
      <c r="M509" s="4"/>
      <c r="N509" s="4"/>
      <c r="O509" s="4"/>
      <c r="P509" s="4"/>
      <c r="Q509" s="4"/>
      <c r="R509" s="4"/>
      <c r="S509" s="4"/>
      <c r="T509" s="4"/>
      <c r="U509" s="4"/>
      <c r="V509" s="4"/>
      <c r="W509" s="4"/>
      <c r="X509" s="4"/>
      <c r="Y509" s="4"/>
      <c r="Z509" s="4"/>
    </row>
    <row r="510" spans="2:26" ht="15" x14ac:dyDescent="0.25">
      <c r="B510" s="4"/>
      <c r="C510" s="4"/>
      <c r="D510" s="5"/>
      <c r="E510" s="4"/>
      <c r="F510" s="4"/>
      <c r="G510" s="4"/>
      <c r="H510" s="4"/>
      <c r="I510" s="4"/>
      <c r="J510" s="4"/>
      <c r="K510" s="4"/>
      <c r="L510" s="4"/>
      <c r="M510" s="4"/>
      <c r="N510" s="4"/>
      <c r="O510" s="4"/>
      <c r="P510" s="4"/>
      <c r="Q510" s="4"/>
      <c r="R510" s="4"/>
      <c r="S510" s="4"/>
      <c r="T510" s="4"/>
      <c r="U510" s="4"/>
      <c r="V510" s="4"/>
      <c r="W510" s="4"/>
      <c r="X510" s="4"/>
      <c r="Y510" s="4"/>
      <c r="Z510" s="4"/>
    </row>
    <row r="511" spans="2:26" ht="15" x14ac:dyDescent="0.25">
      <c r="B511" s="4"/>
      <c r="C511" s="4"/>
      <c r="D511" s="5"/>
      <c r="E511" s="4"/>
      <c r="F511" s="4"/>
      <c r="G511" s="4"/>
      <c r="H511" s="4"/>
      <c r="I511" s="4"/>
      <c r="J511" s="4"/>
      <c r="K511" s="4"/>
      <c r="L511" s="4"/>
      <c r="M511" s="4"/>
      <c r="N511" s="4"/>
      <c r="O511" s="4"/>
      <c r="P511" s="4"/>
      <c r="Q511" s="4"/>
      <c r="R511" s="4"/>
      <c r="S511" s="4"/>
      <c r="T511" s="4"/>
      <c r="U511" s="4"/>
      <c r="V511" s="4"/>
      <c r="W511" s="4"/>
      <c r="X511" s="4"/>
      <c r="Y511" s="4"/>
      <c r="Z511" s="4"/>
    </row>
    <row r="512" spans="2:26" ht="15" x14ac:dyDescent="0.25">
      <c r="B512" s="4"/>
      <c r="C512" s="4"/>
      <c r="D512" s="5"/>
      <c r="E512" s="4"/>
      <c r="F512" s="4"/>
      <c r="G512" s="4"/>
      <c r="H512" s="4"/>
      <c r="I512" s="4"/>
      <c r="J512" s="4"/>
      <c r="K512" s="4"/>
      <c r="L512" s="4"/>
      <c r="M512" s="4"/>
      <c r="N512" s="4"/>
      <c r="O512" s="4"/>
      <c r="P512" s="4"/>
      <c r="Q512" s="4"/>
      <c r="R512" s="4"/>
      <c r="S512" s="4"/>
      <c r="T512" s="4"/>
      <c r="U512" s="4"/>
      <c r="V512" s="4"/>
      <c r="W512" s="4"/>
      <c r="X512" s="4"/>
      <c r="Y512" s="4"/>
      <c r="Z512" s="4"/>
    </row>
    <row r="513" spans="2:26" ht="15" x14ac:dyDescent="0.25">
      <c r="B513" s="4"/>
      <c r="C513" s="4"/>
      <c r="D513" s="5"/>
      <c r="E513" s="4"/>
      <c r="F513" s="4"/>
      <c r="G513" s="4"/>
      <c r="H513" s="4"/>
      <c r="I513" s="4"/>
      <c r="J513" s="4"/>
      <c r="K513" s="4"/>
      <c r="L513" s="4"/>
      <c r="M513" s="4"/>
      <c r="N513" s="4"/>
      <c r="O513" s="4"/>
      <c r="P513" s="4"/>
      <c r="Q513" s="4"/>
      <c r="R513" s="4"/>
      <c r="S513" s="4"/>
      <c r="T513" s="4"/>
      <c r="U513" s="4"/>
      <c r="V513" s="4"/>
      <c r="W513" s="4"/>
      <c r="X513" s="4"/>
      <c r="Y513" s="4"/>
      <c r="Z513" s="4"/>
    </row>
    <row r="514" spans="2:26" ht="15" x14ac:dyDescent="0.25">
      <c r="B514" s="4"/>
      <c r="C514" s="4"/>
      <c r="D514" s="5"/>
      <c r="E514" s="4"/>
      <c r="F514" s="4"/>
      <c r="G514" s="4"/>
      <c r="H514" s="4"/>
      <c r="I514" s="4"/>
      <c r="J514" s="4"/>
      <c r="K514" s="4"/>
      <c r="L514" s="4"/>
      <c r="M514" s="4"/>
      <c r="N514" s="4"/>
      <c r="O514" s="4"/>
      <c r="P514" s="4"/>
      <c r="Q514" s="4"/>
      <c r="R514" s="4"/>
      <c r="S514" s="4"/>
      <c r="T514" s="4"/>
      <c r="U514" s="4"/>
      <c r="V514" s="4"/>
      <c r="W514" s="4"/>
      <c r="X514" s="4"/>
      <c r="Y514" s="4"/>
      <c r="Z514" s="4"/>
    </row>
    <row r="515" spans="2:26" ht="15" x14ac:dyDescent="0.25">
      <c r="B515" s="4"/>
      <c r="C515" s="4"/>
      <c r="D515" s="5"/>
      <c r="E515" s="4"/>
      <c r="F515" s="4"/>
      <c r="G515" s="4"/>
      <c r="H515" s="4"/>
      <c r="I515" s="4"/>
      <c r="J515" s="4"/>
      <c r="K515" s="4"/>
      <c r="L515" s="4"/>
      <c r="M515" s="4"/>
      <c r="N515" s="4"/>
      <c r="O515" s="4"/>
      <c r="P515" s="4"/>
      <c r="Q515" s="4"/>
      <c r="R515" s="4"/>
      <c r="S515" s="4"/>
      <c r="T515" s="4"/>
      <c r="U515" s="4"/>
      <c r="V515" s="4"/>
      <c r="W515" s="4"/>
      <c r="X515" s="4"/>
      <c r="Y515" s="4"/>
      <c r="Z515" s="4"/>
    </row>
    <row r="516" spans="2:26" ht="15" x14ac:dyDescent="0.25">
      <c r="B516" s="4"/>
      <c r="C516" s="4"/>
      <c r="D516" s="5"/>
      <c r="E516" s="4"/>
      <c r="F516" s="4"/>
      <c r="G516" s="4"/>
      <c r="H516" s="4"/>
      <c r="I516" s="4"/>
      <c r="J516" s="4"/>
      <c r="K516" s="4"/>
      <c r="L516" s="4"/>
      <c r="M516" s="4"/>
      <c r="N516" s="4"/>
      <c r="O516" s="4"/>
      <c r="P516" s="4"/>
      <c r="Q516" s="4"/>
      <c r="R516" s="4"/>
      <c r="S516" s="4"/>
      <c r="T516" s="4"/>
      <c r="U516" s="4"/>
      <c r="V516" s="4"/>
      <c r="W516" s="4"/>
      <c r="X516" s="4"/>
      <c r="Y516" s="4"/>
      <c r="Z516" s="4"/>
    </row>
    <row r="517" spans="2:26" ht="15" x14ac:dyDescent="0.25">
      <c r="B517" s="4"/>
      <c r="C517" s="4"/>
      <c r="D517" s="5"/>
      <c r="E517" s="4"/>
      <c r="F517" s="4"/>
      <c r="G517" s="4"/>
      <c r="H517" s="4"/>
      <c r="I517" s="4"/>
      <c r="J517" s="4"/>
      <c r="K517" s="4"/>
      <c r="L517" s="4"/>
      <c r="M517" s="4"/>
      <c r="N517" s="4"/>
      <c r="O517" s="4"/>
      <c r="P517" s="4"/>
      <c r="Q517" s="4"/>
      <c r="R517" s="4"/>
      <c r="S517" s="4"/>
      <c r="T517" s="4"/>
      <c r="U517" s="4"/>
      <c r="V517" s="4"/>
      <c r="W517" s="4"/>
      <c r="X517" s="4"/>
      <c r="Y517" s="4"/>
      <c r="Z517" s="4"/>
    </row>
    <row r="518" spans="2:26" ht="15" x14ac:dyDescent="0.25">
      <c r="B518" s="4"/>
      <c r="C518" s="4"/>
      <c r="D518" s="5"/>
      <c r="E518" s="4"/>
      <c r="F518" s="4"/>
      <c r="G518" s="4"/>
      <c r="H518" s="4"/>
      <c r="I518" s="4"/>
      <c r="J518" s="4"/>
      <c r="K518" s="4"/>
      <c r="L518" s="4"/>
      <c r="M518" s="4"/>
      <c r="N518" s="4"/>
      <c r="O518" s="4"/>
      <c r="P518" s="4"/>
      <c r="Q518" s="4"/>
      <c r="R518" s="4"/>
      <c r="S518" s="4"/>
      <c r="T518" s="4"/>
      <c r="U518" s="4"/>
      <c r="V518" s="4"/>
      <c r="W518" s="4"/>
      <c r="X518" s="4"/>
      <c r="Y518" s="4"/>
      <c r="Z518" s="4"/>
    </row>
    <row r="519" spans="2:26" ht="15" x14ac:dyDescent="0.25">
      <c r="B519" s="4"/>
      <c r="C519" s="4"/>
      <c r="D519" s="5"/>
      <c r="E519" s="4"/>
      <c r="F519" s="4"/>
      <c r="G519" s="4"/>
      <c r="H519" s="4"/>
      <c r="I519" s="4"/>
      <c r="J519" s="4"/>
      <c r="K519" s="4"/>
      <c r="L519" s="4"/>
      <c r="M519" s="4"/>
      <c r="N519" s="4"/>
      <c r="O519" s="4"/>
      <c r="P519" s="4"/>
      <c r="Q519" s="4"/>
      <c r="R519" s="4"/>
      <c r="S519" s="4"/>
      <c r="T519" s="4"/>
      <c r="U519" s="4"/>
      <c r="V519" s="4"/>
      <c r="W519" s="4"/>
      <c r="X519" s="4"/>
      <c r="Y519" s="4"/>
      <c r="Z519" s="4"/>
    </row>
    <row r="520" spans="2:26" ht="15" x14ac:dyDescent="0.25">
      <c r="B520" s="4"/>
      <c r="C520" s="4"/>
      <c r="D520" s="5"/>
      <c r="E520" s="4"/>
      <c r="F520" s="4"/>
      <c r="G520" s="4"/>
      <c r="H520" s="4"/>
      <c r="I520" s="4"/>
      <c r="J520" s="4"/>
      <c r="K520" s="4"/>
      <c r="L520" s="4"/>
      <c r="M520" s="4"/>
      <c r="N520" s="4"/>
      <c r="O520" s="4"/>
      <c r="P520" s="4"/>
      <c r="Q520" s="4"/>
      <c r="R520" s="4"/>
      <c r="S520" s="4"/>
      <c r="T520" s="4"/>
      <c r="U520" s="4"/>
      <c r="V520" s="4"/>
      <c r="W520" s="4"/>
      <c r="X520" s="4"/>
      <c r="Y520" s="4"/>
      <c r="Z520" s="4"/>
    </row>
    <row r="521" spans="2:26" ht="15" x14ac:dyDescent="0.25">
      <c r="B521" s="4"/>
      <c r="C521" s="4"/>
      <c r="D521" s="5"/>
      <c r="E521" s="4"/>
      <c r="F521" s="4"/>
      <c r="G521" s="4"/>
      <c r="H521" s="4"/>
      <c r="I521" s="4"/>
      <c r="J521" s="4"/>
      <c r="K521" s="4"/>
      <c r="L521" s="4"/>
      <c r="M521" s="4"/>
      <c r="N521" s="4"/>
      <c r="O521" s="4"/>
      <c r="P521" s="4"/>
      <c r="Q521" s="4"/>
      <c r="R521" s="4"/>
      <c r="S521" s="4"/>
      <c r="T521" s="4"/>
      <c r="U521" s="4"/>
      <c r="V521" s="4"/>
      <c r="W521" s="4"/>
      <c r="X521" s="4"/>
      <c r="Y521" s="4"/>
      <c r="Z521" s="4"/>
    </row>
    <row r="522" spans="2:26" ht="15" x14ac:dyDescent="0.25">
      <c r="B522" s="4"/>
      <c r="C522" s="4"/>
      <c r="D522" s="5"/>
      <c r="E522" s="4"/>
      <c r="F522" s="4"/>
      <c r="G522" s="4"/>
      <c r="H522" s="4"/>
      <c r="I522" s="4"/>
      <c r="J522" s="4"/>
      <c r="K522" s="4"/>
      <c r="L522" s="4"/>
      <c r="M522" s="4"/>
      <c r="N522" s="4"/>
      <c r="O522" s="4"/>
      <c r="P522" s="4"/>
      <c r="Q522" s="4"/>
      <c r="R522" s="4"/>
      <c r="S522" s="4"/>
      <c r="T522" s="4"/>
      <c r="U522" s="4"/>
      <c r="V522" s="4"/>
      <c r="W522" s="4"/>
      <c r="X522" s="4"/>
      <c r="Y522" s="4"/>
      <c r="Z522" s="4"/>
    </row>
    <row r="523" spans="2:26" ht="15" x14ac:dyDescent="0.25">
      <c r="B523" s="4"/>
      <c r="C523" s="4"/>
      <c r="D523" s="5"/>
      <c r="E523" s="4"/>
      <c r="F523" s="4"/>
      <c r="G523" s="4"/>
      <c r="H523" s="4"/>
      <c r="I523" s="4"/>
      <c r="J523" s="4"/>
      <c r="K523" s="4"/>
      <c r="L523" s="4"/>
      <c r="M523" s="4"/>
      <c r="N523" s="4"/>
      <c r="O523" s="4"/>
      <c r="P523" s="4"/>
      <c r="Q523" s="4"/>
      <c r="R523" s="4"/>
      <c r="S523" s="4"/>
      <c r="T523" s="4"/>
      <c r="U523" s="4"/>
      <c r="V523" s="4"/>
      <c r="W523" s="4"/>
      <c r="X523" s="4"/>
      <c r="Y523" s="4"/>
      <c r="Z523" s="4"/>
    </row>
    <row r="524" spans="2:26" ht="15" x14ac:dyDescent="0.25">
      <c r="B524" s="4"/>
      <c r="C524" s="4"/>
      <c r="D524" s="5"/>
      <c r="E524" s="4"/>
      <c r="F524" s="4"/>
      <c r="G524" s="4"/>
      <c r="H524" s="4"/>
      <c r="I524" s="4"/>
      <c r="J524" s="4"/>
      <c r="K524" s="4"/>
      <c r="L524" s="4"/>
      <c r="M524" s="4"/>
      <c r="N524" s="4"/>
      <c r="O524" s="4"/>
      <c r="P524" s="4"/>
      <c r="Q524" s="4"/>
      <c r="R524" s="4"/>
      <c r="S524" s="4"/>
      <c r="T524" s="4"/>
      <c r="U524" s="4"/>
      <c r="V524" s="4"/>
      <c r="W524" s="4"/>
      <c r="X524" s="4"/>
      <c r="Y524" s="4"/>
      <c r="Z524" s="4"/>
    </row>
    <row r="525" spans="2:26" ht="15" x14ac:dyDescent="0.25">
      <c r="B525" s="4"/>
      <c r="C525" s="4"/>
      <c r="D525" s="5"/>
      <c r="E525" s="4"/>
      <c r="F525" s="4"/>
      <c r="G525" s="4"/>
      <c r="H525" s="4"/>
      <c r="I525" s="4"/>
      <c r="J525" s="4"/>
      <c r="K525" s="4"/>
      <c r="L525" s="4"/>
      <c r="M525" s="4"/>
      <c r="N525" s="4"/>
      <c r="O525" s="4"/>
      <c r="P525" s="4"/>
      <c r="Q525" s="4"/>
      <c r="R525" s="4"/>
      <c r="S525" s="4"/>
      <c r="T525" s="4"/>
      <c r="U525" s="4"/>
      <c r="V525" s="4"/>
      <c r="W525" s="4"/>
      <c r="X525" s="4"/>
      <c r="Y525" s="4"/>
      <c r="Z525" s="4"/>
    </row>
    <row r="526" spans="2:26" ht="15" x14ac:dyDescent="0.25">
      <c r="B526" s="4"/>
      <c r="C526" s="4"/>
      <c r="D526" s="5"/>
      <c r="E526" s="4"/>
      <c r="F526" s="4"/>
      <c r="G526" s="4"/>
      <c r="H526" s="4"/>
      <c r="I526" s="4"/>
      <c r="J526" s="4"/>
      <c r="K526" s="4"/>
      <c r="L526" s="4"/>
      <c r="M526" s="4"/>
      <c r="N526" s="4"/>
      <c r="O526" s="4"/>
      <c r="P526" s="4"/>
      <c r="Q526" s="4"/>
      <c r="R526" s="4"/>
      <c r="S526" s="4"/>
      <c r="T526" s="4"/>
      <c r="U526" s="4"/>
      <c r="V526" s="4"/>
      <c r="W526" s="4"/>
      <c r="X526" s="4"/>
      <c r="Y526" s="4"/>
      <c r="Z526" s="4"/>
    </row>
    <row r="527" spans="2:26" ht="15" x14ac:dyDescent="0.25">
      <c r="B527" s="4"/>
      <c r="C527" s="4"/>
      <c r="D527" s="5"/>
      <c r="E527" s="4"/>
      <c r="F527" s="4"/>
      <c r="G527" s="4"/>
      <c r="H527" s="4"/>
      <c r="I527" s="4"/>
      <c r="J527" s="4"/>
      <c r="K527" s="4"/>
      <c r="L527" s="4"/>
      <c r="M527" s="4"/>
      <c r="N527" s="4"/>
      <c r="O527" s="4"/>
      <c r="P527" s="4"/>
      <c r="Q527" s="4"/>
      <c r="R527" s="4"/>
      <c r="S527" s="4"/>
      <c r="T527" s="4"/>
      <c r="U527" s="4"/>
      <c r="V527" s="4"/>
      <c r="W527" s="4"/>
      <c r="X527" s="4"/>
      <c r="Y527" s="4"/>
      <c r="Z527" s="4"/>
    </row>
    <row r="528" spans="2:26" ht="15" x14ac:dyDescent="0.25">
      <c r="B528" s="4"/>
      <c r="C528" s="4"/>
      <c r="D528" s="5"/>
      <c r="E528" s="4"/>
      <c r="F528" s="4"/>
      <c r="G528" s="4"/>
      <c r="H528" s="4"/>
      <c r="I528" s="4"/>
      <c r="J528" s="4"/>
      <c r="K528" s="4"/>
      <c r="L528" s="4"/>
      <c r="M528" s="4"/>
      <c r="N528" s="4"/>
      <c r="O528" s="4"/>
      <c r="P528" s="4"/>
      <c r="Q528" s="4"/>
      <c r="R528" s="4"/>
      <c r="S528" s="4"/>
      <c r="T528" s="4"/>
      <c r="U528" s="4"/>
      <c r="V528" s="4"/>
      <c r="W528" s="4"/>
      <c r="X528" s="4"/>
      <c r="Y528" s="4"/>
      <c r="Z528" s="4"/>
    </row>
    <row r="529" spans="2:26" ht="15" x14ac:dyDescent="0.25">
      <c r="B529" s="4"/>
      <c r="C529" s="4"/>
      <c r="D529" s="5"/>
      <c r="E529" s="4"/>
      <c r="F529" s="4"/>
      <c r="G529" s="4"/>
      <c r="H529" s="4"/>
      <c r="I529" s="4"/>
      <c r="J529" s="4"/>
      <c r="K529" s="4"/>
      <c r="L529" s="4"/>
      <c r="M529" s="4"/>
      <c r="N529" s="4"/>
      <c r="O529" s="4"/>
      <c r="P529" s="4"/>
      <c r="Q529" s="4"/>
      <c r="R529" s="4"/>
      <c r="S529" s="4"/>
      <c r="T529" s="4"/>
      <c r="U529" s="4"/>
      <c r="V529" s="4"/>
      <c r="W529" s="4"/>
      <c r="X529" s="4"/>
      <c r="Y529" s="4"/>
      <c r="Z529" s="4"/>
    </row>
    <row r="530" spans="2:26" ht="15" x14ac:dyDescent="0.25">
      <c r="B530" s="4"/>
      <c r="C530" s="4"/>
      <c r="D530" s="5"/>
      <c r="E530" s="4"/>
      <c r="F530" s="4"/>
      <c r="G530" s="4"/>
      <c r="H530" s="4"/>
      <c r="I530" s="4"/>
      <c r="J530" s="4"/>
      <c r="K530" s="4"/>
      <c r="L530" s="4"/>
      <c r="M530" s="4"/>
      <c r="N530" s="4"/>
      <c r="O530" s="4"/>
      <c r="P530" s="4"/>
      <c r="Q530" s="4"/>
      <c r="R530" s="4"/>
      <c r="S530" s="4"/>
      <c r="T530" s="4"/>
      <c r="U530" s="4"/>
      <c r="V530" s="4"/>
      <c r="W530" s="4"/>
      <c r="X530" s="4"/>
      <c r="Y530" s="4"/>
      <c r="Z530" s="4"/>
    </row>
    <row r="531" spans="2:26" ht="15" x14ac:dyDescent="0.25">
      <c r="B531" s="4"/>
      <c r="C531" s="4"/>
      <c r="D531" s="5"/>
      <c r="E531" s="4"/>
      <c r="F531" s="4"/>
      <c r="G531" s="4"/>
      <c r="H531" s="4"/>
      <c r="I531" s="4"/>
      <c r="J531" s="4"/>
      <c r="K531" s="4"/>
      <c r="L531" s="4"/>
      <c r="M531" s="4"/>
      <c r="N531" s="4"/>
      <c r="O531" s="4"/>
      <c r="P531" s="4"/>
      <c r="Q531" s="4"/>
      <c r="R531" s="4"/>
      <c r="S531" s="4"/>
      <c r="T531" s="4"/>
      <c r="U531" s="4"/>
      <c r="V531" s="4"/>
      <c r="W531" s="4"/>
      <c r="X531" s="4"/>
      <c r="Y531" s="4"/>
      <c r="Z531" s="4"/>
    </row>
    <row r="532" spans="2:26" ht="15" x14ac:dyDescent="0.25">
      <c r="B532" s="4"/>
      <c r="C532" s="4"/>
      <c r="D532" s="5"/>
      <c r="E532" s="4"/>
      <c r="F532" s="4"/>
      <c r="G532" s="4"/>
      <c r="H532" s="4"/>
      <c r="I532" s="4"/>
      <c r="J532" s="4"/>
      <c r="K532" s="4"/>
      <c r="L532" s="4"/>
      <c r="M532" s="4"/>
      <c r="N532" s="4"/>
      <c r="O532" s="4"/>
      <c r="P532" s="4"/>
      <c r="Q532" s="4"/>
      <c r="R532" s="4"/>
      <c r="S532" s="4"/>
      <c r="T532" s="4"/>
      <c r="U532" s="4"/>
      <c r="V532" s="4"/>
      <c r="W532" s="4"/>
      <c r="X532" s="4"/>
      <c r="Y532" s="4"/>
      <c r="Z532" s="4"/>
    </row>
    <row r="533" spans="2:26" ht="15" x14ac:dyDescent="0.25">
      <c r="B533" s="4"/>
      <c r="C533" s="4"/>
      <c r="D533" s="5"/>
      <c r="E533" s="4"/>
      <c r="F533" s="4"/>
      <c r="G533" s="4"/>
      <c r="H533" s="4"/>
      <c r="I533" s="4"/>
      <c r="J533" s="4"/>
      <c r="K533" s="4"/>
      <c r="L533" s="4"/>
      <c r="M533" s="4"/>
      <c r="N533" s="4"/>
      <c r="O533" s="4"/>
      <c r="P533" s="4"/>
      <c r="Q533" s="4"/>
      <c r="R533" s="4"/>
      <c r="S533" s="4"/>
      <c r="T533" s="4"/>
      <c r="U533" s="4"/>
      <c r="V533" s="4"/>
      <c r="W533" s="4"/>
      <c r="X533" s="4"/>
      <c r="Y533" s="4"/>
      <c r="Z533" s="4"/>
    </row>
    <row r="534" spans="2:26" ht="15" x14ac:dyDescent="0.25">
      <c r="B534" s="4"/>
      <c r="C534" s="4"/>
      <c r="D534" s="5"/>
      <c r="E534" s="4"/>
      <c r="F534" s="4"/>
      <c r="G534" s="4"/>
      <c r="H534" s="4"/>
      <c r="I534" s="4"/>
      <c r="J534" s="4"/>
      <c r="K534" s="4"/>
      <c r="L534" s="4"/>
      <c r="M534" s="4"/>
      <c r="N534" s="4"/>
      <c r="O534" s="4"/>
      <c r="P534" s="4"/>
      <c r="Q534" s="4"/>
      <c r="R534" s="4"/>
      <c r="S534" s="4"/>
      <c r="T534" s="4"/>
      <c r="U534" s="4"/>
      <c r="V534" s="4"/>
      <c r="W534" s="4"/>
      <c r="X534" s="4"/>
      <c r="Y534" s="4"/>
      <c r="Z534" s="4"/>
    </row>
    <row r="535" spans="2:26" ht="15" x14ac:dyDescent="0.25">
      <c r="B535" s="4"/>
      <c r="C535" s="4"/>
      <c r="D535" s="5"/>
      <c r="E535" s="4"/>
      <c r="F535" s="4"/>
      <c r="G535" s="4"/>
      <c r="H535" s="4"/>
      <c r="I535" s="4"/>
      <c r="J535" s="4"/>
      <c r="K535" s="4"/>
      <c r="L535" s="4"/>
      <c r="M535" s="4"/>
      <c r="N535" s="4"/>
      <c r="O535" s="4"/>
      <c r="P535" s="4"/>
      <c r="Q535" s="4"/>
      <c r="R535" s="4"/>
      <c r="S535" s="4"/>
      <c r="T535" s="4"/>
      <c r="U535" s="4"/>
      <c r="V535" s="4"/>
      <c r="W535" s="4"/>
      <c r="X535" s="4"/>
      <c r="Y535" s="4"/>
      <c r="Z535" s="4"/>
    </row>
    <row r="536" spans="2:26" ht="15" x14ac:dyDescent="0.25">
      <c r="B536" s="4"/>
      <c r="C536" s="4"/>
      <c r="D536" s="5"/>
      <c r="E536" s="4"/>
      <c r="F536" s="4"/>
      <c r="G536" s="4"/>
      <c r="H536" s="4"/>
      <c r="I536" s="4"/>
      <c r="J536" s="4"/>
      <c r="K536" s="4"/>
      <c r="L536" s="4"/>
      <c r="M536" s="4"/>
      <c r="N536" s="4"/>
      <c r="O536" s="4"/>
      <c r="P536" s="4"/>
      <c r="Q536" s="4"/>
      <c r="R536" s="4"/>
      <c r="S536" s="4"/>
      <c r="T536" s="4"/>
      <c r="U536" s="4"/>
      <c r="V536" s="4"/>
      <c r="W536" s="4"/>
      <c r="X536" s="4"/>
      <c r="Y536" s="4"/>
      <c r="Z536" s="4"/>
    </row>
    <row r="537" spans="2:26" ht="15" x14ac:dyDescent="0.25">
      <c r="B537" s="4"/>
      <c r="C537" s="4"/>
      <c r="D537" s="5"/>
      <c r="E537" s="4"/>
      <c r="F537" s="4"/>
      <c r="G537" s="4"/>
      <c r="H537" s="4"/>
      <c r="I537" s="4"/>
      <c r="J537" s="4"/>
      <c r="K537" s="4"/>
      <c r="L537" s="4"/>
      <c r="M537" s="4"/>
      <c r="N537" s="4"/>
      <c r="O537" s="4"/>
      <c r="P537" s="4"/>
      <c r="Q537" s="4"/>
      <c r="R537" s="4"/>
      <c r="S537" s="4"/>
      <c r="T537" s="4"/>
      <c r="U537" s="4"/>
      <c r="V537" s="4"/>
      <c r="W537" s="4"/>
      <c r="X537" s="4"/>
      <c r="Y537" s="4"/>
      <c r="Z537" s="4"/>
    </row>
    <row r="538" spans="2:26" ht="15" x14ac:dyDescent="0.25">
      <c r="B538" s="4"/>
      <c r="C538" s="4"/>
      <c r="D538" s="5"/>
      <c r="E538" s="4"/>
      <c r="F538" s="4"/>
      <c r="G538" s="4"/>
      <c r="H538" s="4"/>
      <c r="I538" s="4"/>
      <c r="J538" s="4"/>
      <c r="K538" s="4"/>
      <c r="L538" s="4"/>
      <c r="M538" s="4"/>
      <c r="N538" s="4"/>
      <c r="O538" s="4"/>
      <c r="P538" s="4"/>
      <c r="Q538" s="4"/>
      <c r="R538" s="4"/>
      <c r="S538" s="4"/>
      <c r="T538" s="4"/>
      <c r="U538" s="4"/>
      <c r="V538" s="4"/>
      <c r="W538" s="4"/>
      <c r="X538" s="4"/>
      <c r="Y538" s="4"/>
      <c r="Z538" s="4"/>
    </row>
    <row r="539" spans="2:26" ht="15" x14ac:dyDescent="0.25">
      <c r="B539" s="4"/>
      <c r="C539" s="4"/>
      <c r="D539" s="5"/>
      <c r="E539" s="4"/>
      <c r="F539" s="4"/>
      <c r="G539" s="4"/>
      <c r="H539" s="4"/>
      <c r="I539" s="4"/>
      <c r="J539" s="4"/>
      <c r="K539" s="4"/>
      <c r="L539" s="4"/>
      <c r="M539" s="4"/>
      <c r="N539" s="4"/>
      <c r="O539" s="4"/>
      <c r="P539" s="4"/>
      <c r="Q539" s="4"/>
      <c r="R539" s="4"/>
      <c r="S539" s="4"/>
      <c r="T539" s="4"/>
      <c r="U539" s="4"/>
      <c r="V539" s="4"/>
      <c r="W539" s="4"/>
      <c r="X539" s="4"/>
      <c r="Y539" s="4"/>
      <c r="Z539" s="4"/>
    </row>
    <row r="540" spans="2:26" ht="15" x14ac:dyDescent="0.25">
      <c r="B540" s="4"/>
      <c r="C540" s="4"/>
      <c r="D540" s="5"/>
      <c r="E540" s="4"/>
      <c r="F540" s="4"/>
      <c r="G540" s="4"/>
      <c r="H540" s="4"/>
      <c r="I540" s="4"/>
      <c r="J540" s="4"/>
      <c r="K540" s="4"/>
      <c r="L540" s="4"/>
      <c r="M540" s="4"/>
      <c r="N540" s="4"/>
      <c r="O540" s="4"/>
      <c r="P540" s="4"/>
      <c r="Q540" s="4"/>
      <c r="R540" s="4"/>
      <c r="S540" s="4"/>
      <c r="T540" s="4"/>
      <c r="U540" s="4"/>
      <c r="V540" s="4"/>
      <c r="W540" s="4"/>
      <c r="X540" s="4"/>
      <c r="Y540" s="4"/>
      <c r="Z540" s="4"/>
    </row>
    <row r="541" spans="2:26" ht="15" x14ac:dyDescent="0.25">
      <c r="B541" s="4"/>
      <c r="C541" s="4"/>
      <c r="D541" s="5"/>
      <c r="E541" s="4"/>
      <c r="F541" s="4"/>
      <c r="G541" s="4"/>
      <c r="H541" s="4"/>
      <c r="I541" s="4"/>
      <c r="J541" s="4"/>
      <c r="K541" s="4"/>
      <c r="L541" s="4"/>
      <c r="M541" s="4"/>
      <c r="N541" s="4"/>
      <c r="O541" s="4"/>
      <c r="P541" s="4"/>
      <c r="Q541" s="4"/>
      <c r="R541" s="4"/>
      <c r="S541" s="4"/>
      <c r="T541" s="4"/>
      <c r="U541" s="4"/>
      <c r="V541" s="4"/>
      <c r="W541" s="4"/>
      <c r="X541" s="4"/>
      <c r="Y541" s="4"/>
      <c r="Z541" s="4"/>
    </row>
    <row r="542" spans="2:26" ht="15" x14ac:dyDescent="0.25">
      <c r="B542" s="4"/>
      <c r="C542" s="4"/>
      <c r="D542" s="5"/>
      <c r="E542" s="4"/>
      <c r="F542" s="4"/>
      <c r="G542" s="4"/>
      <c r="H542" s="4"/>
      <c r="I542" s="4"/>
      <c r="J542" s="4"/>
      <c r="K542" s="4"/>
      <c r="L542" s="4"/>
      <c r="M542" s="4"/>
      <c r="N542" s="4"/>
      <c r="O542" s="4"/>
      <c r="P542" s="4"/>
      <c r="Q542" s="4"/>
      <c r="R542" s="4"/>
      <c r="S542" s="4"/>
      <c r="T542" s="4"/>
      <c r="U542" s="4"/>
      <c r="V542" s="4"/>
      <c r="W542" s="4"/>
      <c r="X542" s="4"/>
      <c r="Y542" s="4"/>
      <c r="Z542" s="4"/>
    </row>
    <row r="543" spans="2:26" ht="15" x14ac:dyDescent="0.25">
      <c r="B543" s="4"/>
      <c r="C543" s="4"/>
      <c r="D543" s="5"/>
      <c r="E543" s="4"/>
      <c r="F543" s="4"/>
      <c r="G543" s="4"/>
      <c r="H543" s="4"/>
      <c r="I543" s="4"/>
      <c r="J543" s="4"/>
      <c r="K543" s="4"/>
      <c r="L543" s="4"/>
      <c r="M543" s="4"/>
      <c r="N543" s="4"/>
      <c r="O543" s="4"/>
      <c r="P543" s="4"/>
      <c r="Q543" s="4"/>
      <c r="R543" s="4"/>
      <c r="S543" s="4"/>
      <c r="T543" s="4"/>
      <c r="U543" s="4"/>
      <c r="V543" s="4"/>
      <c r="W543" s="4"/>
      <c r="X543" s="4"/>
      <c r="Y543" s="4"/>
      <c r="Z543" s="4"/>
    </row>
    <row r="544" spans="2:26" ht="15" x14ac:dyDescent="0.25">
      <c r="B544" s="4"/>
      <c r="C544" s="4"/>
      <c r="D544" s="5"/>
      <c r="E544" s="4"/>
      <c r="F544" s="4"/>
      <c r="G544" s="4"/>
      <c r="H544" s="4"/>
      <c r="I544" s="4"/>
      <c r="J544" s="4"/>
      <c r="K544" s="4"/>
      <c r="L544" s="4"/>
      <c r="M544" s="4"/>
      <c r="N544" s="4"/>
      <c r="O544" s="4"/>
      <c r="P544" s="4"/>
      <c r="Q544" s="4"/>
      <c r="R544" s="4"/>
      <c r="S544" s="4"/>
      <c r="T544" s="4"/>
      <c r="U544" s="4"/>
      <c r="V544" s="4"/>
      <c r="W544" s="4"/>
      <c r="X544" s="4"/>
      <c r="Y544" s="4"/>
      <c r="Z544" s="4"/>
    </row>
    <row r="545" spans="2:26" ht="15" x14ac:dyDescent="0.25">
      <c r="B545" s="4"/>
      <c r="C545" s="4"/>
      <c r="D545" s="5"/>
      <c r="E545" s="4"/>
      <c r="F545" s="4"/>
      <c r="G545" s="4"/>
      <c r="H545" s="4"/>
      <c r="I545" s="4"/>
      <c r="J545" s="4"/>
      <c r="K545" s="4"/>
      <c r="L545" s="4"/>
      <c r="M545" s="4"/>
      <c r="N545" s="4"/>
      <c r="O545" s="4"/>
      <c r="P545" s="4"/>
      <c r="Q545" s="4"/>
      <c r="R545" s="4"/>
      <c r="S545" s="4"/>
      <c r="T545" s="4"/>
      <c r="U545" s="4"/>
      <c r="V545" s="4"/>
      <c r="W545" s="4"/>
      <c r="X545" s="4"/>
      <c r="Y545" s="4"/>
      <c r="Z545" s="4"/>
    </row>
    <row r="546" spans="2:26" ht="15" x14ac:dyDescent="0.25">
      <c r="B546" s="4"/>
      <c r="C546" s="4"/>
      <c r="D546" s="5"/>
      <c r="E546" s="4"/>
      <c r="F546" s="4"/>
      <c r="G546" s="4"/>
      <c r="H546" s="4"/>
      <c r="I546" s="4"/>
      <c r="J546" s="4"/>
      <c r="K546" s="4"/>
      <c r="L546" s="4"/>
      <c r="M546" s="4"/>
      <c r="N546" s="4"/>
      <c r="O546" s="4"/>
      <c r="P546" s="4"/>
      <c r="Q546" s="4"/>
      <c r="R546" s="4"/>
      <c r="S546" s="4"/>
      <c r="T546" s="4"/>
      <c r="U546" s="4"/>
      <c r="V546" s="4"/>
      <c r="W546" s="4"/>
      <c r="X546" s="4"/>
      <c r="Y546" s="4"/>
      <c r="Z546" s="4"/>
    </row>
    <row r="547" spans="2:26" ht="15" x14ac:dyDescent="0.25">
      <c r="B547" s="4"/>
      <c r="C547" s="4"/>
      <c r="D547" s="5"/>
      <c r="E547" s="4"/>
      <c r="F547" s="4"/>
      <c r="G547" s="4"/>
      <c r="H547" s="4"/>
      <c r="I547" s="4"/>
      <c r="J547" s="4"/>
      <c r="K547" s="4"/>
      <c r="L547" s="4"/>
      <c r="M547" s="4"/>
      <c r="N547" s="4"/>
      <c r="O547" s="4"/>
      <c r="P547" s="4"/>
      <c r="Q547" s="4"/>
      <c r="R547" s="4"/>
      <c r="S547" s="4"/>
      <c r="T547" s="4"/>
      <c r="U547" s="4"/>
      <c r="V547" s="4"/>
      <c r="W547" s="4"/>
      <c r="X547" s="4"/>
      <c r="Y547" s="4"/>
      <c r="Z547" s="4"/>
    </row>
    <row r="548" spans="2:26" ht="15" x14ac:dyDescent="0.25">
      <c r="B548" s="4"/>
      <c r="C548" s="4"/>
      <c r="D548" s="5"/>
      <c r="E548" s="4"/>
      <c r="F548" s="4"/>
      <c r="G548" s="4"/>
      <c r="H548" s="4"/>
      <c r="I548" s="4"/>
      <c r="J548" s="4"/>
      <c r="K548" s="4"/>
      <c r="L548" s="4"/>
      <c r="M548" s="4"/>
      <c r="N548" s="4"/>
      <c r="O548" s="4"/>
      <c r="P548" s="4"/>
      <c r="Q548" s="4"/>
      <c r="R548" s="4"/>
      <c r="S548" s="4"/>
      <c r="T548" s="4"/>
      <c r="U548" s="4"/>
      <c r="V548" s="4"/>
      <c r="W548" s="4"/>
      <c r="X548" s="4"/>
      <c r="Y548" s="4"/>
      <c r="Z548" s="4"/>
    </row>
    <row r="549" spans="2:26" ht="15" x14ac:dyDescent="0.25">
      <c r="B549" s="4"/>
      <c r="C549" s="4"/>
      <c r="D549" s="5"/>
      <c r="E549" s="4"/>
      <c r="F549" s="4"/>
      <c r="G549" s="4"/>
      <c r="H549" s="4"/>
      <c r="I549" s="4"/>
      <c r="J549" s="4"/>
      <c r="K549" s="4"/>
      <c r="L549" s="4"/>
      <c r="M549" s="4"/>
      <c r="N549" s="4"/>
      <c r="O549" s="4"/>
      <c r="P549" s="4"/>
      <c r="Q549" s="4"/>
      <c r="R549" s="4"/>
      <c r="S549" s="4"/>
      <c r="T549" s="4"/>
      <c r="U549" s="4"/>
      <c r="V549" s="4"/>
      <c r="W549" s="4"/>
      <c r="X549" s="4"/>
      <c r="Y549" s="4"/>
      <c r="Z549" s="4"/>
    </row>
    <row r="550" spans="2:26" ht="15" x14ac:dyDescent="0.25">
      <c r="B550" s="4"/>
      <c r="C550" s="4"/>
      <c r="D550" s="5"/>
      <c r="E550" s="4"/>
      <c r="F550" s="4"/>
      <c r="G550" s="4"/>
      <c r="H550" s="4"/>
      <c r="I550" s="4"/>
      <c r="J550" s="4"/>
      <c r="K550" s="4"/>
      <c r="L550" s="4"/>
      <c r="M550" s="4"/>
      <c r="N550" s="4"/>
      <c r="O550" s="4"/>
      <c r="P550" s="4"/>
      <c r="Q550" s="4"/>
      <c r="R550" s="4"/>
      <c r="S550" s="4"/>
      <c r="T550" s="4"/>
      <c r="U550" s="4"/>
      <c r="V550" s="4"/>
      <c r="W550" s="4"/>
      <c r="X550" s="4"/>
      <c r="Y550" s="4"/>
      <c r="Z550" s="4"/>
    </row>
    <row r="551" spans="2:26" ht="15" x14ac:dyDescent="0.25">
      <c r="B551" s="4"/>
      <c r="C551" s="4"/>
      <c r="D551" s="5"/>
      <c r="E551" s="4"/>
      <c r="F551" s="4"/>
      <c r="G551" s="4"/>
      <c r="H551" s="4"/>
      <c r="I551" s="4"/>
      <c r="J551" s="4"/>
      <c r="K551" s="4"/>
      <c r="L551" s="4"/>
      <c r="M551" s="4"/>
      <c r="N551" s="4"/>
      <c r="O551" s="4"/>
      <c r="P551" s="4"/>
      <c r="Q551" s="4"/>
      <c r="R551" s="4"/>
      <c r="S551" s="4"/>
      <c r="T551" s="4"/>
      <c r="U551" s="4"/>
      <c r="V551" s="4"/>
      <c r="W551" s="4"/>
      <c r="X551" s="4"/>
      <c r="Y551" s="4"/>
      <c r="Z551" s="4"/>
    </row>
    <row r="552" spans="2:26" ht="15" x14ac:dyDescent="0.25">
      <c r="B552" s="4"/>
      <c r="C552" s="4"/>
      <c r="D552" s="5"/>
      <c r="E552" s="4"/>
      <c r="F552" s="4"/>
      <c r="G552" s="4"/>
      <c r="H552" s="4"/>
      <c r="I552" s="4"/>
      <c r="J552" s="4"/>
      <c r="K552" s="4"/>
      <c r="L552" s="4"/>
      <c r="M552" s="4"/>
      <c r="N552" s="4"/>
      <c r="O552" s="4"/>
      <c r="P552" s="4"/>
      <c r="Q552" s="4"/>
      <c r="R552" s="4"/>
      <c r="S552" s="4"/>
      <c r="T552" s="4"/>
      <c r="U552" s="4"/>
      <c r="V552" s="4"/>
      <c r="W552" s="4"/>
      <c r="X552" s="4"/>
      <c r="Y552" s="4"/>
      <c r="Z552" s="4"/>
    </row>
    <row r="553" spans="2:26" ht="15" x14ac:dyDescent="0.25">
      <c r="B553" s="4"/>
      <c r="C553" s="4"/>
      <c r="D553" s="5"/>
      <c r="E553" s="4"/>
      <c r="F553" s="4"/>
      <c r="G553" s="4"/>
      <c r="H553" s="4"/>
      <c r="I553" s="4"/>
      <c r="J553" s="4"/>
      <c r="K553" s="4"/>
      <c r="L553" s="4"/>
      <c r="M553" s="4"/>
      <c r="N553" s="4"/>
      <c r="O553" s="4"/>
      <c r="P553" s="4"/>
      <c r="Q553" s="4"/>
      <c r="R553" s="4"/>
      <c r="S553" s="4"/>
      <c r="T553" s="4"/>
      <c r="U553" s="4"/>
      <c r="V553" s="4"/>
      <c r="W553" s="4"/>
      <c r="X553" s="4"/>
      <c r="Y553" s="4"/>
      <c r="Z553" s="4"/>
    </row>
    <row r="554" spans="2:26" ht="15" x14ac:dyDescent="0.25">
      <c r="B554" s="4"/>
      <c r="C554" s="4"/>
      <c r="D554" s="5"/>
      <c r="E554" s="4"/>
      <c r="F554" s="4"/>
      <c r="G554" s="4"/>
      <c r="H554" s="4"/>
      <c r="I554" s="4"/>
      <c r="J554" s="4"/>
      <c r="K554" s="4"/>
      <c r="L554" s="4"/>
      <c r="M554" s="4"/>
      <c r="N554" s="4"/>
      <c r="O554" s="4"/>
      <c r="P554" s="4"/>
      <c r="Q554" s="4"/>
      <c r="R554" s="4"/>
      <c r="S554" s="4"/>
      <c r="T554" s="4"/>
      <c r="U554" s="4"/>
      <c r="V554" s="4"/>
      <c r="W554" s="4"/>
      <c r="X554" s="4"/>
      <c r="Y554" s="4"/>
      <c r="Z554" s="4"/>
    </row>
    <row r="555" spans="2:26" ht="15" x14ac:dyDescent="0.25">
      <c r="B555" s="4"/>
      <c r="C555" s="4"/>
      <c r="D555" s="5"/>
      <c r="E555" s="4"/>
      <c r="F555" s="4"/>
      <c r="G555" s="4"/>
      <c r="H555" s="4"/>
      <c r="I555" s="4"/>
      <c r="J555" s="4"/>
      <c r="K555" s="4"/>
      <c r="L555" s="4"/>
      <c r="M555" s="4"/>
      <c r="N555" s="4"/>
      <c r="O555" s="4"/>
      <c r="P555" s="4"/>
      <c r="Q555" s="4"/>
      <c r="R555" s="4"/>
      <c r="S555" s="4"/>
      <c r="T555" s="4"/>
      <c r="U555" s="4"/>
      <c r="V555" s="4"/>
      <c r="W555" s="4"/>
      <c r="X555" s="4"/>
      <c r="Y555" s="4"/>
      <c r="Z555" s="4"/>
    </row>
    <row r="556" spans="2:26" ht="15" x14ac:dyDescent="0.25">
      <c r="B556" s="4"/>
      <c r="C556" s="4"/>
      <c r="D556" s="5"/>
      <c r="E556" s="4"/>
      <c r="F556" s="4"/>
      <c r="G556" s="4"/>
      <c r="H556" s="4"/>
      <c r="I556" s="4"/>
      <c r="J556" s="4"/>
      <c r="K556" s="4"/>
      <c r="L556" s="4"/>
      <c r="M556" s="4"/>
      <c r="N556" s="4"/>
      <c r="O556" s="4"/>
      <c r="P556" s="4"/>
      <c r="Q556" s="4"/>
      <c r="R556" s="4"/>
      <c r="S556" s="4"/>
      <c r="T556" s="4"/>
      <c r="U556" s="4"/>
      <c r="V556" s="4"/>
      <c r="W556" s="4"/>
      <c r="X556" s="4"/>
      <c r="Y556" s="4"/>
      <c r="Z556" s="4"/>
    </row>
    <row r="557" spans="2:26" ht="15" x14ac:dyDescent="0.25">
      <c r="B557" s="4"/>
      <c r="C557" s="4"/>
      <c r="D557" s="5"/>
      <c r="E557" s="4"/>
      <c r="F557" s="4"/>
      <c r="G557" s="4"/>
      <c r="H557" s="4"/>
      <c r="I557" s="4"/>
      <c r="J557" s="4"/>
      <c r="K557" s="4"/>
      <c r="L557" s="4"/>
      <c r="M557" s="4"/>
      <c r="N557" s="4"/>
      <c r="O557" s="4"/>
      <c r="P557" s="4"/>
      <c r="Q557" s="4"/>
      <c r="R557" s="4"/>
      <c r="S557" s="4"/>
      <c r="T557" s="4"/>
      <c r="U557" s="4"/>
      <c r="V557" s="4"/>
      <c r="W557" s="4"/>
      <c r="X557" s="4"/>
      <c r="Y557" s="4"/>
      <c r="Z557" s="4"/>
    </row>
    <row r="558" spans="2:26" ht="15" x14ac:dyDescent="0.25">
      <c r="B558" s="4"/>
      <c r="C558" s="4"/>
      <c r="D558" s="5"/>
      <c r="E558" s="4"/>
      <c r="F558" s="4"/>
      <c r="G558" s="4"/>
      <c r="H558" s="4"/>
      <c r="I558" s="4"/>
      <c r="J558" s="4"/>
      <c r="K558" s="4"/>
      <c r="L558" s="4"/>
      <c r="M558" s="4"/>
      <c r="N558" s="4"/>
      <c r="O558" s="4"/>
      <c r="P558" s="4"/>
      <c r="Q558" s="4"/>
      <c r="R558" s="4"/>
      <c r="S558" s="4"/>
      <c r="T558" s="4"/>
      <c r="U558" s="4"/>
      <c r="V558" s="4"/>
      <c r="W558" s="4"/>
      <c r="X558" s="4"/>
      <c r="Y558" s="4"/>
      <c r="Z558" s="4"/>
    </row>
    <row r="559" spans="2:26" ht="15" x14ac:dyDescent="0.25">
      <c r="B559" s="4"/>
      <c r="C559" s="4"/>
      <c r="D559" s="5"/>
      <c r="E559" s="4"/>
      <c r="F559" s="4"/>
      <c r="G559" s="4"/>
      <c r="H559" s="4"/>
      <c r="I559" s="4"/>
      <c r="J559" s="4"/>
      <c r="K559" s="4"/>
      <c r="L559" s="4"/>
      <c r="M559" s="4"/>
      <c r="N559" s="4"/>
      <c r="O559" s="4"/>
      <c r="P559" s="4"/>
      <c r="Q559" s="4"/>
      <c r="R559" s="4"/>
      <c r="S559" s="4"/>
      <c r="T559" s="4"/>
      <c r="U559" s="4"/>
      <c r="V559" s="4"/>
      <c r="W559" s="4"/>
      <c r="X559" s="4"/>
      <c r="Y559" s="4"/>
      <c r="Z559" s="4"/>
    </row>
    <row r="560" spans="2:26" ht="15" x14ac:dyDescent="0.25">
      <c r="B560" s="4"/>
      <c r="C560" s="4"/>
      <c r="D560" s="5"/>
      <c r="E560" s="4"/>
      <c r="F560" s="4"/>
      <c r="G560" s="4"/>
      <c r="H560" s="4"/>
      <c r="I560" s="4"/>
      <c r="J560" s="4"/>
      <c r="K560" s="4"/>
      <c r="L560" s="4"/>
      <c r="M560" s="4"/>
      <c r="N560" s="4"/>
      <c r="O560" s="4"/>
      <c r="P560" s="4"/>
      <c r="Q560" s="4"/>
      <c r="R560" s="4"/>
      <c r="S560" s="4"/>
      <c r="T560" s="4"/>
      <c r="U560" s="4"/>
      <c r="V560" s="4"/>
      <c r="W560" s="4"/>
      <c r="X560" s="4"/>
      <c r="Y560" s="4"/>
      <c r="Z560" s="4"/>
    </row>
    <row r="561" spans="2:26" ht="15" x14ac:dyDescent="0.25">
      <c r="B561" s="4"/>
      <c r="C561" s="4"/>
      <c r="D561" s="5"/>
      <c r="E561" s="4"/>
      <c r="F561" s="4"/>
      <c r="G561" s="4"/>
      <c r="H561" s="4"/>
      <c r="I561" s="4"/>
      <c r="J561" s="4"/>
      <c r="K561" s="4"/>
      <c r="L561" s="4"/>
      <c r="M561" s="4"/>
      <c r="N561" s="4"/>
      <c r="O561" s="4"/>
      <c r="P561" s="4"/>
      <c r="Q561" s="4"/>
      <c r="R561" s="4"/>
      <c r="S561" s="4"/>
      <c r="T561" s="4"/>
      <c r="U561" s="4"/>
      <c r="V561" s="4"/>
      <c r="W561" s="4"/>
      <c r="X561" s="4"/>
      <c r="Y561" s="4"/>
      <c r="Z561" s="4"/>
    </row>
    <row r="562" spans="2:26" ht="15" x14ac:dyDescent="0.25">
      <c r="B562" s="4"/>
      <c r="C562" s="4"/>
      <c r="D562" s="5"/>
      <c r="E562" s="4"/>
      <c r="F562" s="4"/>
      <c r="G562" s="4"/>
      <c r="H562" s="4"/>
      <c r="I562" s="4"/>
      <c r="J562" s="4"/>
      <c r="K562" s="4"/>
      <c r="L562" s="4"/>
      <c r="M562" s="4"/>
      <c r="N562" s="4"/>
      <c r="O562" s="4"/>
      <c r="P562" s="4"/>
      <c r="Q562" s="4"/>
      <c r="R562" s="4"/>
      <c r="S562" s="4"/>
      <c r="T562" s="4"/>
      <c r="U562" s="4"/>
      <c r="V562" s="4"/>
      <c r="W562" s="4"/>
      <c r="X562" s="4"/>
      <c r="Y562" s="4"/>
      <c r="Z562" s="4"/>
    </row>
    <row r="563" spans="2:26" ht="15" x14ac:dyDescent="0.25">
      <c r="B563" s="4"/>
      <c r="C563" s="4"/>
      <c r="D563" s="5"/>
      <c r="E563" s="4"/>
      <c r="F563" s="4"/>
      <c r="G563" s="4"/>
      <c r="H563" s="4"/>
      <c r="I563" s="4"/>
      <c r="J563" s="4"/>
      <c r="K563" s="4"/>
      <c r="L563" s="4"/>
      <c r="M563" s="4"/>
      <c r="N563" s="4"/>
      <c r="O563" s="4"/>
      <c r="P563" s="4"/>
      <c r="Q563" s="4"/>
      <c r="R563" s="4"/>
      <c r="S563" s="4"/>
      <c r="T563" s="4"/>
      <c r="U563" s="4"/>
      <c r="V563" s="4"/>
      <c r="W563" s="4"/>
      <c r="X563" s="4"/>
      <c r="Y563" s="4"/>
      <c r="Z563" s="4"/>
    </row>
    <row r="564" spans="2:26" ht="15" x14ac:dyDescent="0.25">
      <c r="B564" s="4"/>
      <c r="C564" s="4"/>
      <c r="D564" s="5"/>
      <c r="E564" s="4"/>
      <c r="F564" s="4"/>
      <c r="G564" s="4"/>
      <c r="H564" s="4"/>
      <c r="I564" s="4"/>
      <c r="J564" s="4"/>
      <c r="K564" s="4"/>
      <c r="L564" s="4"/>
      <c r="M564" s="4"/>
      <c r="N564" s="4"/>
      <c r="O564" s="4"/>
      <c r="P564" s="4"/>
      <c r="Q564" s="4"/>
      <c r="R564" s="4"/>
      <c r="S564" s="4"/>
      <c r="T564" s="4"/>
      <c r="U564" s="4"/>
      <c r="V564" s="4"/>
      <c r="W564" s="4"/>
      <c r="X564" s="4"/>
      <c r="Y564" s="4"/>
      <c r="Z564" s="4"/>
    </row>
    <row r="565" spans="2:26" ht="15" x14ac:dyDescent="0.25">
      <c r="B565" s="4"/>
      <c r="C565" s="4"/>
      <c r="D565" s="5"/>
      <c r="E565" s="4"/>
      <c r="F565" s="4"/>
      <c r="G565" s="4"/>
      <c r="H565" s="4"/>
      <c r="I565" s="4"/>
      <c r="J565" s="4"/>
      <c r="K565" s="4"/>
      <c r="L565" s="4"/>
      <c r="M565" s="4"/>
      <c r="N565" s="4"/>
      <c r="O565" s="4"/>
      <c r="P565" s="4"/>
      <c r="Q565" s="4"/>
      <c r="R565" s="4"/>
      <c r="S565" s="4"/>
      <c r="T565" s="4"/>
      <c r="U565" s="4"/>
      <c r="V565" s="4"/>
      <c r="W565" s="4"/>
      <c r="X565" s="4"/>
      <c r="Y565" s="4"/>
      <c r="Z565" s="4"/>
    </row>
    <row r="566" spans="2:26" ht="15" x14ac:dyDescent="0.25">
      <c r="B566" s="4"/>
      <c r="C566" s="4"/>
      <c r="D566" s="5"/>
      <c r="E566" s="4"/>
      <c r="F566" s="4"/>
      <c r="G566" s="4"/>
      <c r="H566" s="4"/>
      <c r="I566" s="4"/>
      <c r="J566" s="4"/>
      <c r="K566" s="4"/>
      <c r="L566" s="4"/>
      <c r="M566" s="4"/>
      <c r="N566" s="4"/>
      <c r="O566" s="4"/>
      <c r="P566" s="4"/>
      <c r="Q566" s="4"/>
      <c r="R566" s="4"/>
      <c r="S566" s="4"/>
      <c r="T566" s="4"/>
      <c r="U566" s="4"/>
      <c r="V566" s="4"/>
      <c r="W566" s="4"/>
      <c r="X566" s="4"/>
      <c r="Y566" s="4"/>
      <c r="Z566" s="4"/>
    </row>
    <row r="567" spans="2:26" ht="15" x14ac:dyDescent="0.25">
      <c r="B567" s="4"/>
      <c r="C567" s="4"/>
      <c r="D567" s="5"/>
      <c r="E567" s="4"/>
      <c r="F567" s="4"/>
      <c r="G567" s="4"/>
      <c r="H567" s="4"/>
      <c r="I567" s="4"/>
      <c r="J567" s="4"/>
      <c r="K567" s="4"/>
      <c r="L567" s="4"/>
      <c r="M567" s="4"/>
      <c r="N567" s="4"/>
      <c r="O567" s="4"/>
      <c r="P567" s="4"/>
      <c r="Q567" s="4"/>
      <c r="R567" s="4"/>
      <c r="S567" s="4"/>
      <c r="T567" s="4"/>
      <c r="U567" s="4"/>
      <c r="V567" s="4"/>
      <c r="W567" s="4"/>
      <c r="X567" s="4"/>
      <c r="Y567" s="4"/>
      <c r="Z567" s="4"/>
    </row>
    <row r="568" spans="2:26" ht="15" x14ac:dyDescent="0.25">
      <c r="B568" s="4"/>
      <c r="C568" s="4"/>
      <c r="D568" s="5"/>
      <c r="E568" s="4"/>
      <c r="F568" s="4"/>
      <c r="G568" s="4"/>
      <c r="H568" s="4"/>
      <c r="I568" s="4"/>
      <c r="J568" s="4"/>
      <c r="K568" s="4"/>
      <c r="L568" s="4"/>
      <c r="M568" s="4"/>
      <c r="N568" s="4"/>
      <c r="O568" s="4"/>
      <c r="P568" s="4"/>
      <c r="Q568" s="4"/>
      <c r="R568" s="4"/>
      <c r="S568" s="4"/>
      <c r="T568" s="4"/>
      <c r="U568" s="4"/>
      <c r="V568" s="4"/>
      <c r="W568" s="4"/>
      <c r="X568" s="4"/>
      <c r="Y568" s="4"/>
      <c r="Z568" s="4"/>
    </row>
    <row r="569" spans="2:26" ht="15" x14ac:dyDescent="0.25">
      <c r="B569" s="4"/>
      <c r="C569" s="4"/>
      <c r="D569" s="5"/>
      <c r="E569" s="4"/>
      <c r="F569" s="4"/>
      <c r="G569" s="4"/>
      <c r="H569" s="4"/>
      <c r="I569" s="4"/>
      <c r="J569" s="4"/>
      <c r="K569" s="4"/>
      <c r="L569" s="4"/>
      <c r="M569" s="4"/>
      <c r="N569" s="4"/>
      <c r="O569" s="4"/>
      <c r="P569" s="4"/>
      <c r="Q569" s="4"/>
      <c r="R569" s="4"/>
      <c r="S569" s="4"/>
      <c r="T569" s="4"/>
      <c r="U569" s="4"/>
      <c r="V569" s="4"/>
      <c r="W569" s="4"/>
      <c r="X569" s="4"/>
      <c r="Y569" s="4"/>
      <c r="Z569" s="4"/>
    </row>
    <row r="570" spans="2:26" ht="15" x14ac:dyDescent="0.25">
      <c r="B570" s="4"/>
      <c r="C570" s="4"/>
      <c r="D570" s="5"/>
      <c r="E570" s="4"/>
      <c r="F570" s="4"/>
      <c r="G570" s="4"/>
      <c r="H570" s="4"/>
      <c r="I570" s="4"/>
      <c r="J570" s="4"/>
      <c r="K570" s="4"/>
      <c r="L570" s="4"/>
      <c r="M570" s="4"/>
      <c r="N570" s="4"/>
      <c r="O570" s="4"/>
      <c r="P570" s="4"/>
      <c r="Q570" s="4"/>
      <c r="R570" s="4"/>
      <c r="S570" s="4"/>
      <c r="T570" s="4"/>
      <c r="U570" s="4"/>
      <c r="V570" s="4"/>
      <c r="W570" s="4"/>
      <c r="X570" s="4"/>
      <c r="Y570" s="4"/>
      <c r="Z570" s="4"/>
    </row>
    <row r="571" spans="2:26" ht="15" x14ac:dyDescent="0.25">
      <c r="B571" s="4"/>
      <c r="C571" s="4"/>
      <c r="D571" s="5"/>
      <c r="E571" s="4"/>
      <c r="F571" s="4"/>
      <c r="G571" s="4"/>
      <c r="H571" s="4"/>
      <c r="I571" s="4"/>
      <c r="J571" s="4"/>
      <c r="K571" s="4"/>
      <c r="L571" s="4"/>
      <c r="M571" s="4"/>
      <c r="N571" s="4"/>
      <c r="O571" s="4"/>
      <c r="P571" s="4"/>
      <c r="Q571" s="4"/>
      <c r="R571" s="4"/>
      <c r="S571" s="4"/>
      <c r="T571" s="4"/>
      <c r="U571" s="4"/>
      <c r="V571" s="4"/>
      <c r="W571" s="4"/>
      <c r="X571" s="4"/>
      <c r="Y571" s="4"/>
      <c r="Z571" s="4"/>
    </row>
    <row r="572" spans="2:26" ht="15" x14ac:dyDescent="0.25">
      <c r="B572" s="4"/>
      <c r="C572" s="4"/>
      <c r="D572" s="5"/>
      <c r="E572" s="4"/>
      <c r="F572" s="4"/>
      <c r="G572" s="4"/>
      <c r="H572" s="4"/>
      <c r="I572" s="4"/>
      <c r="J572" s="4"/>
      <c r="K572" s="4"/>
      <c r="L572" s="4"/>
      <c r="M572" s="4"/>
      <c r="N572" s="4"/>
      <c r="O572" s="4"/>
      <c r="P572" s="4"/>
      <c r="Q572" s="4"/>
      <c r="R572" s="4"/>
      <c r="S572" s="4"/>
      <c r="T572" s="4"/>
      <c r="U572" s="4"/>
      <c r="V572" s="4"/>
      <c r="W572" s="4"/>
      <c r="X572" s="4"/>
      <c r="Y572" s="4"/>
      <c r="Z572" s="4"/>
    </row>
    <row r="573" spans="2:26" ht="15" x14ac:dyDescent="0.25">
      <c r="B573" s="4"/>
      <c r="C573" s="4"/>
      <c r="D573" s="5"/>
      <c r="E573" s="4"/>
      <c r="F573" s="4"/>
      <c r="G573" s="4"/>
      <c r="H573" s="4"/>
      <c r="I573" s="4"/>
      <c r="J573" s="4"/>
      <c r="K573" s="4"/>
      <c r="L573" s="4"/>
      <c r="M573" s="4"/>
      <c r="N573" s="4"/>
      <c r="O573" s="4"/>
      <c r="P573" s="4"/>
      <c r="Q573" s="4"/>
      <c r="R573" s="4"/>
      <c r="S573" s="4"/>
      <c r="T573" s="4"/>
      <c r="U573" s="4"/>
      <c r="V573" s="4"/>
      <c r="W573" s="4"/>
      <c r="X573" s="4"/>
      <c r="Y573" s="4"/>
      <c r="Z573" s="4"/>
    </row>
    <row r="574" spans="2:26" ht="15" x14ac:dyDescent="0.25">
      <c r="B574" s="4"/>
      <c r="C574" s="4"/>
      <c r="D574" s="5"/>
      <c r="E574" s="4"/>
      <c r="F574" s="4"/>
      <c r="G574" s="4"/>
      <c r="H574" s="4"/>
      <c r="I574" s="4"/>
      <c r="J574" s="4"/>
      <c r="K574" s="4"/>
      <c r="L574" s="4"/>
      <c r="M574" s="4"/>
      <c r="N574" s="4"/>
      <c r="O574" s="4"/>
      <c r="P574" s="4"/>
      <c r="Q574" s="4"/>
      <c r="R574" s="4"/>
      <c r="S574" s="4"/>
      <c r="T574" s="4"/>
      <c r="U574" s="4"/>
      <c r="V574" s="4"/>
      <c r="W574" s="4"/>
      <c r="X574" s="4"/>
      <c r="Y574" s="4"/>
      <c r="Z574" s="4"/>
    </row>
    <row r="575" spans="2:26" ht="15" x14ac:dyDescent="0.25">
      <c r="B575" s="4"/>
      <c r="C575" s="4"/>
      <c r="D575" s="5"/>
      <c r="E575" s="4"/>
      <c r="F575" s="4"/>
      <c r="G575" s="4"/>
      <c r="H575" s="4"/>
      <c r="I575" s="4"/>
      <c r="J575" s="4"/>
      <c r="K575" s="4"/>
      <c r="L575" s="4"/>
      <c r="M575" s="4"/>
      <c r="N575" s="4"/>
      <c r="O575" s="4"/>
      <c r="P575" s="4"/>
      <c r="Q575" s="4"/>
      <c r="R575" s="4"/>
      <c r="S575" s="4"/>
      <c r="T575" s="4"/>
      <c r="U575" s="4"/>
      <c r="V575" s="4"/>
      <c r="W575" s="4"/>
      <c r="X575" s="4"/>
      <c r="Y575" s="4"/>
      <c r="Z575" s="4"/>
    </row>
    <row r="576" spans="2:26" ht="15" x14ac:dyDescent="0.25">
      <c r="B576" s="4"/>
      <c r="C576" s="4"/>
      <c r="D576" s="5"/>
      <c r="E576" s="4"/>
      <c r="F576" s="4"/>
      <c r="G576" s="4"/>
      <c r="H576" s="4"/>
      <c r="I576" s="4"/>
      <c r="J576" s="4"/>
      <c r="K576" s="4"/>
      <c r="L576" s="4"/>
      <c r="M576" s="4"/>
      <c r="N576" s="4"/>
      <c r="O576" s="4"/>
      <c r="P576" s="4"/>
      <c r="Q576" s="4"/>
      <c r="R576" s="4"/>
      <c r="S576" s="4"/>
      <c r="T576" s="4"/>
      <c r="U576" s="4"/>
      <c r="V576" s="4"/>
      <c r="W576" s="4"/>
      <c r="X576" s="4"/>
      <c r="Y576" s="4"/>
      <c r="Z576" s="4"/>
    </row>
    <row r="577" spans="2:26" ht="15" x14ac:dyDescent="0.25">
      <c r="B577" s="4"/>
      <c r="C577" s="4"/>
      <c r="D577" s="5"/>
      <c r="E577" s="4"/>
      <c r="F577" s="4"/>
      <c r="G577" s="4"/>
      <c r="H577" s="4"/>
      <c r="I577" s="4"/>
      <c r="J577" s="4"/>
      <c r="K577" s="4"/>
      <c r="L577" s="4"/>
      <c r="M577" s="4"/>
      <c r="N577" s="4"/>
      <c r="O577" s="4"/>
      <c r="P577" s="4"/>
      <c r="Q577" s="4"/>
      <c r="R577" s="4"/>
      <c r="S577" s="4"/>
      <c r="T577" s="4"/>
      <c r="U577" s="4"/>
      <c r="V577" s="4"/>
      <c r="W577" s="4"/>
      <c r="X577" s="4"/>
      <c r="Y577" s="4"/>
      <c r="Z577" s="4"/>
    </row>
    <row r="578" spans="2:26" ht="15" x14ac:dyDescent="0.25">
      <c r="B578" s="4"/>
      <c r="C578" s="4"/>
      <c r="D578" s="5"/>
      <c r="E578" s="4"/>
      <c r="F578" s="4"/>
      <c r="G578" s="4"/>
      <c r="H578" s="4"/>
      <c r="I578" s="4"/>
      <c r="J578" s="4"/>
      <c r="K578" s="4"/>
      <c r="L578" s="4"/>
      <c r="M578" s="4"/>
      <c r="N578" s="4"/>
      <c r="O578" s="4"/>
      <c r="P578" s="4"/>
      <c r="Q578" s="4"/>
      <c r="R578" s="4"/>
      <c r="S578" s="4"/>
      <c r="T578" s="4"/>
      <c r="U578" s="4"/>
      <c r="V578" s="4"/>
      <c r="W578" s="4"/>
      <c r="X578" s="4"/>
      <c r="Y578" s="4"/>
      <c r="Z578" s="4"/>
    </row>
    <row r="579" spans="2:26" ht="15" x14ac:dyDescent="0.25">
      <c r="B579" s="4"/>
      <c r="C579" s="4"/>
      <c r="D579" s="5"/>
      <c r="E579" s="4"/>
      <c r="F579" s="4"/>
      <c r="G579" s="4"/>
      <c r="H579" s="4"/>
      <c r="I579" s="4"/>
      <c r="J579" s="4"/>
      <c r="K579" s="4"/>
      <c r="L579" s="4"/>
      <c r="M579" s="4"/>
      <c r="N579" s="4"/>
      <c r="O579" s="4"/>
      <c r="P579" s="4"/>
      <c r="Q579" s="4"/>
      <c r="R579" s="4"/>
      <c r="S579" s="4"/>
      <c r="T579" s="4"/>
      <c r="U579" s="4"/>
      <c r="V579" s="4"/>
      <c r="W579" s="4"/>
      <c r="X579" s="4"/>
      <c r="Y579" s="4"/>
      <c r="Z579" s="4"/>
    </row>
    <row r="580" spans="2:26" ht="15" x14ac:dyDescent="0.25">
      <c r="B580" s="4"/>
      <c r="C580" s="4"/>
      <c r="D580" s="5"/>
      <c r="E580" s="4"/>
      <c r="F580" s="4"/>
      <c r="G580" s="4"/>
      <c r="H580" s="4"/>
      <c r="I580" s="4"/>
      <c r="J580" s="4"/>
      <c r="K580" s="4"/>
      <c r="L580" s="4"/>
      <c r="M580" s="4"/>
      <c r="N580" s="4"/>
      <c r="O580" s="4"/>
      <c r="P580" s="4"/>
      <c r="Q580" s="4"/>
      <c r="R580" s="4"/>
      <c r="S580" s="4"/>
      <c r="T580" s="4"/>
      <c r="U580" s="4"/>
      <c r="V580" s="4"/>
      <c r="W580" s="4"/>
      <c r="X580" s="4"/>
      <c r="Y580" s="4"/>
      <c r="Z580" s="4"/>
    </row>
    <row r="581" spans="2:26" ht="15" x14ac:dyDescent="0.25">
      <c r="B581" s="4"/>
      <c r="C581" s="4"/>
      <c r="D581" s="5"/>
      <c r="E581" s="4"/>
      <c r="F581" s="4"/>
      <c r="G581" s="4"/>
      <c r="H581" s="4"/>
      <c r="I581" s="4"/>
      <c r="J581" s="4"/>
      <c r="K581" s="4"/>
      <c r="L581" s="4"/>
      <c r="M581" s="4"/>
      <c r="N581" s="4"/>
      <c r="O581" s="4"/>
      <c r="P581" s="4"/>
      <c r="Q581" s="4"/>
      <c r="R581" s="4"/>
      <c r="S581" s="4"/>
      <c r="T581" s="4"/>
      <c r="U581" s="4"/>
      <c r="V581" s="4"/>
      <c r="W581" s="4"/>
      <c r="X581" s="4"/>
      <c r="Y581" s="4"/>
      <c r="Z581" s="4"/>
    </row>
    <row r="582" spans="2:26" ht="15" x14ac:dyDescent="0.25">
      <c r="B582" s="4"/>
      <c r="C582" s="4"/>
      <c r="D582" s="5"/>
      <c r="E582" s="4"/>
      <c r="F582" s="4"/>
      <c r="G582" s="4"/>
      <c r="H582" s="4"/>
      <c r="I582" s="4"/>
      <c r="J582" s="4"/>
      <c r="K582" s="4"/>
      <c r="L582" s="4"/>
      <c r="M582" s="4"/>
      <c r="N582" s="4"/>
      <c r="O582" s="4"/>
      <c r="P582" s="4"/>
      <c r="Q582" s="4"/>
      <c r="R582" s="4"/>
      <c r="S582" s="4"/>
      <c r="T582" s="4"/>
      <c r="U582" s="4"/>
      <c r="V582" s="4"/>
      <c r="W582" s="4"/>
      <c r="X582" s="4"/>
      <c r="Y582" s="4"/>
      <c r="Z582" s="4"/>
    </row>
    <row r="583" spans="2:26" ht="15" x14ac:dyDescent="0.25">
      <c r="B583" s="4"/>
      <c r="C583" s="4"/>
      <c r="D583" s="5"/>
      <c r="E583" s="4"/>
      <c r="F583" s="4"/>
      <c r="G583" s="4"/>
      <c r="H583" s="4"/>
      <c r="I583" s="4"/>
      <c r="J583" s="4"/>
      <c r="K583" s="4"/>
      <c r="L583" s="4"/>
      <c r="M583" s="4"/>
      <c r="N583" s="4"/>
      <c r="O583" s="4"/>
      <c r="P583" s="4"/>
      <c r="Q583" s="4"/>
      <c r="R583" s="4"/>
      <c r="S583" s="4"/>
      <c r="T583" s="4"/>
      <c r="U583" s="4"/>
      <c r="V583" s="4"/>
      <c r="W583" s="4"/>
      <c r="X583" s="4"/>
      <c r="Y583" s="4"/>
      <c r="Z583" s="4"/>
    </row>
    <row r="584" spans="2:26" ht="15" x14ac:dyDescent="0.25">
      <c r="B584" s="4"/>
      <c r="C584" s="4"/>
      <c r="D584" s="5"/>
      <c r="E584" s="4"/>
      <c r="F584" s="4"/>
      <c r="G584" s="4"/>
      <c r="H584" s="4"/>
      <c r="I584" s="4"/>
      <c r="J584" s="4"/>
      <c r="K584" s="4"/>
      <c r="L584" s="4"/>
      <c r="M584" s="4"/>
      <c r="N584" s="4"/>
      <c r="O584" s="4"/>
      <c r="P584" s="4"/>
      <c r="Q584" s="4"/>
      <c r="R584" s="4"/>
      <c r="S584" s="4"/>
      <c r="T584" s="4"/>
      <c r="U584" s="4"/>
      <c r="V584" s="4"/>
      <c r="W584" s="4"/>
      <c r="X584" s="4"/>
      <c r="Y584" s="4"/>
      <c r="Z584" s="4"/>
    </row>
    <row r="585" spans="2:26" ht="15" x14ac:dyDescent="0.25">
      <c r="B585" s="4"/>
      <c r="C585" s="4"/>
      <c r="D585" s="5"/>
      <c r="E585" s="4"/>
      <c r="F585" s="4"/>
      <c r="G585" s="4"/>
      <c r="H585" s="4"/>
      <c r="I585" s="4"/>
      <c r="J585" s="4"/>
      <c r="K585" s="4"/>
      <c r="L585" s="4"/>
      <c r="M585" s="4"/>
      <c r="N585" s="4"/>
      <c r="O585" s="4"/>
      <c r="P585" s="4"/>
      <c r="Q585" s="4"/>
      <c r="R585" s="4"/>
      <c r="S585" s="4"/>
      <c r="T585" s="4"/>
      <c r="U585" s="4"/>
      <c r="V585" s="4"/>
      <c r="W585" s="4"/>
      <c r="X585" s="4"/>
      <c r="Y585" s="4"/>
      <c r="Z585" s="4"/>
    </row>
    <row r="586" spans="2:26" ht="15" x14ac:dyDescent="0.25">
      <c r="B586" s="4"/>
      <c r="C586" s="4"/>
      <c r="D586" s="5"/>
      <c r="E586" s="4"/>
      <c r="F586" s="4"/>
      <c r="G586" s="4"/>
      <c r="H586" s="4"/>
      <c r="I586" s="4"/>
      <c r="J586" s="4"/>
      <c r="K586" s="4"/>
      <c r="L586" s="4"/>
      <c r="M586" s="4"/>
      <c r="N586" s="4"/>
      <c r="O586" s="4"/>
      <c r="P586" s="4"/>
      <c r="Q586" s="4"/>
      <c r="R586" s="4"/>
      <c r="S586" s="4"/>
      <c r="T586" s="4"/>
      <c r="U586" s="4"/>
      <c r="V586" s="4"/>
      <c r="W586" s="4"/>
      <c r="X586" s="4"/>
      <c r="Y586" s="4"/>
      <c r="Z586" s="4"/>
    </row>
    <row r="587" spans="2:26" ht="15" x14ac:dyDescent="0.25">
      <c r="B587" s="4"/>
      <c r="C587" s="4"/>
      <c r="D587" s="5"/>
      <c r="E587" s="4"/>
      <c r="F587" s="4"/>
      <c r="G587" s="4"/>
      <c r="H587" s="4"/>
      <c r="I587" s="4"/>
      <c r="J587" s="4"/>
      <c r="K587" s="4"/>
      <c r="L587" s="4"/>
      <c r="M587" s="4"/>
      <c r="N587" s="4"/>
      <c r="O587" s="4"/>
      <c r="P587" s="4"/>
      <c r="Q587" s="4"/>
      <c r="R587" s="4"/>
      <c r="S587" s="4"/>
      <c r="T587" s="4"/>
      <c r="U587" s="4"/>
      <c r="V587" s="4"/>
      <c r="W587" s="4"/>
      <c r="X587" s="4"/>
      <c r="Y587" s="4"/>
      <c r="Z587" s="4"/>
    </row>
    <row r="588" spans="2:26" ht="15" x14ac:dyDescent="0.25">
      <c r="B588" s="4"/>
      <c r="C588" s="4"/>
      <c r="D588" s="5"/>
      <c r="E588" s="4"/>
      <c r="F588" s="4"/>
      <c r="G588" s="4"/>
      <c r="H588" s="4"/>
      <c r="I588" s="4"/>
      <c r="J588" s="4"/>
      <c r="K588" s="4"/>
      <c r="L588" s="4"/>
      <c r="M588" s="4"/>
      <c r="N588" s="4"/>
      <c r="O588" s="4"/>
      <c r="P588" s="4"/>
      <c r="Q588" s="4"/>
      <c r="R588" s="4"/>
      <c r="S588" s="4"/>
      <c r="T588" s="4"/>
      <c r="U588" s="4"/>
      <c r="V588" s="4"/>
      <c r="W588" s="4"/>
      <c r="X588" s="4"/>
      <c r="Y588" s="4"/>
      <c r="Z588" s="4"/>
    </row>
    <row r="589" spans="2:26" ht="15" x14ac:dyDescent="0.25">
      <c r="B589" s="4"/>
      <c r="C589" s="4"/>
      <c r="D589" s="5"/>
      <c r="E589" s="4"/>
      <c r="F589" s="4"/>
      <c r="G589" s="4"/>
      <c r="H589" s="4"/>
      <c r="I589" s="4"/>
      <c r="J589" s="4"/>
      <c r="K589" s="4"/>
      <c r="L589" s="4"/>
      <c r="M589" s="4"/>
      <c r="N589" s="4"/>
      <c r="O589" s="4"/>
      <c r="P589" s="4"/>
      <c r="Q589" s="4"/>
      <c r="R589" s="4"/>
      <c r="S589" s="4"/>
      <c r="T589" s="4"/>
      <c r="U589" s="4"/>
      <c r="V589" s="4"/>
      <c r="W589" s="4"/>
      <c r="X589" s="4"/>
      <c r="Y589" s="4"/>
      <c r="Z589" s="4"/>
    </row>
    <row r="590" spans="2:26" ht="15" x14ac:dyDescent="0.25">
      <c r="B590" s="4"/>
      <c r="C590" s="4"/>
      <c r="D590" s="5"/>
      <c r="E590" s="4"/>
      <c r="F590" s="4"/>
      <c r="G590" s="4"/>
      <c r="H590" s="4"/>
      <c r="I590" s="4"/>
      <c r="J590" s="4"/>
      <c r="K590" s="4"/>
      <c r="L590" s="4"/>
      <c r="M590" s="4"/>
      <c r="N590" s="4"/>
      <c r="O590" s="4"/>
      <c r="P590" s="4"/>
      <c r="Q590" s="4"/>
      <c r="R590" s="4"/>
      <c r="S590" s="4"/>
      <c r="T590" s="4"/>
      <c r="U590" s="4"/>
      <c r="V590" s="4"/>
      <c r="W590" s="4"/>
      <c r="X590" s="4"/>
      <c r="Y590" s="4"/>
      <c r="Z590" s="4"/>
    </row>
    <row r="591" spans="2:26" ht="15" x14ac:dyDescent="0.25">
      <c r="B591" s="4"/>
      <c r="C591" s="4"/>
      <c r="D591" s="5"/>
      <c r="E591" s="4"/>
      <c r="F591" s="4"/>
      <c r="G591" s="4"/>
      <c r="H591" s="4"/>
      <c r="I591" s="4"/>
      <c r="J591" s="4"/>
      <c r="K591" s="4"/>
      <c r="L591" s="4"/>
      <c r="M591" s="4"/>
      <c r="N591" s="4"/>
      <c r="O591" s="4"/>
      <c r="P591" s="4"/>
      <c r="Q591" s="4"/>
      <c r="R591" s="4"/>
      <c r="S591" s="4"/>
      <c r="T591" s="4"/>
      <c r="U591" s="4"/>
      <c r="V591" s="4"/>
      <c r="W591" s="4"/>
      <c r="X591" s="4"/>
      <c r="Y591" s="4"/>
      <c r="Z591" s="4"/>
    </row>
    <row r="592" spans="2:26" ht="15" x14ac:dyDescent="0.25">
      <c r="B592" s="4"/>
      <c r="C592" s="4"/>
      <c r="D592" s="5"/>
      <c r="E592" s="4"/>
      <c r="F592" s="4"/>
      <c r="G592" s="4"/>
      <c r="H592" s="4"/>
      <c r="I592" s="4"/>
      <c r="J592" s="4"/>
      <c r="K592" s="4"/>
      <c r="L592" s="4"/>
      <c r="M592" s="4"/>
      <c r="N592" s="4"/>
      <c r="O592" s="4"/>
      <c r="P592" s="4"/>
      <c r="Q592" s="4"/>
      <c r="R592" s="4"/>
      <c r="S592" s="4"/>
      <c r="T592" s="4"/>
      <c r="U592" s="4"/>
      <c r="V592" s="4"/>
      <c r="W592" s="4"/>
      <c r="X592" s="4"/>
      <c r="Y592" s="4"/>
      <c r="Z592" s="4"/>
    </row>
    <row r="593" spans="2:26" ht="15" x14ac:dyDescent="0.25">
      <c r="B593" s="4"/>
      <c r="C593" s="4"/>
      <c r="D593" s="5"/>
      <c r="E593" s="4"/>
      <c r="F593" s="4"/>
      <c r="G593" s="4"/>
      <c r="H593" s="4"/>
      <c r="I593" s="4"/>
      <c r="J593" s="4"/>
      <c r="K593" s="4"/>
      <c r="L593" s="4"/>
      <c r="M593" s="4"/>
      <c r="N593" s="4"/>
      <c r="O593" s="4"/>
      <c r="P593" s="4"/>
      <c r="Q593" s="4"/>
      <c r="R593" s="4"/>
      <c r="S593" s="4"/>
      <c r="T593" s="4"/>
      <c r="U593" s="4"/>
      <c r="V593" s="4"/>
      <c r="W593" s="4"/>
      <c r="X593" s="4"/>
      <c r="Y593" s="4"/>
      <c r="Z593" s="4"/>
    </row>
    <row r="594" spans="2:26" ht="15" x14ac:dyDescent="0.25">
      <c r="B594" s="4"/>
      <c r="C594" s="4"/>
      <c r="D594" s="5"/>
      <c r="E594" s="4"/>
      <c r="F594" s="4"/>
      <c r="G594" s="4"/>
      <c r="H594" s="4"/>
      <c r="I594" s="4"/>
      <c r="J594" s="4"/>
      <c r="K594" s="4"/>
      <c r="L594" s="4"/>
      <c r="M594" s="4"/>
      <c r="N594" s="4"/>
      <c r="O594" s="4"/>
      <c r="P594" s="4"/>
      <c r="Q594" s="4"/>
      <c r="R594" s="4"/>
      <c r="S594" s="4"/>
      <c r="T594" s="4"/>
      <c r="U594" s="4"/>
      <c r="V594" s="4"/>
      <c r="W594" s="4"/>
      <c r="X594" s="4"/>
      <c r="Y594" s="4"/>
      <c r="Z594" s="4"/>
    </row>
    <row r="595" spans="2:26" ht="15" x14ac:dyDescent="0.25">
      <c r="B595" s="4"/>
      <c r="C595" s="4"/>
      <c r="D595" s="5"/>
      <c r="E595" s="4"/>
      <c r="F595" s="4"/>
      <c r="G595" s="4"/>
      <c r="H595" s="4"/>
      <c r="I595" s="4"/>
      <c r="J595" s="4"/>
      <c r="K595" s="4"/>
      <c r="L595" s="4"/>
      <c r="M595" s="4"/>
      <c r="N595" s="4"/>
      <c r="O595" s="4"/>
      <c r="P595" s="4"/>
      <c r="Q595" s="4"/>
      <c r="R595" s="4"/>
      <c r="S595" s="4"/>
      <c r="T595" s="4"/>
      <c r="U595" s="4"/>
      <c r="V595" s="4"/>
      <c r="W595" s="4"/>
      <c r="X595" s="4"/>
      <c r="Y595" s="4"/>
      <c r="Z595" s="4"/>
    </row>
    <row r="596" spans="2:26" ht="15" x14ac:dyDescent="0.25">
      <c r="B596" s="4"/>
      <c r="C596" s="4"/>
      <c r="D596" s="5"/>
      <c r="E596" s="4"/>
      <c r="F596" s="4"/>
      <c r="G596" s="4"/>
      <c r="H596" s="4"/>
      <c r="I596" s="4"/>
      <c r="J596" s="4"/>
      <c r="K596" s="4"/>
      <c r="L596" s="4"/>
      <c r="M596" s="4"/>
      <c r="N596" s="4"/>
      <c r="O596" s="4"/>
      <c r="P596" s="4"/>
      <c r="Q596" s="4"/>
      <c r="R596" s="4"/>
      <c r="S596" s="4"/>
      <c r="T596" s="4"/>
      <c r="U596" s="4"/>
      <c r="V596" s="4"/>
      <c r="W596" s="4"/>
      <c r="X596" s="4"/>
      <c r="Y596" s="4"/>
      <c r="Z596" s="4"/>
    </row>
    <row r="597" spans="2:26" ht="15" x14ac:dyDescent="0.25">
      <c r="B597" s="4"/>
      <c r="C597" s="4"/>
      <c r="D597" s="5"/>
      <c r="E597" s="4"/>
      <c r="F597" s="4"/>
      <c r="G597" s="4"/>
      <c r="H597" s="4"/>
      <c r="I597" s="4"/>
      <c r="J597" s="4"/>
      <c r="K597" s="4"/>
      <c r="L597" s="4"/>
      <c r="M597" s="4"/>
      <c r="N597" s="4"/>
      <c r="O597" s="4"/>
      <c r="P597" s="4"/>
      <c r="Q597" s="4"/>
      <c r="R597" s="4"/>
      <c r="S597" s="4"/>
      <c r="T597" s="4"/>
      <c r="U597" s="4"/>
      <c r="V597" s="4"/>
      <c r="W597" s="4"/>
      <c r="X597" s="4"/>
      <c r="Y597" s="4"/>
      <c r="Z597" s="4"/>
    </row>
    <row r="598" spans="2:26" ht="15" x14ac:dyDescent="0.25">
      <c r="B598" s="4"/>
      <c r="C598" s="4"/>
      <c r="D598" s="5"/>
      <c r="E598" s="4"/>
      <c r="F598" s="4"/>
      <c r="G598" s="4"/>
      <c r="H598" s="4"/>
      <c r="I598" s="4"/>
      <c r="J598" s="4"/>
      <c r="K598" s="4"/>
      <c r="L598" s="4"/>
      <c r="M598" s="4"/>
      <c r="N598" s="4"/>
      <c r="O598" s="4"/>
      <c r="P598" s="4"/>
      <c r="Q598" s="4"/>
      <c r="R598" s="4"/>
      <c r="S598" s="4"/>
      <c r="T598" s="4"/>
      <c r="U598" s="4"/>
      <c r="V598" s="4"/>
      <c r="W598" s="4"/>
      <c r="X598" s="4"/>
      <c r="Y598" s="4"/>
      <c r="Z598" s="4"/>
    </row>
    <row r="599" spans="2:26" ht="15" x14ac:dyDescent="0.25">
      <c r="B599" s="4"/>
      <c r="C599" s="4"/>
      <c r="D599" s="5"/>
      <c r="E599" s="4"/>
      <c r="F599" s="4"/>
      <c r="G599" s="4"/>
      <c r="H599" s="4"/>
      <c r="I599" s="4"/>
      <c r="J599" s="4"/>
      <c r="K599" s="4"/>
      <c r="L599" s="4"/>
      <c r="M599" s="4"/>
      <c r="N599" s="4"/>
      <c r="O599" s="4"/>
      <c r="P599" s="4"/>
      <c r="Q599" s="4"/>
      <c r="R599" s="4"/>
      <c r="S599" s="4"/>
      <c r="T599" s="4"/>
      <c r="U599" s="4"/>
      <c r="V599" s="4"/>
      <c r="W599" s="4"/>
      <c r="X599" s="4"/>
      <c r="Y599" s="4"/>
      <c r="Z599" s="4"/>
    </row>
    <row r="600" spans="2:26" ht="15" x14ac:dyDescent="0.25">
      <c r="B600" s="4"/>
      <c r="C600" s="4"/>
      <c r="D600" s="5"/>
      <c r="E600" s="4"/>
      <c r="F600" s="4"/>
      <c r="G600" s="4"/>
      <c r="H600" s="4"/>
      <c r="I600" s="4"/>
      <c r="J600" s="4"/>
      <c r="K600" s="4"/>
      <c r="L600" s="4"/>
      <c r="M600" s="4"/>
      <c r="N600" s="4"/>
      <c r="O600" s="4"/>
      <c r="P600" s="4"/>
      <c r="Q600" s="4"/>
      <c r="R600" s="4"/>
      <c r="S600" s="4"/>
      <c r="T600" s="4"/>
      <c r="U600" s="4"/>
      <c r="V600" s="4"/>
      <c r="W600" s="4"/>
      <c r="X600" s="4"/>
      <c r="Y600" s="4"/>
      <c r="Z600" s="4"/>
    </row>
    <row r="601" spans="2:26" ht="15" x14ac:dyDescent="0.25">
      <c r="B601" s="4"/>
      <c r="C601" s="4"/>
      <c r="D601" s="5"/>
      <c r="E601" s="4"/>
      <c r="F601" s="4"/>
      <c r="G601" s="4"/>
      <c r="H601" s="4"/>
      <c r="I601" s="4"/>
      <c r="J601" s="4"/>
      <c r="K601" s="4"/>
      <c r="L601" s="4"/>
      <c r="M601" s="4"/>
      <c r="N601" s="4"/>
      <c r="O601" s="4"/>
      <c r="P601" s="4"/>
      <c r="Q601" s="4"/>
      <c r="R601" s="4"/>
      <c r="S601" s="4"/>
      <c r="T601" s="4"/>
      <c r="U601" s="4"/>
      <c r="V601" s="4"/>
      <c r="W601" s="4"/>
      <c r="X601" s="4"/>
      <c r="Y601" s="4"/>
      <c r="Z601" s="4"/>
    </row>
    <row r="602" spans="2:26" ht="15" x14ac:dyDescent="0.25">
      <c r="B602" s="4"/>
      <c r="C602" s="4"/>
      <c r="D602" s="5"/>
      <c r="E602" s="4"/>
      <c r="F602" s="4"/>
      <c r="G602" s="4"/>
      <c r="H602" s="4"/>
      <c r="I602" s="4"/>
      <c r="J602" s="4"/>
      <c r="K602" s="4"/>
      <c r="L602" s="4"/>
      <c r="M602" s="4"/>
      <c r="N602" s="4"/>
      <c r="O602" s="4"/>
      <c r="P602" s="4"/>
      <c r="Q602" s="4"/>
      <c r="R602" s="4"/>
      <c r="S602" s="4"/>
      <c r="T602" s="4"/>
      <c r="U602" s="4"/>
      <c r="V602" s="4"/>
      <c r="W602" s="4"/>
      <c r="X602" s="4"/>
      <c r="Y602" s="4"/>
      <c r="Z602" s="4"/>
    </row>
    <row r="603" spans="2:26" ht="15" x14ac:dyDescent="0.25">
      <c r="B603" s="4"/>
      <c r="C603" s="4"/>
      <c r="D603" s="5"/>
      <c r="E603" s="4"/>
      <c r="F603" s="4"/>
      <c r="G603" s="4"/>
      <c r="H603" s="4"/>
      <c r="I603" s="4"/>
      <c r="J603" s="4"/>
      <c r="K603" s="4"/>
      <c r="L603" s="4"/>
      <c r="M603" s="4"/>
      <c r="N603" s="4"/>
      <c r="O603" s="4"/>
      <c r="P603" s="4"/>
      <c r="Q603" s="4"/>
      <c r="R603" s="4"/>
      <c r="S603" s="4"/>
      <c r="T603" s="4"/>
      <c r="U603" s="4"/>
      <c r="V603" s="4"/>
      <c r="W603" s="4"/>
      <c r="X603" s="4"/>
      <c r="Y603" s="4"/>
      <c r="Z603" s="4"/>
    </row>
    <row r="604" spans="2:26" ht="15" x14ac:dyDescent="0.25">
      <c r="B604" s="4"/>
      <c r="C604" s="4"/>
      <c r="D604" s="5"/>
      <c r="E604" s="4"/>
      <c r="F604" s="4"/>
      <c r="G604" s="4"/>
      <c r="H604" s="4"/>
      <c r="I604" s="4"/>
      <c r="J604" s="4"/>
      <c r="K604" s="4"/>
      <c r="L604" s="4"/>
      <c r="M604" s="4"/>
      <c r="N604" s="4"/>
      <c r="O604" s="4"/>
      <c r="P604" s="4"/>
      <c r="Q604" s="4"/>
      <c r="R604" s="4"/>
      <c r="S604" s="4"/>
      <c r="T604" s="4"/>
      <c r="U604" s="4"/>
      <c r="V604" s="4"/>
      <c r="W604" s="4"/>
      <c r="X604" s="4"/>
      <c r="Y604" s="4"/>
      <c r="Z604" s="4"/>
    </row>
    <row r="605" spans="2:26" ht="15" x14ac:dyDescent="0.25">
      <c r="B605" s="4"/>
      <c r="C605" s="4"/>
      <c r="D605" s="5"/>
      <c r="E605" s="4"/>
      <c r="F605" s="4"/>
      <c r="G605" s="4"/>
      <c r="H605" s="4"/>
      <c r="I605" s="4"/>
      <c r="J605" s="4"/>
      <c r="K605" s="4"/>
      <c r="L605" s="4"/>
      <c r="M605" s="4"/>
      <c r="N605" s="4"/>
      <c r="O605" s="4"/>
      <c r="P605" s="4"/>
      <c r="Q605" s="4"/>
      <c r="R605" s="4"/>
      <c r="S605" s="4"/>
      <c r="T605" s="4"/>
      <c r="U605" s="4"/>
      <c r="V605" s="4"/>
      <c r="W605" s="4"/>
      <c r="X605" s="4"/>
      <c r="Y605" s="4"/>
      <c r="Z605" s="4"/>
    </row>
    <row r="606" spans="2:26" ht="15" x14ac:dyDescent="0.25">
      <c r="B606" s="4"/>
      <c r="C606" s="4"/>
      <c r="D606" s="5"/>
      <c r="E606" s="4"/>
      <c r="F606" s="4"/>
      <c r="G606" s="4"/>
      <c r="H606" s="4"/>
      <c r="I606" s="4"/>
      <c r="J606" s="4"/>
      <c r="K606" s="4"/>
      <c r="L606" s="4"/>
      <c r="M606" s="4"/>
      <c r="N606" s="4"/>
      <c r="O606" s="4"/>
      <c r="P606" s="4"/>
      <c r="Q606" s="4"/>
      <c r="R606" s="4"/>
      <c r="S606" s="4"/>
      <c r="T606" s="4"/>
      <c r="U606" s="4"/>
      <c r="V606" s="4"/>
      <c r="W606" s="4"/>
      <c r="X606" s="4"/>
      <c r="Y606" s="4"/>
      <c r="Z606" s="4"/>
    </row>
    <row r="607" spans="2:26" ht="15" x14ac:dyDescent="0.25">
      <c r="B607" s="4"/>
      <c r="C607" s="4"/>
      <c r="D607" s="5"/>
      <c r="E607" s="4"/>
      <c r="F607" s="4"/>
      <c r="G607" s="4"/>
      <c r="H607" s="4"/>
      <c r="I607" s="4"/>
      <c r="J607" s="4"/>
      <c r="K607" s="4"/>
      <c r="L607" s="4"/>
      <c r="M607" s="4"/>
      <c r="N607" s="4"/>
      <c r="O607" s="4"/>
      <c r="P607" s="4"/>
      <c r="Q607" s="4"/>
      <c r="R607" s="4"/>
      <c r="S607" s="4"/>
      <c r="T607" s="4"/>
      <c r="U607" s="4"/>
      <c r="V607" s="4"/>
      <c r="W607" s="4"/>
      <c r="X607" s="4"/>
      <c r="Y607" s="4"/>
      <c r="Z607" s="4"/>
    </row>
    <row r="608" spans="2:26" ht="15" x14ac:dyDescent="0.25">
      <c r="B608" s="4"/>
      <c r="C608" s="4"/>
      <c r="D608" s="5"/>
      <c r="E608" s="4"/>
      <c r="F608" s="4"/>
      <c r="G608" s="4"/>
      <c r="H608" s="4"/>
      <c r="I608" s="4"/>
      <c r="J608" s="4"/>
      <c r="K608" s="4"/>
      <c r="L608" s="4"/>
      <c r="M608" s="4"/>
      <c r="N608" s="4"/>
      <c r="O608" s="4"/>
      <c r="P608" s="4"/>
      <c r="Q608" s="4"/>
      <c r="R608" s="4"/>
      <c r="S608" s="4"/>
      <c r="T608" s="4"/>
      <c r="U608" s="4"/>
      <c r="V608" s="4"/>
      <c r="W608" s="4"/>
      <c r="X608" s="4"/>
      <c r="Y608" s="4"/>
      <c r="Z608" s="4"/>
    </row>
    <row r="609" spans="2:26" ht="15" x14ac:dyDescent="0.25">
      <c r="B609" s="4"/>
      <c r="C609" s="4"/>
      <c r="D609" s="5"/>
      <c r="E609" s="4"/>
      <c r="F609" s="4"/>
      <c r="G609" s="4"/>
      <c r="H609" s="4"/>
      <c r="I609" s="4"/>
      <c r="J609" s="4"/>
      <c r="K609" s="4"/>
      <c r="L609" s="4"/>
      <c r="M609" s="4"/>
      <c r="N609" s="4"/>
      <c r="O609" s="4"/>
      <c r="P609" s="4"/>
      <c r="Q609" s="4"/>
      <c r="R609" s="4"/>
      <c r="S609" s="4"/>
      <c r="T609" s="4"/>
      <c r="U609" s="4"/>
      <c r="V609" s="4"/>
      <c r="W609" s="4"/>
      <c r="X609" s="4"/>
      <c r="Y609" s="4"/>
      <c r="Z609" s="4"/>
    </row>
    <row r="610" spans="2:26" ht="15" x14ac:dyDescent="0.25">
      <c r="B610" s="4"/>
      <c r="C610" s="4"/>
      <c r="D610" s="5"/>
      <c r="E610" s="4"/>
      <c r="F610" s="4"/>
      <c r="G610" s="4"/>
      <c r="H610" s="4"/>
      <c r="I610" s="4"/>
      <c r="J610" s="4"/>
      <c r="K610" s="4"/>
      <c r="L610" s="4"/>
      <c r="M610" s="4"/>
      <c r="N610" s="4"/>
      <c r="O610" s="4"/>
      <c r="P610" s="4"/>
      <c r="Q610" s="4"/>
      <c r="R610" s="4"/>
      <c r="S610" s="4"/>
      <c r="T610" s="4"/>
      <c r="U610" s="4"/>
      <c r="V610" s="4"/>
      <c r="W610" s="4"/>
      <c r="X610" s="4"/>
      <c r="Y610" s="4"/>
      <c r="Z610" s="4"/>
    </row>
    <row r="611" spans="2:26" ht="15" x14ac:dyDescent="0.25">
      <c r="B611" s="4"/>
      <c r="C611" s="4"/>
      <c r="D611" s="5"/>
      <c r="E611" s="4"/>
      <c r="F611" s="4"/>
      <c r="G611" s="4"/>
      <c r="H611" s="4"/>
      <c r="I611" s="4"/>
      <c r="J611" s="4"/>
      <c r="K611" s="4"/>
      <c r="L611" s="4"/>
      <c r="M611" s="4"/>
      <c r="N611" s="4"/>
      <c r="O611" s="4"/>
      <c r="P611" s="4"/>
      <c r="Q611" s="4"/>
      <c r="R611" s="4"/>
      <c r="S611" s="4"/>
      <c r="T611" s="4"/>
      <c r="U611" s="4"/>
      <c r="V611" s="4"/>
      <c r="W611" s="4"/>
      <c r="X611" s="4"/>
      <c r="Y611" s="4"/>
      <c r="Z611" s="4"/>
    </row>
    <row r="612" spans="2:26" ht="15" x14ac:dyDescent="0.25">
      <c r="B612" s="4"/>
      <c r="C612" s="4"/>
      <c r="D612" s="5"/>
      <c r="E612" s="4"/>
      <c r="F612" s="4"/>
      <c r="G612" s="4"/>
      <c r="H612" s="4"/>
      <c r="I612" s="4"/>
      <c r="J612" s="4"/>
      <c r="K612" s="4"/>
      <c r="L612" s="4"/>
      <c r="M612" s="4"/>
      <c r="N612" s="4"/>
      <c r="O612" s="4"/>
      <c r="P612" s="4"/>
      <c r="Q612" s="4"/>
      <c r="R612" s="4"/>
      <c r="S612" s="4"/>
      <c r="T612" s="4"/>
      <c r="U612" s="4"/>
      <c r="V612" s="4"/>
      <c r="W612" s="4"/>
      <c r="X612" s="4"/>
      <c r="Y612" s="4"/>
      <c r="Z612" s="4"/>
    </row>
    <row r="613" spans="2:26" ht="15" x14ac:dyDescent="0.25">
      <c r="B613" s="4"/>
      <c r="C613" s="4"/>
      <c r="D613" s="5"/>
      <c r="E613" s="4"/>
      <c r="F613" s="4"/>
      <c r="G613" s="4"/>
      <c r="H613" s="4"/>
      <c r="I613" s="4"/>
      <c r="J613" s="4"/>
      <c r="K613" s="4"/>
      <c r="L613" s="4"/>
      <c r="M613" s="4"/>
      <c r="N613" s="4"/>
      <c r="O613" s="4"/>
      <c r="P613" s="4"/>
      <c r="Q613" s="4"/>
      <c r="R613" s="4"/>
      <c r="S613" s="4"/>
      <c r="T613" s="4"/>
      <c r="U613" s="4"/>
      <c r="V613" s="4"/>
      <c r="W613" s="4"/>
      <c r="X613" s="4"/>
      <c r="Y613" s="4"/>
      <c r="Z613" s="4"/>
    </row>
    <row r="614" spans="2:26" ht="15" x14ac:dyDescent="0.25">
      <c r="B614" s="4"/>
      <c r="C614" s="4"/>
      <c r="D614" s="5"/>
      <c r="E614" s="4"/>
      <c r="F614" s="4"/>
      <c r="G614" s="4"/>
      <c r="H614" s="4"/>
      <c r="I614" s="4"/>
      <c r="J614" s="4"/>
      <c r="K614" s="4"/>
      <c r="L614" s="4"/>
      <c r="M614" s="4"/>
      <c r="N614" s="4"/>
      <c r="O614" s="4"/>
      <c r="P614" s="4"/>
      <c r="Q614" s="4"/>
      <c r="R614" s="4"/>
      <c r="S614" s="4"/>
      <c r="T614" s="4"/>
      <c r="U614" s="4"/>
      <c r="V614" s="4"/>
      <c r="W614" s="4"/>
      <c r="X614" s="4"/>
      <c r="Y614" s="4"/>
      <c r="Z614" s="4"/>
    </row>
    <row r="615" spans="2:26" ht="15" x14ac:dyDescent="0.25">
      <c r="B615" s="4"/>
      <c r="C615" s="4"/>
      <c r="D615" s="5"/>
      <c r="E615" s="4"/>
      <c r="F615" s="4"/>
      <c r="G615" s="4"/>
      <c r="H615" s="4"/>
      <c r="I615" s="4"/>
      <c r="J615" s="4"/>
      <c r="K615" s="4"/>
      <c r="L615" s="4"/>
      <c r="M615" s="4"/>
      <c r="N615" s="4"/>
      <c r="O615" s="4"/>
      <c r="P615" s="4"/>
      <c r="Q615" s="4"/>
      <c r="R615" s="4"/>
      <c r="S615" s="4"/>
      <c r="T615" s="4"/>
      <c r="U615" s="4"/>
      <c r="V615" s="4"/>
      <c r="W615" s="4"/>
      <c r="X615" s="4"/>
      <c r="Y615" s="4"/>
      <c r="Z615" s="4"/>
    </row>
    <row r="616" spans="2:26" ht="15" x14ac:dyDescent="0.25">
      <c r="B616" s="4"/>
      <c r="C616" s="4"/>
      <c r="D616" s="5"/>
      <c r="E616" s="4"/>
      <c r="F616" s="4"/>
      <c r="G616" s="4"/>
      <c r="H616" s="4"/>
      <c r="I616" s="4"/>
      <c r="J616" s="4"/>
      <c r="K616" s="4"/>
      <c r="L616" s="4"/>
      <c r="M616" s="4"/>
      <c r="N616" s="4"/>
      <c r="O616" s="4"/>
      <c r="P616" s="4"/>
      <c r="Q616" s="4"/>
      <c r="R616" s="4"/>
      <c r="S616" s="4"/>
      <c r="T616" s="4"/>
      <c r="U616" s="4"/>
      <c r="V616" s="4"/>
      <c r="W616" s="4"/>
      <c r="X616" s="4"/>
      <c r="Y616" s="4"/>
      <c r="Z616" s="4"/>
    </row>
    <row r="617" spans="2:26" ht="15" x14ac:dyDescent="0.25">
      <c r="B617" s="4"/>
      <c r="C617" s="4"/>
      <c r="D617" s="5"/>
      <c r="E617" s="4"/>
      <c r="F617" s="4"/>
      <c r="G617" s="4"/>
      <c r="H617" s="4"/>
      <c r="I617" s="4"/>
      <c r="J617" s="4"/>
      <c r="K617" s="4"/>
      <c r="L617" s="4"/>
      <c r="M617" s="4"/>
      <c r="N617" s="4"/>
      <c r="O617" s="4"/>
      <c r="P617" s="4"/>
      <c r="Q617" s="4"/>
      <c r="R617" s="4"/>
      <c r="S617" s="4"/>
      <c r="T617" s="4"/>
      <c r="U617" s="4"/>
      <c r="V617" s="4"/>
      <c r="W617" s="4"/>
      <c r="X617" s="4"/>
      <c r="Y617" s="4"/>
      <c r="Z617" s="4"/>
    </row>
    <row r="618" spans="2:26" ht="15" x14ac:dyDescent="0.25">
      <c r="B618" s="4"/>
      <c r="C618" s="4"/>
      <c r="D618" s="5"/>
      <c r="E618" s="4"/>
      <c r="F618" s="4"/>
      <c r="G618" s="4"/>
      <c r="H618" s="4"/>
      <c r="I618" s="4"/>
      <c r="J618" s="4"/>
      <c r="K618" s="4"/>
      <c r="L618" s="4"/>
      <c r="M618" s="4"/>
      <c r="N618" s="4"/>
      <c r="O618" s="4"/>
      <c r="P618" s="4"/>
      <c r="Q618" s="4"/>
      <c r="R618" s="4"/>
      <c r="S618" s="4"/>
      <c r="T618" s="4"/>
      <c r="U618" s="4"/>
      <c r="V618" s="4"/>
      <c r="W618" s="4"/>
      <c r="X618" s="4"/>
      <c r="Y618" s="4"/>
      <c r="Z618" s="4"/>
    </row>
    <row r="619" spans="2:26" ht="15" x14ac:dyDescent="0.25">
      <c r="B619" s="4"/>
      <c r="C619" s="4"/>
      <c r="D619" s="5"/>
      <c r="E619" s="4"/>
      <c r="F619" s="4"/>
      <c r="G619" s="4"/>
      <c r="H619" s="4"/>
      <c r="I619" s="4"/>
      <c r="J619" s="4"/>
      <c r="K619" s="4"/>
      <c r="L619" s="4"/>
      <c r="M619" s="4"/>
      <c r="N619" s="4"/>
      <c r="O619" s="4"/>
      <c r="P619" s="4"/>
      <c r="Q619" s="4"/>
      <c r="R619" s="4"/>
      <c r="S619" s="4"/>
      <c r="T619" s="4"/>
      <c r="U619" s="4"/>
      <c r="V619" s="4"/>
      <c r="W619" s="4"/>
      <c r="X619" s="4"/>
      <c r="Y619" s="4"/>
      <c r="Z619" s="4"/>
    </row>
    <row r="620" spans="2:26" ht="15" x14ac:dyDescent="0.25">
      <c r="B620" s="4"/>
      <c r="C620" s="4"/>
      <c r="D620" s="5"/>
      <c r="E620" s="4"/>
      <c r="F620" s="4"/>
      <c r="G620" s="4"/>
      <c r="H620" s="4"/>
      <c r="I620" s="4"/>
      <c r="J620" s="4"/>
      <c r="K620" s="4"/>
      <c r="L620" s="4"/>
      <c r="M620" s="4"/>
      <c r="N620" s="4"/>
      <c r="O620" s="4"/>
      <c r="P620" s="4"/>
      <c r="Q620" s="4"/>
      <c r="R620" s="4"/>
      <c r="S620" s="4"/>
      <c r="T620" s="4"/>
      <c r="U620" s="4"/>
      <c r="V620" s="4"/>
      <c r="W620" s="4"/>
      <c r="X620" s="4"/>
      <c r="Y620" s="4"/>
      <c r="Z620" s="4"/>
    </row>
    <row r="621" spans="2:26" ht="15" x14ac:dyDescent="0.25">
      <c r="B621" s="4"/>
      <c r="C621" s="4"/>
      <c r="D621" s="5"/>
      <c r="E621" s="4"/>
      <c r="F621" s="4"/>
      <c r="G621" s="4"/>
      <c r="H621" s="4"/>
      <c r="I621" s="4"/>
      <c r="J621" s="4"/>
      <c r="K621" s="4"/>
      <c r="L621" s="4"/>
      <c r="M621" s="4"/>
      <c r="N621" s="4"/>
      <c r="O621" s="4"/>
      <c r="P621" s="4"/>
      <c r="Q621" s="4"/>
      <c r="R621" s="4"/>
      <c r="S621" s="4"/>
      <c r="T621" s="4"/>
      <c r="U621" s="4"/>
      <c r="V621" s="4"/>
      <c r="W621" s="4"/>
      <c r="X621" s="4"/>
      <c r="Y621" s="4"/>
      <c r="Z621" s="4"/>
    </row>
    <row r="622" spans="2:26" ht="15" x14ac:dyDescent="0.25">
      <c r="B622" s="4"/>
      <c r="C622" s="4"/>
      <c r="D622" s="5"/>
      <c r="E622" s="4"/>
      <c r="F622" s="4"/>
      <c r="G622" s="4"/>
      <c r="H622" s="4"/>
      <c r="I622" s="4"/>
      <c r="J622" s="4"/>
      <c r="K622" s="4"/>
      <c r="L622" s="4"/>
      <c r="M622" s="4"/>
      <c r="N622" s="4"/>
      <c r="O622" s="4"/>
      <c r="P622" s="4"/>
      <c r="Q622" s="4"/>
      <c r="R622" s="4"/>
      <c r="S622" s="4"/>
      <c r="T622" s="4"/>
      <c r="U622" s="4"/>
      <c r="V622" s="4"/>
      <c r="W622" s="4"/>
      <c r="X622" s="4"/>
      <c r="Y622" s="4"/>
      <c r="Z622" s="4"/>
    </row>
    <row r="623" spans="2:26" ht="15" x14ac:dyDescent="0.25">
      <c r="B623" s="4"/>
      <c r="C623" s="4"/>
      <c r="D623" s="5"/>
      <c r="E623" s="4"/>
      <c r="F623" s="4"/>
      <c r="G623" s="4"/>
      <c r="H623" s="4"/>
      <c r="I623" s="4"/>
      <c r="J623" s="4"/>
      <c r="K623" s="4"/>
      <c r="L623" s="4"/>
      <c r="M623" s="4"/>
      <c r="N623" s="4"/>
      <c r="O623" s="4"/>
      <c r="P623" s="4"/>
      <c r="Q623" s="4"/>
      <c r="R623" s="4"/>
      <c r="S623" s="4"/>
      <c r="T623" s="4"/>
      <c r="U623" s="4"/>
      <c r="V623" s="4"/>
      <c r="W623" s="4"/>
      <c r="X623" s="4"/>
      <c r="Y623" s="4"/>
      <c r="Z623" s="4"/>
    </row>
    <row r="624" spans="2:26" ht="15" x14ac:dyDescent="0.25">
      <c r="B624" s="4"/>
      <c r="C624" s="4"/>
      <c r="D624" s="5"/>
      <c r="E624" s="4"/>
      <c r="F624" s="4"/>
      <c r="G624" s="4"/>
      <c r="H624" s="4"/>
      <c r="I624" s="4"/>
      <c r="J624" s="4"/>
      <c r="K624" s="4"/>
      <c r="L624" s="4"/>
      <c r="M624" s="4"/>
      <c r="N624" s="4"/>
      <c r="O624" s="4"/>
      <c r="P624" s="4"/>
      <c r="Q624" s="4"/>
      <c r="R624" s="4"/>
      <c r="S624" s="4"/>
      <c r="T624" s="4"/>
      <c r="U624" s="4"/>
      <c r="V624" s="4"/>
      <c r="W624" s="4"/>
      <c r="X624" s="4"/>
      <c r="Y624" s="4"/>
      <c r="Z624" s="4"/>
    </row>
    <row r="625" spans="2:26" ht="15" x14ac:dyDescent="0.25">
      <c r="B625" s="4"/>
      <c r="C625" s="4"/>
      <c r="D625" s="5"/>
      <c r="E625" s="4"/>
      <c r="F625" s="4"/>
      <c r="G625" s="4"/>
      <c r="H625" s="4"/>
      <c r="I625" s="4"/>
      <c r="J625" s="4"/>
      <c r="K625" s="4"/>
      <c r="L625" s="4"/>
      <c r="M625" s="4"/>
      <c r="N625" s="4"/>
      <c r="O625" s="4"/>
      <c r="P625" s="4"/>
      <c r="Q625" s="4"/>
      <c r="R625" s="4"/>
      <c r="S625" s="4"/>
      <c r="T625" s="4"/>
      <c r="U625" s="4"/>
      <c r="V625" s="4"/>
      <c r="W625" s="4"/>
      <c r="X625" s="4"/>
      <c r="Y625" s="4"/>
      <c r="Z625" s="4"/>
    </row>
    <row r="626" spans="2:26" ht="15" x14ac:dyDescent="0.25">
      <c r="B626" s="4"/>
      <c r="C626" s="4"/>
      <c r="D626" s="5"/>
      <c r="E626" s="4"/>
      <c r="F626" s="4"/>
      <c r="G626" s="4"/>
      <c r="H626" s="4"/>
      <c r="I626" s="4"/>
      <c r="J626" s="4"/>
      <c r="K626" s="4"/>
      <c r="L626" s="4"/>
      <c r="M626" s="4"/>
      <c r="N626" s="4"/>
      <c r="O626" s="4"/>
      <c r="P626" s="4"/>
      <c r="Q626" s="4"/>
      <c r="R626" s="4"/>
      <c r="S626" s="4"/>
      <c r="T626" s="4"/>
      <c r="U626" s="4"/>
      <c r="V626" s="4"/>
      <c r="W626" s="4"/>
      <c r="X626" s="4"/>
      <c r="Y626" s="4"/>
      <c r="Z626" s="4"/>
    </row>
    <row r="627" spans="2:26" ht="15" x14ac:dyDescent="0.25">
      <c r="B627" s="4"/>
      <c r="C627" s="4"/>
      <c r="D627" s="5"/>
      <c r="E627" s="4"/>
      <c r="F627" s="4"/>
      <c r="G627" s="4"/>
      <c r="H627" s="4"/>
      <c r="I627" s="4"/>
      <c r="J627" s="4"/>
      <c r="K627" s="4"/>
      <c r="L627" s="4"/>
      <c r="M627" s="4"/>
      <c r="N627" s="4"/>
      <c r="O627" s="4"/>
      <c r="P627" s="4"/>
      <c r="Q627" s="4"/>
      <c r="R627" s="4"/>
      <c r="S627" s="4"/>
      <c r="T627" s="4"/>
      <c r="U627" s="4"/>
      <c r="V627" s="4"/>
      <c r="W627" s="4"/>
      <c r="X627" s="4"/>
      <c r="Y627" s="4"/>
      <c r="Z627" s="4"/>
    </row>
    <row r="628" spans="2:26" ht="15" x14ac:dyDescent="0.25">
      <c r="B628" s="4"/>
      <c r="C628" s="4"/>
      <c r="D628" s="5"/>
      <c r="E628" s="4"/>
      <c r="F628" s="4"/>
      <c r="G628" s="4"/>
      <c r="H628" s="4"/>
      <c r="I628" s="4"/>
      <c r="J628" s="4"/>
      <c r="K628" s="4"/>
      <c r="L628" s="4"/>
      <c r="M628" s="4"/>
      <c r="N628" s="4"/>
      <c r="O628" s="4"/>
      <c r="P628" s="4"/>
      <c r="Q628" s="4"/>
      <c r="R628" s="4"/>
      <c r="S628" s="4"/>
      <c r="T628" s="4"/>
      <c r="U628" s="4"/>
      <c r="V628" s="4"/>
      <c r="W628" s="4"/>
      <c r="X628" s="4"/>
      <c r="Y628" s="4"/>
      <c r="Z628" s="4"/>
    </row>
    <row r="629" spans="2:26" ht="15" x14ac:dyDescent="0.25">
      <c r="B629" s="4"/>
      <c r="C629" s="4"/>
      <c r="D629" s="5"/>
      <c r="E629" s="4"/>
      <c r="F629" s="4"/>
      <c r="G629" s="4"/>
      <c r="H629" s="4"/>
      <c r="I629" s="4"/>
      <c r="J629" s="4"/>
      <c r="K629" s="4"/>
      <c r="L629" s="4"/>
      <c r="M629" s="4"/>
      <c r="N629" s="4"/>
      <c r="O629" s="4"/>
      <c r="P629" s="4"/>
      <c r="Q629" s="4"/>
      <c r="R629" s="4"/>
      <c r="S629" s="4"/>
      <c r="T629" s="4"/>
      <c r="U629" s="4"/>
      <c r="V629" s="4"/>
      <c r="W629" s="4"/>
      <c r="X629" s="4"/>
      <c r="Y629" s="4"/>
      <c r="Z629" s="4"/>
    </row>
    <row r="630" spans="2:26" ht="15" x14ac:dyDescent="0.25">
      <c r="B630" s="4"/>
      <c r="C630" s="4"/>
      <c r="D630" s="5"/>
      <c r="E630" s="4"/>
      <c r="F630" s="4"/>
      <c r="G630" s="4"/>
      <c r="H630" s="4"/>
      <c r="I630" s="4"/>
      <c r="J630" s="4"/>
      <c r="K630" s="4"/>
      <c r="L630" s="4"/>
      <c r="M630" s="4"/>
      <c r="N630" s="4"/>
      <c r="O630" s="4"/>
      <c r="P630" s="4"/>
      <c r="Q630" s="4"/>
      <c r="R630" s="4"/>
      <c r="S630" s="4"/>
      <c r="T630" s="4"/>
      <c r="U630" s="4"/>
      <c r="V630" s="4"/>
      <c r="W630" s="4"/>
      <c r="X630" s="4"/>
      <c r="Y630" s="4"/>
      <c r="Z630" s="4"/>
    </row>
    <row r="631" spans="2:26" ht="15" x14ac:dyDescent="0.25">
      <c r="B631" s="4"/>
      <c r="C631" s="4"/>
      <c r="D631" s="5"/>
      <c r="E631" s="4"/>
      <c r="F631" s="4"/>
      <c r="G631" s="4"/>
      <c r="H631" s="4"/>
      <c r="I631" s="4"/>
      <c r="J631" s="4"/>
      <c r="K631" s="4"/>
      <c r="L631" s="4"/>
      <c r="M631" s="4"/>
      <c r="N631" s="4"/>
      <c r="O631" s="4"/>
      <c r="P631" s="4"/>
      <c r="Q631" s="4"/>
      <c r="R631" s="4"/>
      <c r="S631" s="4"/>
      <c r="T631" s="4"/>
      <c r="U631" s="4"/>
      <c r="V631" s="4"/>
      <c r="W631" s="4"/>
      <c r="X631" s="4"/>
      <c r="Y631" s="4"/>
      <c r="Z631" s="4"/>
    </row>
    <row r="632" spans="2:26" ht="15" x14ac:dyDescent="0.25">
      <c r="B632" s="4"/>
      <c r="C632" s="4"/>
      <c r="D632" s="5"/>
      <c r="E632" s="4"/>
      <c r="F632" s="4"/>
      <c r="G632" s="4"/>
      <c r="H632" s="4"/>
      <c r="I632" s="4"/>
      <c r="J632" s="4"/>
      <c r="K632" s="4"/>
      <c r="L632" s="4"/>
      <c r="M632" s="4"/>
      <c r="N632" s="4"/>
      <c r="O632" s="4"/>
      <c r="P632" s="4"/>
      <c r="Q632" s="4"/>
      <c r="R632" s="4"/>
      <c r="S632" s="4"/>
      <c r="T632" s="4"/>
      <c r="U632" s="4"/>
      <c r="V632" s="4"/>
      <c r="W632" s="4"/>
      <c r="X632" s="4"/>
      <c r="Y632" s="4"/>
      <c r="Z632" s="4"/>
    </row>
    <row r="633" spans="2:26" ht="15" x14ac:dyDescent="0.25">
      <c r="B633" s="4"/>
      <c r="C633" s="4"/>
      <c r="D633" s="5"/>
      <c r="E633" s="4"/>
      <c r="F633" s="4"/>
      <c r="G633" s="4"/>
      <c r="H633" s="4"/>
      <c r="I633" s="4"/>
      <c r="J633" s="4"/>
      <c r="K633" s="4"/>
      <c r="L633" s="4"/>
      <c r="M633" s="4"/>
      <c r="N633" s="4"/>
      <c r="O633" s="4"/>
      <c r="P633" s="4"/>
      <c r="Q633" s="4"/>
      <c r="R633" s="4"/>
      <c r="S633" s="4"/>
      <c r="T633" s="4"/>
      <c r="U633" s="4"/>
      <c r="V633" s="4"/>
      <c r="W633" s="4"/>
      <c r="X633" s="4"/>
      <c r="Y633" s="4"/>
      <c r="Z633" s="4"/>
    </row>
    <row r="634" spans="2:26" ht="15" x14ac:dyDescent="0.25">
      <c r="B634" s="4"/>
      <c r="C634" s="4"/>
      <c r="D634" s="5"/>
      <c r="E634" s="4"/>
      <c r="F634" s="4"/>
      <c r="G634" s="4"/>
      <c r="H634" s="4"/>
      <c r="I634" s="4"/>
      <c r="J634" s="4"/>
      <c r="K634" s="4"/>
      <c r="L634" s="4"/>
      <c r="M634" s="4"/>
      <c r="N634" s="4"/>
      <c r="O634" s="4"/>
      <c r="P634" s="4"/>
      <c r="Q634" s="4"/>
      <c r="R634" s="4"/>
      <c r="S634" s="4"/>
      <c r="T634" s="4"/>
      <c r="U634" s="4"/>
      <c r="V634" s="4"/>
      <c r="W634" s="4"/>
      <c r="X634" s="4"/>
      <c r="Y634" s="4"/>
      <c r="Z634" s="4"/>
    </row>
    <row r="635" spans="2:26" ht="15" x14ac:dyDescent="0.25">
      <c r="B635" s="4"/>
      <c r="C635" s="4"/>
      <c r="D635" s="5"/>
      <c r="E635" s="4"/>
      <c r="F635" s="4"/>
      <c r="G635" s="4"/>
      <c r="H635" s="4"/>
      <c r="I635" s="4"/>
      <c r="J635" s="4"/>
      <c r="K635" s="4"/>
      <c r="L635" s="4"/>
      <c r="M635" s="4"/>
      <c r="N635" s="4"/>
      <c r="O635" s="4"/>
      <c r="P635" s="4"/>
      <c r="Q635" s="4"/>
      <c r="R635" s="4"/>
      <c r="S635" s="4"/>
      <c r="T635" s="4"/>
      <c r="U635" s="4"/>
      <c r="V635" s="4"/>
      <c r="W635" s="4"/>
      <c r="X635" s="4"/>
      <c r="Y635" s="4"/>
      <c r="Z635" s="4"/>
    </row>
    <row r="636" spans="2:26" ht="15" x14ac:dyDescent="0.25">
      <c r="B636" s="4"/>
      <c r="C636" s="4"/>
      <c r="D636" s="5"/>
      <c r="E636" s="4"/>
      <c r="F636" s="4"/>
      <c r="G636" s="4"/>
      <c r="H636" s="4"/>
      <c r="I636" s="4"/>
      <c r="J636" s="4"/>
      <c r="K636" s="4"/>
      <c r="L636" s="4"/>
      <c r="M636" s="4"/>
      <c r="N636" s="4"/>
      <c r="O636" s="4"/>
      <c r="P636" s="4"/>
      <c r="Q636" s="4"/>
      <c r="R636" s="4"/>
      <c r="S636" s="4"/>
      <c r="T636" s="4"/>
      <c r="U636" s="4"/>
      <c r="V636" s="4"/>
      <c r="W636" s="4"/>
      <c r="X636" s="4"/>
      <c r="Y636" s="4"/>
      <c r="Z636" s="4"/>
    </row>
    <row r="637" spans="2:26" ht="15" x14ac:dyDescent="0.25">
      <c r="B637" s="4"/>
      <c r="C637" s="4"/>
      <c r="D637" s="5"/>
      <c r="E637" s="4"/>
      <c r="F637" s="4"/>
      <c r="G637" s="4"/>
      <c r="H637" s="4"/>
      <c r="I637" s="4"/>
      <c r="J637" s="4"/>
      <c r="K637" s="4"/>
      <c r="L637" s="4"/>
      <c r="M637" s="4"/>
      <c r="N637" s="4"/>
      <c r="O637" s="4"/>
      <c r="P637" s="4"/>
      <c r="Q637" s="4"/>
      <c r="R637" s="4"/>
      <c r="S637" s="4"/>
      <c r="T637" s="4"/>
      <c r="U637" s="4"/>
      <c r="V637" s="4"/>
      <c r="W637" s="4"/>
      <c r="X637" s="4"/>
      <c r="Y637" s="4"/>
      <c r="Z637" s="4"/>
    </row>
    <row r="638" spans="2:26" ht="15" x14ac:dyDescent="0.25">
      <c r="B638" s="4"/>
      <c r="C638" s="4"/>
      <c r="D638" s="5"/>
      <c r="E638" s="4"/>
      <c r="F638" s="4"/>
      <c r="G638" s="4"/>
      <c r="H638" s="4"/>
      <c r="I638" s="4"/>
      <c r="J638" s="4"/>
      <c r="K638" s="4"/>
      <c r="L638" s="4"/>
      <c r="M638" s="4"/>
      <c r="N638" s="4"/>
      <c r="O638" s="4"/>
      <c r="P638" s="4"/>
      <c r="Q638" s="4"/>
      <c r="R638" s="4"/>
      <c r="S638" s="4"/>
      <c r="T638" s="4"/>
      <c r="U638" s="4"/>
      <c r="V638" s="4"/>
      <c r="W638" s="4"/>
      <c r="X638" s="4"/>
      <c r="Y638" s="4"/>
      <c r="Z638" s="4"/>
    </row>
    <row r="639" spans="2:26" ht="15" x14ac:dyDescent="0.25">
      <c r="B639" s="4"/>
      <c r="C639" s="4"/>
      <c r="D639" s="5"/>
      <c r="E639" s="4"/>
      <c r="F639" s="4"/>
      <c r="G639" s="4"/>
      <c r="H639" s="4"/>
      <c r="I639" s="4"/>
      <c r="J639" s="4"/>
      <c r="K639" s="4"/>
      <c r="L639" s="4"/>
      <c r="M639" s="4"/>
      <c r="N639" s="4"/>
      <c r="O639" s="4"/>
      <c r="P639" s="4"/>
      <c r="Q639" s="4"/>
      <c r="R639" s="4"/>
      <c r="S639" s="4"/>
      <c r="T639" s="4"/>
      <c r="U639" s="4"/>
      <c r="V639" s="4"/>
      <c r="W639" s="4"/>
      <c r="X639" s="4"/>
      <c r="Y639" s="4"/>
      <c r="Z639" s="4"/>
    </row>
    <row r="640" spans="2:26" ht="15" x14ac:dyDescent="0.25">
      <c r="B640" s="4"/>
      <c r="C640" s="4"/>
      <c r="D640" s="5"/>
      <c r="E640" s="4"/>
      <c r="F640" s="4"/>
      <c r="G640" s="4"/>
      <c r="H640" s="4"/>
      <c r="I640" s="4"/>
      <c r="J640" s="4"/>
      <c r="K640" s="4"/>
      <c r="L640" s="4"/>
      <c r="M640" s="4"/>
      <c r="N640" s="4"/>
      <c r="O640" s="4"/>
      <c r="P640" s="4"/>
      <c r="Q640" s="4"/>
      <c r="R640" s="4"/>
      <c r="S640" s="4"/>
      <c r="T640" s="4"/>
      <c r="U640" s="4"/>
      <c r="V640" s="4"/>
      <c r="W640" s="4"/>
      <c r="X640" s="4"/>
      <c r="Y640" s="4"/>
      <c r="Z640" s="4"/>
    </row>
    <row r="641" spans="2:26" ht="15" x14ac:dyDescent="0.25">
      <c r="B641" s="4"/>
      <c r="C641" s="4"/>
      <c r="D641" s="5"/>
      <c r="E641" s="4"/>
      <c r="F641" s="4"/>
      <c r="G641" s="4"/>
      <c r="H641" s="4"/>
      <c r="I641" s="4"/>
      <c r="J641" s="4"/>
      <c r="K641" s="4"/>
      <c r="L641" s="4"/>
      <c r="M641" s="4"/>
      <c r="N641" s="4"/>
      <c r="O641" s="4"/>
      <c r="P641" s="4"/>
      <c r="Q641" s="4"/>
      <c r="R641" s="4"/>
      <c r="S641" s="4"/>
      <c r="T641" s="4"/>
      <c r="U641" s="4"/>
      <c r="V641" s="4"/>
      <c r="W641" s="4"/>
      <c r="X641" s="4"/>
      <c r="Y641" s="4"/>
      <c r="Z641" s="4"/>
    </row>
    <row r="642" spans="2:26" ht="15" x14ac:dyDescent="0.25">
      <c r="B642" s="4"/>
      <c r="C642" s="4"/>
      <c r="D642" s="5"/>
      <c r="E642" s="4"/>
      <c r="F642" s="4"/>
      <c r="G642" s="4"/>
      <c r="H642" s="4"/>
      <c r="I642" s="4"/>
      <c r="J642" s="4"/>
      <c r="K642" s="4"/>
      <c r="L642" s="4"/>
      <c r="M642" s="4"/>
      <c r="N642" s="4"/>
      <c r="O642" s="4"/>
      <c r="P642" s="4"/>
      <c r="Q642" s="4"/>
      <c r="R642" s="4"/>
      <c r="S642" s="4"/>
      <c r="T642" s="4"/>
      <c r="U642" s="4"/>
      <c r="V642" s="4"/>
      <c r="W642" s="4"/>
      <c r="X642" s="4"/>
      <c r="Y642" s="4"/>
      <c r="Z642" s="4"/>
    </row>
    <row r="643" spans="2:26" ht="15" x14ac:dyDescent="0.25">
      <c r="B643" s="4"/>
      <c r="C643" s="4"/>
      <c r="D643" s="5"/>
      <c r="E643" s="4"/>
      <c r="F643" s="4"/>
      <c r="G643" s="4"/>
      <c r="H643" s="4"/>
      <c r="I643" s="4"/>
      <c r="J643" s="4"/>
      <c r="K643" s="4"/>
      <c r="L643" s="4"/>
      <c r="M643" s="4"/>
      <c r="N643" s="4"/>
      <c r="O643" s="4"/>
      <c r="P643" s="4"/>
      <c r="Q643" s="4"/>
      <c r="R643" s="4"/>
      <c r="S643" s="4"/>
      <c r="T643" s="4"/>
      <c r="U643" s="4"/>
      <c r="V643" s="4"/>
      <c r="W643" s="4"/>
      <c r="X643" s="4"/>
      <c r="Y643" s="4"/>
      <c r="Z643" s="4"/>
    </row>
    <row r="644" spans="2:26" ht="15" x14ac:dyDescent="0.25">
      <c r="B644" s="4"/>
      <c r="C644" s="4"/>
      <c r="D644" s="5"/>
      <c r="E644" s="4"/>
      <c r="F644" s="4"/>
      <c r="G644" s="4"/>
      <c r="H644" s="4"/>
      <c r="I644" s="4"/>
      <c r="J644" s="4"/>
      <c r="K644" s="4"/>
      <c r="L644" s="4"/>
      <c r="M644" s="4"/>
      <c r="N644" s="4"/>
      <c r="O644" s="4"/>
      <c r="P644" s="4"/>
      <c r="Q644" s="4"/>
      <c r="R644" s="4"/>
      <c r="S644" s="4"/>
      <c r="T644" s="4"/>
      <c r="U644" s="4"/>
      <c r="V644" s="4"/>
      <c r="W644" s="4"/>
      <c r="X644" s="4"/>
      <c r="Y644" s="4"/>
      <c r="Z644" s="4"/>
    </row>
    <row r="645" spans="2:26" ht="15" x14ac:dyDescent="0.25">
      <c r="B645" s="4"/>
      <c r="C645" s="4"/>
      <c r="D645" s="5"/>
      <c r="E645" s="4"/>
      <c r="F645" s="4"/>
      <c r="G645" s="4"/>
      <c r="H645" s="4"/>
      <c r="I645" s="4"/>
      <c r="J645" s="4"/>
      <c r="K645" s="4"/>
      <c r="L645" s="4"/>
      <c r="M645" s="4"/>
      <c r="N645" s="4"/>
      <c r="O645" s="4"/>
      <c r="P645" s="4"/>
      <c r="Q645" s="4"/>
      <c r="R645" s="4"/>
      <c r="S645" s="4"/>
      <c r="T645" s="4"/>
      <c r="U645" s="4"/>
      <c r="V645" s="4"/>
      <c r="W645" s="4"/>
      <c r="X645" s="4"/>
      <c r="Y645" s="4"/>
      <c r="Z645" s="4"/>
    </row>
    <row r="646" spans="2:26" ht="15" x14ac:dyDescent="0.25">
      <c r="B646" s="4"/>
      <c r="C646" s="4"/>
      <c r="D646" s="5"/>
      <c r="E646" s="4"/>
      <c r="F646" s="4"/>
      <c r="G646" s="4"/>
      <c r="H646" s="4"/>
      <c r="I646" s="4"/>
      <c r="J646" s="4"/>
      <c r="K646" s="4"/>
      <c r="L646" s="4"/>
      <c r="M646" s="4"/>
      <c r="N646" s="4"/>
      <c r="O646" s="4"/>
      <c r="P646" s="4"/>
      <c r="Q646" s="4"/>
      <c r="R646" s="4"/>
      <c r="S646" s="4"/>
      <c r="T646" s="4"/>
      <c r="U646" s="4"/>
      <c r="V646" s="4"/>
      <c r="W646" s="4"/>
      <c r="X646" s="4"/>
      <c r="Y646" s="4"/>
      <c r="Z646" s="4"/>
    </row>
    <row r="647" spans="2:26" ht="15" x14ac:dyDescent="0.25">
      <c r="B647" s="4"/>
      <c r="C647" s="4"/>
      <c r="D647" s="5"/>
      <c r="E647" s="4"/>
      <c r="F647" s="4"/>
      <c r="G647" s="4"/>
      <c r="H647" s="4"/>
      <c r="I647" s="4"/>
      <c r="J647" s="4"/>
      <c r="K647" s="4"/>
      <c r="L647" s="4"/>
      <c r="M647" s="4"/>
      <c r="N647" s="4"/>
      <c r="O647" s="4"/>
      <c r="P647" s="4"/>
      <c r="Q647" s="4"/>
      <c r="R647" s="4"/>
      <c r="S647" s="4"/>
      <c r="T647" s="4"/>
      <c r="U647" s="4"/>
      <c r="V647" s="4"/>
      <c r="W647" s="4"/>
      <c r="X647" s="4"/>
      <c r="Y647" s="4"/>
      <c r="Z647" s="4"/>
    </row>
    <row r="648" spans="2:26" ht="15" x14ac:dyDescent="0.25">
      <c r="B648" s="4"/>
      <c r="C648" s="4"/>
      <c r="D648" s="5"/>
      <c r="E648" s="4"/>
      <c r="F648" s="4"/>
      <c r="G648" s="4"/>
      <c r="H648" s="4"/>
      <c r="I648" s="4"/>
      <c r="J648" s="4"/>
      <c r="K648" s="4"/>
      <c r="L648" s="4"/>
      <c r="M648" s="4"/>
      <c r="N648" s="4"/>
      <c r="O648" s="4"/>
      <c r="P648" s="4"/>
      <c r="Q648" s="4"/>
      <c r="R648" s="4"/>
      <c r="S648" s="4"/>
      <c r="T648" s="4"/>
      <c r="U648" s="4"/>
      <c r="V648" s="4"/>
      <c r="W648" s="4"/>
      <c r="X648" s="4"/>
      <c r="Y648" s="4"/>
      <c r="Z648" s="4"/>
    </row>
    <row r="649" spans="2:26" ht="15" x14ac:dyDescent="0.25">
      <c r="B649" s="4"/>
      <c r="C649" s="4"/>
      <c r="D649" s="5"/>
      <c r="E649" s="4"/>
      <c r="F649" s="4"/>
      <c r="G649" s="4"/>
      <c r="H649" s="4"/>
      <c r="I649" s="4"/>
      <c r="J649" s="4"/>
      <c r="K649" s="4"/>
      <c r="L649" s="4"/>
      <c r="M649" s="4"/>
      <c r="N649" s="4"/>
      <c r="O649" s="4"/>
      <c r="P649" s="4"/>
      <c r="Q649" s="4"/>
      <c r="R649" s="4"/>
      <c r="S649" s="4"/>
      <c r="T649" s="4"/>
      <c r="U649" s="4"/>
      <c r="V649" s="4"/>
      <c r="W649" s="4"/>
      <c r="X649" s="4"/>
      <c r="Y649" s="4"/>
      <c r="Z649" s="4"/>
    </row>
    <row r="650" spans="2:26" ht="15" x14ac:dyDescent="0.25">
      <c r="B650" s="4"/>
      <c r="C650" s="4"/>
      <c r="D650" s="5"/>
      <c r="E650" s="4"/>
      <c r="F650" s="4"/>
      <c r="G650" s="4"/>
      <c r="H650" s="4"/>
      <c r="I650" s="4"/>
      <c r="J650" s="4"/>
      <c r="K650" s="4"/>
      <c r="L650" s="4"/>
      <c r="M650" s="4"/>
      <c r="N650" s="4"/>
      <c r="O650" s="4"/>
      <c r="P650" s="4"/>
      <c r="Q650" s="4"/>
      <c r="R650" s="4"/>
      <c r="S650" s="4"/>
      <c r="T650" s="4"/>
      <c r="U650" s="4"/>
      <c r="V650" s="4"/>
      <c r="W650" s="4"/>
      <c r="X650" s="4"/>
      <c r="Y650" s="4"/>
      <c r="Z650" s="4"/>
    </row>
    <row r="651" spans="2:26" ht="15" x14ac:dyDescent="0.25">
      <c r="B651" s="4"/>
      <c r="C651" s="4"/>
      <c r="D651" s="5"/>
      <c r="E651" s="4"/>
      <c r="F651" s="4"/>
      <c r="G651" s="4"/>
      <c r="H651" s="4"/>
      <c r="I651" s="4"/>
      <c r="J651" s="4"/>
      <c r="K651" s="4"/>
      <c r="L651" s="4"/>
      <c r="M651" s="4"/>
      <c r="N651" s="4"/>
      <c r="O651" s="4"/>
      <c r="P651" s="4"/>
      <c r="Q651" s="4"/>
      <c r="R651" s="4"/>
      <c r="S651" s="4"/>
      <c r="T651" s="4"/>
      <c r="U651" s="4"/>
      <c r="V651" s="4"/>
      <c r="W651" s="4"/>
      <c r="X651" s="4"/>
      <c r="Y651" s="4"/>
      <c r="Z651" s="4"/>
    </row>
    <row r="652" spans="2:26" ht="15" x14ac:dyDescent="0.25">
      <c r="B652" s="4"/>
      <c r="C652" s="4"/>
      <c r="D652" s="5"/>
      <c r="E652" s="4"/>
      <c r="F652" s="4"/>
      <c r="G652" s="4"/>
      <c r="H652" s="4"/>
      <c r="I652" s="4"/>
      <c r="J652" s="4"/>
      <c r="K652" s="4"/>
      <c r="L652" s="4"/>
      <c r="M652" s="4"/>
      <c r="N652" s="4"/>
      <c r="O652" s="4"/>
      <c r="P652" s="4"/>
      <c r="Q652" s="4"/>
      <c r="R652" s="4"/>
      <c r="S652" s="4"/>
      <c r="T652" s="4"/>
      <c r="U652" s="4"/>
      <c r="V652" s="4"/>
      <c r="W652" s="4"/>
      <c r="X652" s="4"/>
      <c r="Y652" s="4"/>
      <c r="Z652" s="4"/>
    </row>
    <row r="653" spans="2:26" ht="15" x14ac:dyDescent="0.25">
      <c r="B653" s="4"/>
      <c r="C653" s="4"/>
      <c r="D653" s="5"/>
      <c r="E653" s="4"/>
      <c r="F653" s="4"/>
      <c r="G653" s="4"/>
      <c r="H653" s="4"/>
      <c r="I653" s="4"/>
      <c r="J653" s="4"/>
      <c r="K653" s="4"/>
      <c r="L653" s="4"/>
      <c r="M653" s="4"/>
      <c r="N653" s="4"/>
      <c r="O653" s="4"/>
      <c r="P653" s="4"/>
      <c r="Q653" s="4"/>
      <c r="R653" s="4"/>
      <c r="S653" s="4"/>
      <c r="T653" s="4"/>
      <c r="U653" s="4"/>
      <c r="V653" s="4"/>
      <c r="W653" s="4"/>
      <c r="X653" s="4"/>
      <c r="Y653" s="4"/>
      <c r="Z653" s="4"/>
    </row>
    <row r="654" spans="2:26" ht="15" x14ac:dyDescent="0.25">
      <c r="B654" s="4"/>
      <c r="C654" s="4"/>
      <c r="D654" s="5"/>
      <c r="E654" s="4"/>
      <c r="F654" s="4"/>
      <c r="G654" s="4"/>
      <c r="H654" s="4"/>
      <c r="I654" s="4"/>
      <c r="J654" s="4"/>
      <c r="K654" s="4"/>
      <c r="L654" s="4"/>
      <c r="M654" s="4"/>
      <c r="N654" s="4"/>
      <c r="O654" s="4"/>
      <c r="P654" s="4"/>
      <c r="Q654" s="4"/>
      <c r="R654" s="4"/>
      <c r="S654" s="4"/>
      <c r="T654" s="4"/>
      <c r="U654" s="4"/>
      <c r="V654" s="4"/>
      <c r="W654" s="4"/>
      <c r="X654" s="4"/>
      <c r="Y654" s="4"/>
      <c r="Z654" s="4"/>
    </row>
    <row r="655" spans="2:26" ht="15" x14ac:dyDescent="0.25">
      <c r="B655" s="4"/>
      <c r="C655" s="4"/>
      <c r="D655" s="5"/>
      <c r="E655" s="4"/>
      <c r="F655" s="4"/>
      <c r="G655" s="4"/>
      <c r="H655" s="4"/>
      <c r="I655" s="4"/>
      <c r="J655" s="4"/>
      <c r="K655" s="4"/>
      <c r="L655" s="4"/>
      <c r="M655" s="4"/>
      <c r="N655" s="4"/>
      <c r="O655" s="4"/>
      <c r="P655" s="4"/>
      <c r="Q655" s="4"/>
      <c r="R655" s="4"/>
      <c r="S655" s="4"/>
      <c r="T655" s="4"/>
      <c r="U655" s="4"/>
      <c r="V655" s="4"/>
      <c r="W655" s="4"/>
      <c r="X655" s="4"/>
      <c r="Y655" s="4"/>
      <c r="Z655" s="4"/>
    </row>
    <row r="656" spans="2:26" ht="15" x14ac:dyDescent="0.25">
      <c r="B656" s="4"/>
      <c r="C656" s="4"/>
      <c r="D656" s="5"/>
      <c r="E656" s="4"/>
      <c r="F656" s="4"/>
      <c r="G656" s="4"/>
      <c r="H656" s="4"/>
      <c r="I656" s="4"/>
      <c r="J656" s="4"/>
      <c r="K656" s="4"/>
      <c r="L656" s="4"/>
      <c r="M656" s="4"/>
      <c r="N656" s="4"/>
      <c r="O656" s="4"/>
      <c r="P656" s="4"/>
      <c r="Q656" s="4"/>
      <c r="R656" s="4"/>
      <c r="S656" s="4"/>
      <c r="T656" s="4"/>
      <c r="U656" s="4"/>
      <c r="V656" s="4"/>
      <c r="W656" s="4"/>
      <c r="X656" s="4"/>
      <c r="Y656" s="4"/>
      <c r="Z656" s="4"/>
    </row>
    <row r="657" spans="2:26" ht="15" x14ac:dyDescent="0.25">
      <c r="B657" s="4"/>
      <c r="C657" s="4"/>
      <c r="D657" s="5"/>
      <c r="E657" s="4"/>
      <c r="F657" s="4"/>
      <c r="G657" s="4"/>
      <c r="H657" s="4"/>
      <c r="I657" s="4"/>
      <c r="J657" s="4"/>
      <c r="K657" s="4"/>
      <c r="L657" s="4"/>
      <c r="M657" s="4"/>
      <c r="N657" s="4"/>
      <c r="O657" s="4"/>
      <c r="P657" s="4"/>
      <c r="Q657" s="4"/>
      <c r="R657" s="4"/>
      <c r="S657" s="4"/>
      <c r="T657" s="4"/>
      <c r="U657" s="4"/>
      <c r="V657" s="4"/>
      <c r="W657" s="4"/>
      <c r="X657" s="4"/>
      <c r="Y657" s="4"/>
      <c r="Z657" s="4"/>
    </row>
    <row r="658" spans="2:26" ht="15" x14ac:dyDescent="0.25">
      <c r="B658" s="4"/>
      <c r="C658" s="4"/>
      <c r="D658" s="5"/>
      <c r="E658" s="4"/>
      <c r="F658" s="4"/>
      <c r="G658" s="4"/>
      <c r="H658" s="4"/>
      <c r="I658" s="4"/>
      <c r="J658" s="4"/>
      <c r="K658" s="4"/>
      <c r="L658" s="4"/>
      <c r="M658" s="4"/>
      <c r="N658" s="4"/>
      <c r="O658" s="4"/>
      <c r="P658" s="4"/>
      <c r="Q658" s="4"/>
      <c r="R658" s="4"/>
      <c r="S658" s="4"/>
      <c r="T658" s="4"/>
      <c r="U658" s="4"/>
      <c r="V658" s="4"/>
      <c r="W658" s="4"/>
      <c r="X658" s="4"/>
      <c r="Y658" s="4"/>
      <c r="Z658" s="4"/>
    </row>
    <row r="659" spans="2:26" ht="15" x14ac:dyDescent="0.25">
      <c r="B659" s="4"/>
      <c r="C659" s="4"/>
      <c r="D659" s="5"/>
      <c r="E659" s="4"/>
      <c r="F659" s="4"/>
      <c r="G659" s="4"/>
      <c r="H659" s="4"/>
      <c r="I659" s="4"/>
      <c r="J659" s="4"/>
      <c r="K659" s="4"/>
      <c r="L659" s="4"/>
      <c r="M659" s="4"/>
      <c r="N659" s="4"/>
      <c r="O659" s="4"/>
      <c r="P659" s="4"/>
      <c r="Q659" s="4"/>
      <c r="R659" s="4"/>
      <c r="S659" s="4"/>
      <c r="T659" s="4"/>
      <c r="U659" s="4"/>
      <c r="V659" s="4"/>
      <c r="W659" s="4"/>
      <c r="X659" s="4"/>
      <c r="Y659" s="4"/>
      <c r="Z659" s="4"/>
    </row>
    <row r="660" spans="2:26" ht="15" x14ac:dyDescent="0.25">
      <c r="B660" s="4"/>
      <c r="C660" s="4"/>
      <c r="D660" s="5"/>
      <c r="E660" s="4"/>
      <c r="F660" s="4"/>
      <c r="G660" s="4"/>
      <c r="H660" s="4"/>
      <c r="I660" s="4"/>
      <c r="J660" s="4"/>
      <c r="K660" s="4"/>
      <c r="L660" s="4"/>
      <c r="M660" s="4"/>
      <c r="N660" s="4"/>
      <c r="O660" s="4"/>
      <c r="P660" s="4"/>
      <c r="Q660" s="4"/>
      <c r="R660" s="4"/>
      <c r="S660" s="4"/>
      <c r="T660" s="4"/>
      <c r="U660" s="4"/>
      <c r="V660" s="4"/>
      <c r="W660" s="4"/>
      <c r="X660" s="4"/>
      <c r="Y660" s="4"/>
      <c r="Z660" s="4"/>
    </row>
    <row r="661" spans="2:26" ht="15" x14ac:dyDescent="0.25">
      <c r="B661" s="4"/>
      <c r="C661" s="4"/>
      <c r="D661" s="5"/>
      <c r="E661" s="4"/>
      <c r="F661" s="4"/>
      <c r="G661" s="4"/>
      <c r="H661" s="4"/>
      <c r="I661" s="4"/>
      <c r="J661" s="4"/>
      <c r="K661" s="4"/>
      <c r="L661" s="4"/>
      <c r="M661" s="4"/>
      <c r="N661" s="4"/>
      <c r="O661" s="4"/>
      <c r="P661" s="4"/>
      <c r="Q661" s="4"/>
      <c r="R661" s="4"/>
      <c r="S661" s="4"/>
      <c r="T661" s="4"/>
      <c r="U661" s="4"/>
      <c r="V661" s="4"/>
      <c r="W661" s="4"/>
      <c r="X661" s="4"/>
      <c r="Y661" s="4"/>
      <c r="Z661" s="4"/>
    </row>
    <row r="662" spans="2:26" ht="15" x14ac:dyDescent="0.25">
      <c r="B662" s="4"/>
      <c r="C662" s="4"/>
      <c r="D662" s="5"/>
      <c r="E662" s="4"/>
      <c r="F662" s="4"/>
      <c r="G662" s="4"/>
      <c r="H662" s="4"/>
      <c r="I662" s="4"/>
      <c r="J662" s="4"/>
      <c r="K662" s="4"/>
      <c r="L662" s="4"/>
      <c r="M662" s="4"/>
      <c r="N662" s="4"/>
      <c r="O662" s="4"/>
      <c r="P662" s="4"/>
      <c r="Q662" s="4"/>
      <c r="R662" s="4"/>
      <c r="S662" s="4"/>
      <c r="T662" s="4"/>
      <c r="U662" s="4"/>
      <c r="V662" s="4"/>
      <c r="W662" s="4"/>
      <c r="X662" s="4"/>
      <c r="Y662" s="4"/>
      <c r="Z662" s="4"/>
    </row>
    <row r="663" spans="2:26" ht="15" x14ac:dyDescent="0.25">
      <c r="B663" s="4"/>
      <c r="C663" s="4"/>
      <c r="D663" s="5"/>
      <c r="E663" s="4"/>
      <c r="F663" s="4"/>
      <c r="G663" s="4"/>
      <c r="H663" s="4"/>
      <c r="I663" s="4"/>
      <c r="J663" s="4"/>
      <c r="K663" s="4"/>
      <c r="L663" s="4"/>
      <c r="M663" s="4"/>
      <c r="N663" s="4"/>
      <c r="O663" s="4"/>
      <c r="P663" s="4"/>
      <c r="Q663" s="4"/>
      <c r="R663" s="4"/>
      <c r="S663" s="4"/>
      <c r="T663" s="4"/>
      <c r="U663" s="4"/>
      <c r="V663" s="4"/>
      <c r="W663" s="4"/>
      <c r="X663" s="4"/>
      <c r="Y663" s="4"/>
      <c r="Z663" s="4"/>
    </row>
    <row r="664" spans="2:26" ht="15" x14ac:dyDescent="0.25">
      <c r="B664" s="4"/>
      <c r="C664" s="4"/>
      <c r="D664" s="5"/>
      <c r="E664" s="4"/>
      <c r="F664" s="4"/>
      <c r="G664" s="4"/>
      <c r="H664" s="4"/>
      <c r="I664" s="4"/>
      <c r="J664" s="4"/>
      <c r="K664" s="4"/>
      <c r="L664" s="4"/>
      <c r="M664" s="4"/>
      <c r="N664" s="4"/>
      <c r="O664" s="4"/>
      <c r="P664" s="4"/>
      <c r="Q664" s="4"/>
      <c r="R664" s="4"/>
      <c r="S664" s="4"/>
      <c r="T664" s="4"/>
      <c r="U664" s="4"/>
      <c r="V664" s="4"/>
      <c r="W664" s="4"/>
      <c r="X664" s="4"/>
      <c r="Y664" s="4"/>
      <c r="Z664" s="4"/>
    </row>
    <row r="665" spans="2:26" ht="15" x14ac:dyDescent="0.25">
      <c r="B665" s="4"/>
      <c r="C665" s="4"/>
      <c r="D665" s="5"/>
      <c r="E665" s="4"/>
      <c r="F665" s="4"/>
      <c r="G665" s="4"/>
      <c r="H665" s="4"/>
      <c r="I665" s="4"/>
      <c r="J665" s="4"/>
      <c r="K665" s="4"/>
      <c r="L665" s="4"/>
      <c r="M665" s="4"/>
      <c r="N665" s="4"/>
      <c r="O665" s="4"/>
      <c r="P665" s="4"/>
      <c r="Q665" s="4"/>
      <c r="R665" s="4"/>
      <c r="S665" s="4"/>
      <c r="T665" s="4"/>
      <c r="U665" s="4"/>
      <c r="V665" s="4"/>
      <c r="W665" s="4"/>
      <c r="X665" s="4"/>
      <c r="Y665" s="4"/>
      <c r="Z665" s="4"/>
    </row>
    <row r="666" spans="2:26" ht="15" x14ac:dyDescent="0.25">
      <c r="B666" s="4"/>
      <c r="C666" s="4"/>
      <c r="D666" s="5"/>
      <c r="E666" s="4"/>
      <c r="F666" s="4"/>
      <c r="G666" s="4"/>
      <c r="H666" s="4"/>
      <c r="I666" s="4"/>
      <c r="J666" s="4"/>
      <c r="K666" s="4"/>
      <c r="L666" s="4"/>
      <c r="M666" s="4"/>
      <c r="N666" s="4"/>
      <c r="O666" s="4"/>
      <c r="P666" s="4"/>
      <c r="Q666" s="4"/>
      <c r="R666" s="4"/>
      <c r="S666" s="4"/>
      <c r="T666" s="4"/>
      <c r="U666" s="4"/>
      <c r="V666" s="4"/>
      <c r="W666" s="4"/>
      <c r="X666" s="4"/>
      <c r="Y666" s="4"/>
      <c r="Z666" s="4"/>
    </row>
    <row r="667" spans="2:26" ht="15" x14ac:dyDescent="0.25">
      <c r="B667" s="4"/>
      <c r="C667" s="4"/>
      <c r="D667" s="5"/>
      <c r="E667" s="4"/>
      <c r="F667" s="4"/>
      <c r="G667" s="4"/>
      <c r="H667" s="4"/>
      <c r="I667" s="4"/>
      <c r="J667" s="4"/>
      <c r="K667" s="4"/>
      <c r="L667" s="4"/>
      <c r="M667" s="4"/>
      <c r="N667" s="4"/>
      <c r="O667" s="4"/>
      <c r="P667" s="4"/>
      <c r="Q667" s="4"/>
      <c r="R667" s="4"/>
      <c r="S667" s="4"/>
      <c r="T667" s="4"/>
      <c r="U667" s="4"/>
      <c r="V667" s="4"/>
      <c r="W667" s="4"/>
      <c r="X667" s="4"/>
      <c r="Y667" s="4"/>
      <c r="Z667" s="4"/>
    </row>
    <row r="668" spans="2:26" ht="15" x14ac:dyDescent="0.25">
      <c r="B668" s="4"/>
      <c r="C668" s="4"/>
      <c r="D668" s="5"/>
      <c r="E668" s="4"/>
      <c r="F668" s="4"/>
      <c r="G668" s="4"/>
      <c r="H668" s="4"/>
      <c r="I668" s="4"/>
      <c r="J668" s="4"/>
      <c r="K668" s="4"/>
      <c r="L668" s="4"/>
      <c r="M668" s="4"/>
      <c r="N668" s="4"/>
      <c r="O668" s="4"/>
      <c r="P668" s="4"/>
      <c r="Q668" s="4"/>
      <c r="R668" s="4"/>
      <c r="S668" s="4"/>
      <c r="T668" s="4"/>
      <c r="U668" s="4"/>
      <c r="V668" s="4"/>
      <c r="W668" s="4"/>
      <c r="X668" s="4"/>
      <c r="Y668" s="4"/>
      <c r="Z668" s="4"/>
    </row>
    <row r="669" spans="2:26" ht="15" x14ac:dyDescent="0.25">
      <c r="B669" s="4"/>
      <c r="C669" s="4"/>
      <c r="D669" s="5"/>
      <c r="E669" s="4"/>
      <c r="F669" s="4"/>
      <c r="G669" s="4"/>
      <c r="H669" s="4"/>
      <c r="I669" s="4"/>
      <c r="J669" s="4"/>
      <c r="K669" s="4"/>
      <c r="L669" s="4"/>
      <c r="M669" s="4"/>
      <c r="N669" s="4"/>
      <c r="O669" s="4"/>
      <c r="P669" s="4"/>
      <c r="Q669" s="4"/>
      <c r="R669" s="4"/>
      <c r="S669" s="4"/>
      <c r="T669" s="4"/>
      <c r="U669" s="4"/>
      <c r="V669" s="4"/>
      <c r="W669" s="4"/>
      <c r="X669" s="4"/>
      <c r="Y669" s="4"/>
      <c r="Z669" s="4"/>
    </row>
    <row r="670" spans="2:26" ht="15" x14ac:dyDescent="0.25">
      <c r="B670" s="4"/>
      <c r="C670" s="4"/>
      <c r="D670" s="5"/>
      <c r="E670" s="4"/>
      <c r="F670" s="4"/>
      <c r="G670" s="4"/>
      <c r="H670" s="4"/>
      <c r="I670" s="4"/>
      <c r="J670" s="4"/>
      <c r="K670" s="4"/>
      <c r="L670" s="4"/>
      <c r="M670" s="4"/>
      <c r="N670" s="4"/>
      <c r="O670" s="4"/>
      <c r="P670" s="4"/>
      <c r="Q670" s="4"/>
      <c r="R670" s="4"/>
      <c r="S670" s="4"/>
      <c r="T670" s="4"/>
      <c r="U670" s="4"/>
      <c r="V670" s="4"/>
      <c r="W670" s="4"/>
      <c r="X670" s="4"/>
      <c r="Y670" s="4"/>
      <c r="Z670" s="4"/>
    </row>
    <row r="671" spans="2:26" ht="15" x14ac:dyDescent="0.25">
      <c r="B671" s="4"/>
      <c r="C671" s="4"/>
      <c r="D671" s="5"/>
      <c r="E671" s="4"/>
      <c r="F671" s="4"/>
      <c r="G671" s="4"/>
      <c r="H671" s="4"/>
      <c r="I671" s="4"/>
      <c r="J671" s="4"/>
      <c r="K671" s="4"/>
      <c r="L671" s="4"/>
      <c r="M671" s="4"/>
      <c r="N671" s="4"/>
      <c r="O671" s="4"/>
      <c r="P671" s="4"/>
      <c r="Q671" s="4"/>
      <c r="R671" s="4"/>
      <c r="S671" s="4"/>
      <c r="T671" s="4"/>
      <c r="U671" s="4"/>
      <c r="V671" s="4"/>
      <c r="W671" s="4"/>
      <c r="X671" s="4"/>
      <c r="Y671" s="4"/>
      <c r="Z671" s="4"/>
    </row>
    <row r="672" spans="2:26" ht="15" x14ac:dyDescent="0.25">
      <c r="B672" s="4"/>
      <c r="C672" s="4"/>
      <c r="D672" s="5"/>
      <c r="E672" s="4"/>
      <c r="F672" s="4"/>
      <c r="G672" s="4"/>
      <c r="H672" s="4"/>
      <c r="I672" s="4"/>
      <c r="J672" s="4"/>
      <c r="K672" s="4"/>
      <c r="L672" s="4"/>
      <c r="M672" s="4"/>
      <c r="N672" s="4"/>
      <c r="O672" s="4"/>
      <c r="P672" s="4"/>
      <c r="Q672" s="4"/>
      <c r="R672" s="4"/>
      <c r="S672" s="4"/>
      <c r="T672" s="4"/>
      <c r="U672" s="4"/>
      <c r="V672" s="4"/>
      <c r="W672" s="4"/>
      <c r="X672" s="4"/>
      <c r="Y672" s="4"/>
      <c r="Z672" s="4"/>
    </row>
    <row r="673" spans="2:26" ht="15" x14ac:dyDescent="0.25">
      <c r="B673" s="4"/>
      <c r="C673" s="4"/>
      <c r="D673" s="5"/>
      <c r="E673" s="4"/>
      <c r="F673" s="4"/>
      <c r="G673" s="4"/>
      <c r="H673" s="4"/>
      <c r="I673" s="4"/>
      <c r="J673" s="4"/>
      <c r="K673" s="4"/>
      <c r="L673" s="4"/>
      <c r="M673" s="4"/>
      <c r="N673" s="4"/>
      <c r="O673" s="4"/>
      <c r="P673" s="4"/>
      <c r="Q673" s="4"/>
      <c r="R673" s="4"/>
      <c r="S673" s="4"/>
      <c r="T673" s="4"/>
      <c r="U673" s="4"/>
      <c r="V673" s="4"/>
      <c r="W673" s="4"/>
      <c r="X673" s="4"/>
      <c r="Y673" s="4"/>
      <c r="Z673" s="4"/>
    </row>
    <row r="674" spans="2:26" ht="15" x14ac:dyDescent="0.25">
      <c r="B674" s="4"/>
      <c r="C674" s="4"/>
      <c r="D674" s="5"/>
      <c r="E674" s="4"/>
      <c r="F674" s="4"/>
      <c r="G674" s="4"/>
      <c r="H674" s="4"/>
      <c r="I674" s="4"/>
      <c r="J674" s="4"/>
      <c r="K674" s="4"/>
      <c r="L674" s="4"/>
      <c r="M674" s="4"/>
      <c r="N674" s="4"/>
      <c r="O674" s="4"/>
      <c r="P674" s="4"/>
      <c r="Q674" s="4"/>
      <c r="R674" s="4"/>
      <c r="S674" s="4"/>
      <c r="T674" s="4"/>
      <c r="U674" s="4"/>
      <c r="V674" s="4"/>
      <c r="W674" s="4"/>
      <c r="X674" s="4"/>
      <c r="Y674" s="4"/>
      <c r="Z674" s="4"/>
    </row>
    <row r="675" spans="2:26" ht="15" x14ac:dyDescent="0.25">
      <c r="B675" s="4"/>
      <c r="C675" s="4"/>
      <c r="D675" s="5"/>
      <c r="E675" s="4"/>
      <c r="F675" s="4"/>
      <c r="G675" s="4"/>
      <c r="H675" s="4"/>
      <c r="I675" s="4"/>
      <c r="J675" s="4"/>
      <c r="K675" s="4"/>
      <c r="L675" s="4"/>
      <c r="M675" s="4"/>
      <c r="N675" s="4"/>
      <c r="O675" s="4"/>
      <c r="P675" s="4"/>
      <c r="Q675" s="4"/>
      <c r="R675" s="4"/>
      <c r="S675" s="4"/>
      <c r="T675" s="4"/>
      <c r="U675" s="4"/>
      <c r="V675" s="4"/>
      <c r="W675" s="4"/>
      <c r="X675" s="4"/>
      <c r="Y675" s="4"/>
      <c r="Z675" s="4"/>
    </row>
    <row r="676" spans="2:26" ht="15" x14ac:dyDescent="0.25">
      <c r="B676" s="4"/>
      <c r="C676" s="4"/>
      <c r="D676" s="5"/>
      <c r="E676" s="4"/>
      <c r="F676" s="4"/>
      <c r="G676" s="4"/>
      <c r="H676" s="4"/>
      <c r="I676" s="4"/>
      <c r="J676" s="4"/>
      <c r="K676" s="4"/>
      <c r="L676" s="4"/>
      <c r="M676" s="4"/>
      <c r="N676" s="4"/>
      <c r="O676" s="4"/>
      <c r="P676" s="4"/>
      <c r="Q676" s="4"/>
      <c r="R676" s="4"/>
      <c r="S676" s="4"/>
      <c r="T676" s="4"/>
      <c r="U676" s="4"/>
      <c r="V676" s="4"/>
      <c r="W676" s="4"/>
      <c r="X676" s="4"/>
      <c r="Y676" s="4"/>
      <c r="Z676" s="4"/>
    </row>
    <row r="677" spans="2:26" ht="15" x14ac:dyDescent="0.25">
      <c r="B677" s="4"/>
      <c r="C677" s="4"/>
      <c r="D677" s="5"/>
      <c r="E677" s="4"/>
      <c r="F677" s="4"/>
      <c r="G677" s="4"/>
      <c r="H677" s="4"/>
      <c r="I677" s="4"/>
      <c r="J677" s="4"/>
      <c r="K677" s="4"/>
      <c r="L677" s="4"/>
      <c r="M677" s="4"/>
      <c r="N677" s="4"/>
      <c r="O677" s="4"/>
      <c r="P677" s="4"/>
      <c r="Q677" s="4"/>
      <c r="R677" s="4"/>
      <c r="S677" s="4"/>
      <c r="T677" s="4"/>
      <c r="U677" s="4"/>
      <c r="V677" s="4"/>
      <c r="W677" s="4"/>
      <c r="X677" s="4"/>
      <c r="Y677" s="4"/>
      <c r="Z677" s="4"/>
    </row>
    <row r="678" spans="2:26" ht="15" x14ac:dyDescent="0.25">
      <c r="B678" s="4"/>
      <c r="C678" s="4"/>
      <c r="D678" s="5"/>
      <c r="E678" s="4"/>
      <c r="F678" s="4"/>
      <c r="G678" s="4"/>
      <c r="H678" s="4"/>
      <c r="I678" s="4"/>
      <c r="J678" s="4"/>
      <c r="K678" s="4"/>
      <c r="L678" s="4"/>
      <c r="M678" s="4"/>
      <c r="N678" s="4"/>
      <c r="O678" s="4"/>
      <c r="P678" s="4"/>
      <c r="Q678" s="4"/>
      <c r="R678" s="4"/>
      <c r="S678" s="4"/>
      <c r="T678" s="4"/>
      <c r="U678" s="4"/>
      <c r="V678" s="4"/>
      <c r="W678" s="4"/>
      <c r="X678" s="4"/>
      <c r="Y678" s="4"/>
      <c r="Z678" s="4"/>
    </row>
    <row r="679" spans="2:26" ht="15" x14ac:dyDescent="0.25">
      <c r="B679" s="4"/>
      <c r="C679" s="4"/>
      <c r="D679" s="5"/>
      <c r="E679" s="4"/>
      <c r="F679" s="4"/>
      <c r="G679" s="4"/>
      <c r="H679" s="4"/>
      <c r="I679" s="4"/>
      <c r="J679" s="4"/>
      <c r="K679" s="4"/>
      <c r="L679" s="4"/>
      <c r="M679" s="4"/>
      <c r="N679" s="4"/>
      <c r="O679" s="4"/>
      <c r="P679" s="4"/>
      <c r="Q679" s="4"/>
      <c r="R679" s="4"/>
      <c r="S679" s="4"/>
      <c r="T679" s="4"/>
      <c r="U679" s="4"/>
      <c r="V679" s="4"/>
      <c r="W679" s="4"/>
      <c r="X679" s="4"/>
      <c r="Y679" s="4"/>
      <c r="Z679" s="4"/>
    </row>
    <row r="680" spans="2:26" ht="15" x14ac:dyDescent="0.25">
      <c r="B680" s="4"/>
      <c r="C680" s="4"/>
      <c r="D680" s="5"/>
      <c r="E680" s="4"/>
      <c r="F680" s="4"/>
      <c r="G680" s="4"/>
      <c r="H680" s="4"/>
      <c r="I680" s="4"/>
      <c r="J680" s="4"/>
      <c r="K680" s="4"/>
      <c r="L680" s="4"/>
      <c r="M680" s="4"/>
      <c r="N680" s="4"/>
      <c r="O680" s="4"/>
      <c r="P680" s="4"/>
      <c r="Q680" s="4"/>
      <c r="R680" s="4"/>
      <c r="S680" s="4"/>
      <c r="T680" s="4"/>
      <c r="U680" s="4"/>
      <c r="V680" s="4"/>
      <c r="W680" s="4"/>
      <c r="X680" s="4"/>
      <c r="Y680" s="4"/>
      <c r="Z680" s="4"/>
    </row>
    <row r="681" spans="2:26" ht="15" x14ac:dyDescent="0.25">
      <c r="B681" s="4"/>
      <c r="C681" s="4"/>
      <c r="D681" s="5"/>
      <c r="E681" s="4"/>
      <c r="F681" s="4"/>
      <c r="G681" s="4"/>
      <c r="H681" s="4"/>
      <c r="I681" s="4"/>
      <c r="J681" s="4"/>
      <c r="K681" s="4"/>
      <c r="L681" s="4"/>
      <c r="M681" s="4"/>
      <c r="N681" s="4"/>
      <c r="O681" s="4"/>
      <c r="P681" s="4"/>
      <c r="Q681" s="4"/>
      <c r="R681" s="4"/>
      <c r="S681" s="4"/>
      <c r="T681" s="4"/>
      <c r="U681" s="4"/>
      <c r="V681" s="4"/>
      <c r="W681" s="4"/>
      <c r="X681" s="4"/>
      <c r="Y681" s="4"/>
      <c r="Z681" s="4"/>
    </row>
    <row r="682" spans="2:26" ht="15" x14ac:dyDescent="0.25">
      <c r="B682" s="4"/>
      <c r="C682" s="4"/>
      <c r="D682" s="5"/>
      <c r="E682" s="4"/>
      <c r="F682" s="4"/>
      <c r="G682" s="4"/>
      <c r="H682" s="4"/>
      <c r="I682" s="4"/>
      <c r="J682" s="4"/>
      <c r="K682" s="4"/>
      <c r="L682" s="4"/>
      <c r="M682" s="4"/>
      <c r="N682" s="4"/>
      <c r="O682" s="4"/>
      <c r="P682" s="4"/>
      <c r="Q682" s="4"/>
      <c r="R682" s="4"/>
      <c r="S682" s="4"/>
      <c r="T682" s="4"/>
      <c r="U682" s="4"/>
      <c r="V682" s="4"/>
      <c r="W682" s="4"/>
      <c r="X682" s="4"/>
      <c r="Y682" s="4"/>
      <c r="Z682" s="4"/>
    </row>
    <row r="683" spans="2:26" ht="15" x14ac:dyDescent="0.25">
      <c r="B683" s="4"/>
      <c r="C683" s="4"/>
      <c r="D683" s="5"/>
      <c r="E683" s="4"/>
      <c r="F683" s="4"/>
      <c r="G683" s="4"/>
      <c r="H683" s="4"/>
      <c r="I683" s="4"/>
      <c r="J683" s="4"/>
      <c r="K683" s="4"/>
      <c r="L683" s="4"/>
      <c r="M683" s="4"/>
      <c r="N683" s="4"/>
      <c r="O683" s="4"/>
      <c r="P683" s="4"/>
      <c r="Q683" s="4"/>
      <c r="R683" s="4"/>
      <c r="S683" s="4"/>
      <c r="T683" s="4"/>
      <c r="U683" s="4"/>
      <c r="V683" s="4"/>
      <c r="W683" s="4"/>
      <c r="X683" s="4"/>
      <c r="Y683" s="4"/>
      <c r="Z683" s="4"/>
    </row>
    <row r="684" spans="2:26" ht="15" x14ac:dyDescent="0.25">
      <c r="B684" s="4"/>
      <c r="C684" s="4"/>
      <c r="D684" s="5"/>
      <c r="E684" s="4"/>
      <c r="F684" s="4"/>
      <c r="G684" s="4"/>
      <c r="H684" s="4"/>
      <c r="I684" s="4"/>
      <c r="J684" s="4"/>
      <c r="K684" s="4"/>
      <c r="L684" s="4"/>
      <c r="M684" s="4"/>
      <c r="N684" s="4"/>
      <c r="O684" s="4"/>
      <c r="P684" s="4"/>
      <c r="Q684" s="4"/>
      <c r="R684" s="4"/>
      <c r="S684" s="4"/>
      <c r="T684" s="4"/>
      <c r="U684" s="4"/>
      <c r="V684" s="4"/>
      <c r="W684" s="4"/>
      <c r="X684" s="4"/>
      <c r="Y684" s="4"/>
      <c r="Z684" s="4"/>
    </row>
    <row r="685" spans="2:26" ht="15" x14ac:dyDescent="0.25">
      <c r="B685" s="4"/>
      <c r="C685" s="4"/>
      <c r="D685" s="5"/>
      <c r="E685" s="4"/>
      <c r="F685" s="4"/>
      <c r="G685" s="4"/>
      <c r="H685" s="4"/>
      <c r="I685" s="4"/>
      <c r="J685" s="4"/>
      <c r="K685" s="4"/>
      <c r="L685" s="4"/>
      <c r="M685" s="4"/>
      <c r="N685" s="4"/>
      <c r="O685" s="4"/>
      <c r="P685" s="4"/>
      <c r="Q685" s="4"/>
      <c r="R685" s="4"/>
      <c r="S685" s="4"/>
      <c r="T685" s="4"/>
      <c r="U685" s="4"/>
      <c r="V685" s="4"/>
      <c r="W685" s="4"/>
      <c r="X685" s="4"/>
      <c r="Y685" s="4"/>
      <c r="Z685" s="4"/>
    </row>
    <row r="686" spans="2:26" ht="15" x14ac:dyDescent="0.25">
      <c r="B686" s="4"/>
      <c r="C686" s="4"/>
      <c r="D686" s="5"/>
      <c r="E686" s="4"/>
      <c r="F686" s="4"/>
      <c r="G686" s="4"/>
      <c r="H686" s="4"/>
      <c r="I686" s="4"/>
      <c r="J686" s="4"/>
      <c r="K686" s="4"/>
      <c r="L686" s="4"/>
      <c r="M686" s="4"/>
      <c r="N686" s="4"/>
      <c r="O686" s="4"/>
      <c r="P686" s="4"/>
      <c r="Q686" s="4"/>
      <c r="R686" s="4"/>
      <c r="S686" s="4"/>
      <c r="T686" s="4"/>
      <c r="U686" s="4"/>
      <c r="V686" s="4"/>
      <c r="W686" s="4"/>
      <c r="X686" s="4"/>
      <c r="Y686" s="4"/>
      <c r="Z686" s="4"/>
    </row>
    <row r="687" spans="2:26" ht="15" x14ac:dyDescent="0.25">
      <c r="B687" s="4"/>
      <c r="C687" s="4"/>
      <c r="D687" s="5"/>
      <c r="E687" s="4"/>
      <c r="F687" s="4"/>
      <c r="G687" s="4"/>
      <c r="H687" s="4"/>
      <c r="I687" s="4"/>
      <c r="J687" s="4"/>
      <c r="K687" s="4"/>
      <c r="L687" s="4"/>
      <c r="M687" s="4"/>
      <c r="N687" s="4"/>
      <c r="O687" s="4"/>
      <c r="P687" s="4"/>
      <c r="Q687" s="4"/>
      <c r="R687" s="4"/>
      <c r="S687" s="4"/>
      <c r="T687" s="4"/>
      <c r="U687" s="4"/>
      <c r="V687" s="4"/>
      <c r="W687" s="4"/>
      <c r="X687" s="4"/>
      <c r="Y687" s="4"/>
      <c r="Z687" s="4"/>
    </row>
    <row r="688" spans="2:26" ht="15" x14ac:dyDescent="0.25">
      <c r="B688" s="4"/>
      <c r="C688" s="4"/>
      <c r="D688" s="5"/>
      <c r="E688" s="4"/>
      <c r="F688" s="4"/>
      <c r="G688" s="4"/>
      <c r="H688" s="4"/>
      <c r="I688" s="4"/>
      <c r="J688" s="4"/>
      <c r="K688" s="4"/>
      <c r="L688" s="4"/>
      <c r="M688" s="4"/>
      <c r="N688" s="4"/>
      <c r="O688" s="4"/>
      <c r="P688" s="4"/>
      <c r="Q688" s="4"/>
      <c r="R688" s="4"/>
      <c r="S688" s="4"/>
      <c r="T688" s="4"/>
      <c r="U688" s="4"/>
      <c r="V688" s="4"/>
      <c r="W688" s="4"/>
      <c r="X688" s="4"/>
      <c r="Y688" s="4"/>
      <c r="Z688" s="4"/>
    </row>
    <row r="689" spans="2:26" ht="15" x14ac:dyDescent="0.25">
      <c r="B689" s="4"/>
      <c r="C689" s="4"/>
      <c r="D689" s="5"/>
      <c r="E689" s="4"/>
      <c r="F689" s="4"/>
      <c r="G689" s="4"/>
      <c r="H689" s="4"/>
      <c r="I689" s="4"/>
      <c r="J689" s="4"/>
      <c r="K689" s="4"/>
      <c r="L689" s="4"/>
      <c r="M689" s="4"/>
      <c r="N689" s="4"/>
      <c r="O689" s="4"/>
      <c r="P689" s="4"/>
      <c r="Q689" s="4"/>
      <c r="R689" s="4"/>
      <c r="S689" s="4"/>
      <c r="T689" s="4"/>
      <c r="U689" s="4"/>
      <c r="V689" s="4"/>
      <c r="W689" s="4"/>
      <c r="X689" s="4"/>
      <c r="Y689" s="4"/>
      <c r="Z689" s="4"/>
    </row>
    <row r="690" spans="2:26" ht="15" x14ac:dyDescent="0.25">
      <c r="B690" s="4"/>
      <c r="C690" s="4"/>
      <c r="D690" s="5"/>
      <c r="E690" s="4"/>
      <c r="F690" s="4"/>
      <c r="G690" s="4"/>
      <c r="H690" s="4"/>
      <c r="I690" s="4"/>
      <c r="J690" s="4"/>
      <c r="K690" s="4"/>
      <c r="L690" s="4"/>
      <c r="M690" s="4"/>
      <c r="N690" s="4"/>
      <c r="O690" s="4"/>
      <c r="P690" s="4"/>
      <c r="Q690" s="4"/>
      <c r="R690" s="4"/>
      <c r="S690" s="4"/>
      <c r="T690" s="4"/>
      <c r="U690" s="4"/>
      <c r="V690" s="4"/>
      <c r="W690" s="4"/>
      <c r="X690" s="4"/>
      <c r="Y690" s="4"/>
      <c r="Z690" s="4"/>
    </row>
    <row r="691" spans="2:26" ht="15" x14ac:dyDescent="0.25">
      <c r="B691" s="4"/>
      <c r="C691" s="4"/>
      <c r="D691" s="5"/>
      <c r="E691" s="4"/>
      <c r="F691" s="4"/>
      <c r="G691" s="4"/>
      <c r="H691" s="4"/>
      <c r="I691" s="4"/>
      <c r="J691" s="4"/>
      <c r="K691" s="4"/>
      <c r="L691" s="4"/>
      <c r="M691" s="4"/>
      <c r="N691" s="4"/>
      <c r="O691" s="4"/>
      <c r="P691" s="4"/>
      <c r="Q691" s="4"/>
      <c r="R691" s="4"/>
      <c r="S691" s="4"/>
      <c r="T691" s="4"/>
      <c r="U691" s="4"/>
      <c r="V691" s="4"/>
      <c r="W691" s="4"/>
      <c r="X691" s="4"/>
      <c r="Y691" s="4"/>
      <c r="Z691" s="4"/>
    </row>
    <row r="692" spans="2:26" ht="15" x14ac:dyDescent="0.25">
      <c r="B692" s="4"/>
      <c r="C692" s="4"/>
      <c r="D692" s="5"/>
      <c r="E692" s="4"/>
      <c r="F692" s="4"/>
      <c r="G692" s="4"/>
      <c r="H692" s="4"/>
      <c r="I692" s="4"/>
      <c r="J692" s="4"/>
      <c r="K692" s="4"/>
      <c r="L692" s="4"/>
      <c r="M692" s="4"/>
      <c r="N692" s="4"/>
      <c r="O692" s="4"/>
      <c r="P692" s="4"/>
      <c r="Q692" s="4"/>
      <c r="R692" s="4"/>
      <c r="S692" s="4"/>
      <c r="T692" s="4"/>
      <c r="U692" s="4"/>
      <c r="V692" s="4"/>
      <c r="W692" s="4"/>
      <c r="X692" s="4"/>
      <c r="Y692" s="4"/>
      <c r="Z692" s="4"/>
    </row>
    <row r="693" spans="2:26" ht="15" x14ac:dyDescent="0.25">
      <c r="B693" s="4"/>
      <c r="C693" s="4"/>
      <c r="D693" s="5"/>
      <c r="E693" s="4"/>
      <c r="F693" s="4"/>
      <c r="G693" s="4"/>
      <c r="H693" s="4"/>
      <c r="I693" s="4"/>
      <c r="J693" s="4"/>
      <c r="K693" s="4"/>
      <c r="L693" s="4"/>
      <c r="M693" s="4"/>
      <c r="N693" s="4"/>
      <c r="O693" s="4"/>
      <c r="P693" s="4"/>
      <c r="Q693" s="4"/>
      <c r="R693" s="4"/>
      <c r="S693" s="4"/>
      <c r="T693" s="4"/>
      <c r="U693" s="4"/>
      <c r="V693" s="4"/>
      <c r="W693" s="4"/>
      <c r="X693" s="4"/>
      <c r="Y693" s="4"/>
      <c r="Z693" s="4"/>
    </row>
    <row r="694" spans="2:26" ht="15" x14ac:dyDescent="0.25">
      <c r="B694" s="4"/>
      <c r="C694" s="4"/>
      <c r="D694" s="5"/>
      <c r="E694" s="4"/>
      <c r="F694" s="4"/>
      <c r="G694" s="4"/>
      <c r="H694" s="4"/>
      <c r="I694" s="4"/>
      <c r="J694" s="4"/>
      <c r="K694" s="4"/>
      <c r="L694" s="4"/>
      <c r="M694" s="4"/>
      <c r="N694" s="4"/>
      <c r="O694" s="4"/>
      <c r="P694" s="4"/>
      <c r="Q694" s="4"/>
      <c r="R694" s="4"/>
      <c r="S694" s="4"/>
      <c r="T694" s="4"/>
      <c r="U694" s="4"/>
      <c r="V694" s="4"/>
      <c r="W694" s="4"/>
      <c r="X694" s="4"/>
      <c r="Y694" s="4"/>
      <c r="Z694" s="4"/>
    </row>
    <row r="695" spans="2:26" ht="15" x14ac:dyDescent="0.25">
      <c r="B695" s="4"/>
      <c r="C695" s="4"/>
      <c r="D695" s="5"/>
      <c r="E695" s="4"/>
      <c r="F695" s="4"/>
      <c r="G695" s="4"/>
      <c r="H695" s="4"/>
      <c r="I695" s="4"/>
      <c r="J695" s="4"/>
      <c r="K695" s="4"/>
      <c r="L695" s="4"/>
      <c r="M695" s="4"/>
      <c r="N695" s="4"/>
      <c r="O695" s="4"/>
      <c r="P695" s="4"/>
      <c r="Q695" s="4"/>
      <c r="R695" s="4"/>
      <c r="S695" s="4"/>
      <c r="T695" s="4"/>
      <c r="U695" s="4"/>
      <c r="V695" s="4"/>
      <c r="W695" s="4"/>
      <c r="X695" s="4"/>
      <c r="Y695" s="4"/>
      <c r="Z695" s="4"/>
    </row>
    <row r="696" spans="2:26" ht="15" x14ac:dyDescent="0.25">
      <c r="B696" s="4"/>
      <c r="C696" s="4"/>
      <c r="D696" s="5"/>
      <c r="E696" s="4"/>
      <c r="F696" s="4"/>
      <c r="G696" s="4"/>
      <c r="H696" s="4"/>
      <c r="I696" s="4"/>
      <c r="J696" s="4"/>
      <c r="K696" s="4"/>
      <c r="L696" s="4"/>
      <c r="M696" s="4"/>
      <c r="N696" s="4"/>
      <c r="O696" s="4"/>
      <c r="P696" s="4"/>
      <c r="Q696" s="4"/>
      <c r="R696" s="4"/>
      <c r="S696" s="4"/>
      <c r="T696" s="4"/>
      <c r="U696" s="4"/>
      <c r="V696" s="4"/>
      <c r="W696" s="4"/>
      <c r="X696" s="4"/>
      <c r="Y696" s="4"/>
      <c r="Z696" s="4"/>
    </row>
    <row r="697" spans="2:26" ht="15" x14ac:dyDescent="0.25">
      <c r="B697" s="4"/>
      <c r="C697" s="4"/>
      <c r="D697" s="5"/>
      <c r="E697" s="4"/>
      <c r="F697" s="4"/>
      <c r="G697" s="4"/>
      <c r="H697" s="4"/>
      <c r="I697" s="4"/>
      <c r="J697" s="4"/>
      <c r="K697" s="4"/>
      <c r="L697" s="4"/>
      <c r="M697" s="4"/>
      <c r="N697" s="4"/>
      <c r="O697" s="4"/>
      <c r="P697" s="4"/>
      <c r="Q697" s="4"/>
      <c r="R697" s="4"/>
      <c r="S697" s="4"/>
      <c r="T697" s="4"/>
      <c r="U697" s="4"/>
      <c r="V697" s="4"/>
      <c r="W697" s="4"/>
      <c r="X697" s="4"/>
      <c r="Y697" s="4"/>
      <c r="Z697" s="4"/>
    </row>
    <row r="698" spans="2:26" ht="15" x14ac:dyDescent="0.25">
      <c r="B698" s="4"/>
      <c r="C698" s="4"/>
      <c r="D698" s="5"/>
      <c r="E698" s="4"/>
      <c r="F698" s="4"/>
      <c r="G698" s="4"/>
      <c r="H698" s="4"/>
      <c r="I698" s="4"/>
      <c r="J698" s="4"/>
      <c r="K698" s="4"/>
      <c r="L698" s="4"/>
      <c r="M698" s="4"/>
      <c r="N698" s="4"/>
      <c r="O698" s="4"/>
      <c r="P698" s="4"/>
      <c r="Q698" s="4"/>
      <c r="R698" s="4"/>
      <c r="S698" s="4"/>
      <c r="T698" s="4"/>
      <c r="U698" s="4"/>
      <c r="V698" s="4"/>
      <c r="W698" s="4"/>
      <c r="X698" s="4"/>
      <c r="Y698" s="4"/>
      <c r="Z698" s="4"/>
    </row>
    <row r="699" spans="2:26" ht="15" x14ac:dyDescent="0.25">
      <c r="B699" s="4"/>
      <c r="C699" s="4"/>
      <c r="D699" s="5"/>
      <c r="E699" s="4"/>
      <c r="F699" s="4"/>
      <c r="G699" s="4"/>
      <c r="H699" s="4"/>
      <c r="I699" s="4"/>
      <c r="J699" s="4"/>
      <c r="K699" s="4"/>
      <c r="L699" s="4"/>
      <c r="M699" s="4"/>
      <c r="N699" s="4"/>
      <c r="O699" s="4"/>
      <c r="P699" s="4"/>
      <c r="Q699" s="4"/>
      <c r="R699" s="4"/>
      <c r="S699" s="4"/>
      <c r="T699" s="4"/>
      <c r="U699" s="4"/>
      <c r="V699" s="4"/>
      <c r="W699" s="4"/>
      <c r="X699" s="4"/>
      <c r="Y699" s="4"/>
      <c r="Z699" s="4"/>
    </row>
    <row r="700" spans="2:26" ht="15" x14ac:dyDescent="0.25">
      <c r="B700" s="4"/>
      <c r="C700" s="4"/>
      <c r="D700" s="5"/>
      <c r="E700" s="4"/>
      <c r="F700" s="4"/>
      <c r="G700" s="4"/>
      <c r="H700" s="4"/>
      <c r="I700" s="4"/>
      <c r="J700" s="4"/>
      <c r="K700" s="4"/>
      <c r="L700" s="4"/>
      <c r="M700" s="4"/>
      <c r="N700" s="4"/>
      <c r="O700" s="4"/>
      <c r="P700" s="4"/>
      <c r="Q700" s="4"/>
      <c r="R700" s="4"/>
      <c r="S700" s="4"/>
      <c r="T700" s="4"/>
      <c r="U700" s="4"/>
      <c r="V700" s="4"/>
      <c r="W700" s="4"/>
      <c r="X700" s="4"/>
      <c r="Y700" s="4"/>
      <c r="Z700" s="4"/>
    </row>
    <row r="701" spans="2:26" ht="15" x14ac:dyDescent="0.25">
      <c r="B701" s="4"/>
      <c r="C701" s="4"/>
      <c r="D701" s="5"/>
      <c r="E701" s="4"/>
      <c r="F701" s="4"/>
      <c r="G701" s="4"/>
      <c r="H701" s="4"/>
      <c r="I701" s="4"/>
      <c r="J701" s="4"/>
      <c r="K701" s="4"/>
      <c r="L701" s="4"/>
      <c r="M701" s="4"/>
      <c r="N701" s="4"/>
      <c r="O701" s="4"/>
      <c r="P701" s="4"/>
      <c r="Q701" s="4"/>
      <c r="R701" s="4"/>
      <c r="S701" s="4"/>
      <c r="T701" s="4"/>
      <c r="U701" s="4"/>
      <c r="V701" s="4"/>
      <c r="W701" s="4"/>
      <c r="X701" s="4"/>
      <c r="Y701" s="4"/>
      <c r="Z701" s="4"/>
    </row>
    <row r="702" spans="2:26" ht="15" x14ac:dyDescent="0.25">
      <c r="B702" s="4"/>
      <c r="C702" s="4"/>
      <c r="D702" s="5"/>
      <c r="E702" s="4"/>
      <c r="F702" s="4"/>
      <c r="G702" s="4"/>
      <c r="H702" s="4"/>
      <c r="I702" s="4"/>
      <c r="J702" s="4"/>
      <c r="K702" s="4"/>
      <c r="L702" s="4"/>
      <c r="M702" s="4"/>
      <c r="N702" s="4"/>
      <c r="O702" s="4"/>
      <c r="P702" s="4"/>
      <c r="Q702" s="4"/>
      <c r="R702" s="4"/>
      <c r="S702" s="4"/>
      <c r="T702" s="4"/>
      <c r="U702" s="4"/>
      <c r="V702" s="4"/>
      <c r="W702" s="4"/>
      <c r="X702" s="4"/>
      <c r="Y702" s="4"/>
      <c r="Z702" s="4"/>
    </row>
    <row r="703" spans="2:26" ht="15" x14ac:dyDescent="0.25">
      <c r="B703" s="4"/>
      <c r="C703" s="4"/>
      <c r="D703" s="5"/>
      <c r="E703" s="4"/>
      <c r="F703" s="4"/>
      <c r="G703" s="4"/>
      <c r="H703" s="4"/>
      <c r="I703" s="4"/>
      <c r="J703" s="4"/>
      <c r="K703" s="4"/>
      <c r="L703" s="4"/>
      <c r="M703" s="4"/>
      <c r="N703" s="4"/>
      <c r="O703" s="4"/>
      <c r="P703" s="4"/>
      <c r="Q703" s="4"/>
      <c r="R703" s="4"/>
      <c r="S703" s="4"/>
      <c r="T703" s="4"/>
      <c r="U703" s="4"/>
      <c r="V703" s="4"/>
      <c r="W703" s="4"/>
      <c r="X703" s="4"/>
      <c r="Y703" s="4"/>
      <c r="Z703" s="4"/>
    </row>
    <row r="704" spans="2:26" ht="15" x14ac:dyDescent="0.25">
      <c r="B704" s="4"/>
      <c r="C704" s="4"/>
      <c r="D704" s="5"/>
      <c r="E704" s="4"/>
      <c r="F704" s="4"/>
      <c r="G704" s="4"/>
      <c r="H704" s="4"/>
      <c r="I704" s="4"/>
      <c r="J704" s="4"/>
      <c r="K704" s="4"/>
      <c r="L704" s="4"/>
      <c r="M704" s="4"/>
      <c r="N704" s="4"/>
      <c r="O704" s="4"/>
      <c r="P704" s="4"/>
      <c r="Q704" s="4"/>
      <c r="R704" s="4"/>
      <c r="S704" s="4"/>
      <c r="T704" s="4"/>
      <c r="U704" s="4"/>
      <c r="V704" s="4"/>
      <c r="W704" s="4"/>
      <c r="X704" s="4"/>
      <c r="Y704" s="4"/>
      <c r="Z704" s="4"/>
    </row>
    <row r="705" spans="2:26" ht="15" x14ac:dyDescent="0.25">
      <c r="B705" s="4"/>
      <c r="C705" s="4"/>
      <c r="D705" s="5"/>
      <c r="E705" s="4"/>
      <c r="F705" s="4"/>
      <c r="G705" s="4"/>
      <c r="H705" s="4"/>
      <c r="I705" s="4"/>
      <c r="J705" s="4"/>
      <c r="K705" s="4"/>
      <c r="L705" s="4"/>
      <c r="M705" s="4"/>
      <c r="N705" s="4"/>
      <c r="O705" s="4"/>
      <c r="P705" s="4"/>
      <c r="Q705" s="4"/>
      <c r="R705" s="4"/>
      <c r="S705" s="4"/>
      <c r="T705" s="4"/>
      <c r="U705" s="4"/>
      <c r="V705" s="4"/>
      <c r="W705" s="4"/>
      <c r="X705" s="4"/>
      <c r="Y705" s="4"/>
      <c r="Z705" s="4"/>
    </row>
    <row r="706" spans="2:26" ht="15" x14ac:dyDescent="0.25">
      <c r="B706" s="4"/>
      <c r="C706" s="4"/>
      <c r="D706" s="5"/>
      <c r="E706" s="4"/>
      <c r="F706" s="4"/>
      <c r="G706" s="4"/>
      <c r="H706" s="4"/>
      <c r="I706" s="4"/>
      <c r="J706" s="4"/>
      <c r="K706" s="4"/>
      <c r="L706" s="4"/>
      <c r="M706" s="4"/>
      <c r="N706" s="4"/>
      <c r="O706" s="4"/>
      <c r="P706" s="4"/>
      <c r="Q706" s="4"/>
      <c r="R706" s="4"/>
      <c r="S706" s="4"/>
      <c r="T706" s="4"/>
      <c r="U706" s="4"/>
      <c r="V706" s="4"/>
      <c r="W706" s="4"/>
      <c r="X706" s="4"/>
      <c r="Y706" s="4"/>
      <c r="Z706" s="4"/>
    </row>
    <row r="707" spans="2:26" ht="15" x14ac:dyDescent="0.25">
      <c r="B707" s="4"/>
      <c r="C707" s="4"/>
      <c r="D707" s="5"/>
      <c r="E707" s="4"/>
      <c r="F707" s="4"/>
      <c r="G707" s="4"/>
      <c r="H707" s="4"/>
      <c r="I707" s="4"/>
      <c r="J707" s="4"/>
      <c r="K707" s="4"/>
      <c r="L707" s="4"/>
      <c r="M707" s="4"/>
      <c r="N707" s="4"/>
      <c r="O707" s="4"/>
      <c r="P707" s="4"/>
      <c r="Q707" s="4"/>
      <c r="R707" s="4"/>
      <c r="S707" s="4"/>
      <c r="T707" s="4"/>
      <c r="U707" s="4"/>
      <c r="V707" s="4"/>
      <c r="W707" s="4"/>
      <c r="X707" s="4"/>
      <c r="Y707" s="4"/>
      <c r="Z707" s="4"/>
    </row>
    <row r="708" spans="2:26" ht="15" x14ac:dyDescent="0.25">
      <c r="B708" s="4"/>
      <c r="C708" s="4"/>
      <c r="D708" s="5"/>
      <c r="E708" s="4"/>
      <c r="F708" s="4"/>
      <c r="G708" s="4"/>
      <c r="H708" s="4"/>
      <c r="I708" s="4"/>
      <c r="J708" s="4"/>
      <c r="K708" s="4"/>
      <c r="L708" s="4"/>
      <c r="M708" s="4"/>
      <c r="N708" s="4"/>
      <c r="O708" s="4"/>
      <c r="P708" s="4"/>
      <c r="Q708" s="4"/>
      <c r="R708" s="4"/>
      <c r="S708" s="4"/>
      <c r="T708" s="4"/>
      <c r="U708" s="4"/>
      <c r="V708" s="4"/>
      <c r="W708" s="4"/>
      <c r="X708" s="4"/>
      <c r="Y708" s="4"/>
      <c r="Z708" s="4"/>
    </row>
    <row r="709" spans="2:26" ht="15" x14ac:dyDescent="0.25">
      <c r="B709" s="4"/>
      <c r="C709" s="4"/>
      <c r="D709" s="5"/>
      <c r="E709" s="4"/>
      <c r="F709" s="4"/>
      <c r="G709" s="4"/>
      <c r="H709" s="4"/>
      <c r="I709" s="4"/>
      <c r="J709" s="4"/>
      <c r="K709" s="4"/>
      <c r="L709" s="4"/>
      <c r="M709" s="4"/>
      <c r="N709" s="4"/>
      <c r="O709" s="4"/>
      <c r="P709" s="4"/>
      <c r="Q709" s="4"/>
      <c r="R709" s="4"/>
      <c r="S709" s="4"/>
      <c r="T709" s="4"/>
      <c r="U709" s="4"/>
      <c r="V709" s="4"/>
      <c r="W709" s="4"/>
      <c r="X709" s="4"/>
      <c r="Y709" s="4"/>
      <c r="Z709" s="4"/>
    </row>
    <row r="710" spans="2:26" ht="15" x14ac:dyDescent="0.25">
      <c r="B710" s="4"/>
      <c r="C710" s="4"/>
      <c r="D710" s="5"/>
      <c r="E710" s="4"/>
      <c r="F710" s="4"/>
      <c r="G710" s="4"/>
      <c r="H710" s="4"/>
      <c r="I710" s="4"/>
      <c r="J710" s="4"/>
      <c r="K710" s="4"/>
      <c r="L710" s="4"/>
      <c r="M710" s="4"/>
      <c r="N710" s="4"/>
      <c r="O710" s="4"/>
      <c r="P710" s="4"/>
      <c r="Q710" s="4"/>
      <c r="R710" s="4"/>
      <c r="S710" s="4"/>
      <c r="T710" s="4"/>
      <c r="U710" s="4"/>
      <c r="V710" s="4"/>
      <c r="W710" s="4"/>
      <c r="X710" s="4"/>
      <c r="Y710" s="4"/>
      <c r="Z710" s="4"/>
    </row>
    <row r="711" spans="2:26" ht="15" x14ac:dyDescent="0.25">
      <c r="B711" s="4"/>
      <c r="C711" s="4"/>
      <c r="D711" s="5"/>
      <c r="E711" s="4"/>
      <c r="F711" s="4"/>
      <c r="G711" s="4"/>
      <c r="H711" s="4"/>
      <c r="I711" s="4"/>
      <c r="J711" s="4"/>
      <c r="K711" s="4"/>
      <c r="L711" s="4"/>
      <c r="M711" s="4"/>
      <c r="N711" s="4"/>
      <c r="O711" s="4"/>
      <c r="P711" s="4"/>
      <c r="Q711" s="4"/>
      <c r="R711" s="4"/>
      <c r="S711" s="4"/>
      <c r="T711" s="4"/>
      <c r="U711" s="4"/>
      <c r="V711" s="4"/>
      <c r="W711" s="4"/>
      <c r="X711" s="4"/>
      <c r="Y711" s="4"/>
      <c r="Z711" s="4"/>
    </row>
    <row r="712" spans="2:26" ht="15" x14ac:dyDescent="0.25">
      <c r="B712" s="4"/>
      <c r="C712" s="4"/>
      <c r="D712" s="5"/>
      <c r="E712" s="4"/>
      <c r="F712" s="4"/>
      <c r="G712" s="4"/>
      <c r="H712" s="4"/>
      <c r="I712" s="4"/>
      <c r="J712" s="4"/>
      <c r="K712" s="4"/>
      <c r="L712" s="4"/>
      <c r="M712" s="4"/>
      <c r="N712" s="4"/>
      <c r="O712" s="4"/>
      <c r="P712" s="4"/>
      <c r="Q712" s="4"/>
      <c r="R712" s="4"/>
      <c r="S712" s="4"/>
      <c r="T712" s="4"/>
      <c r="U712" s="4"/>
      <c r="V712" s="4"/>
      <c r="W712" s="4"/>
      <c r="X712" s="4"/>
      <c r="Y712" s="4"/>
      <c r="Z712" s="4"/>
    </row>
    <row r="713" spans="2:26" ht="15" x14ac:dyDescent="0.25">
      <c r="B713" s="4"/>
      <c r="C713" s="4"/>
      <c r="D713" s="5"/>
      <c r="E713" s="4"/>
      <c r="F713" s="4"/>
      <c r="G713" s="4"/>
      <c r="H713" s="4"/>
      <c r="I713" s="4"/>
      <c r="J713" s="4"/>
      <c r="K713" s="4"/>
      <c r="L713" s="4"/>
      <c r="M713" s="4"/>
      <c r="N713" s="4"/>
      <c r="O713" s="4"/>
      <c r="P713" s="4"/>
      <c r="Q713" s="4"/>
      <c r="R713" s="4"/>
      <c r="S713" s="4"/>
      <c r="T713" s="4"/>
      <c r="U713" s="4"/>
      <c r="V713" s="4"/>
      <c r="W713" s="4"/>
      <c r="X713" s="4"/>
      <c r="Y713" s="4"/>
      <c r="Z713" s="4"/>
    </row>
    <row r="714" spans="2:26" ht="15" x14ac:dyDescent="0.25">
      <c r="B714" s="4"/>
      <c r="C714" s="4"/>
      <c r="D714" s="5"/>
      <c r="E714" s="4"/>
      <c r="F714" s="4"/>
      <c r="G714" s="4"/>
      <c r="H714" s="4"/>
      <c r="I714" s="4"/>
      <c r="J714" s="4"/>
      <c r="K714" s="4"/>
      <c r="L714" s="4"/>
      <c r="M714" s="4"/>
      <c r="N714" s="4"/>
      <c r="O714" s="4"/>
      <c r="P714" s="4"/>
      <c r="Q714" s="4"/>
      <c r="R714" s="4"/>
      <c r="S714" s="4"/>
      <c r="T714" s="4"/>
      <c r="U714" s="4"/>
      <c r="V714" s="4"/>
      <c r="W714" s="4"/>
      <c r="X714" s="4"/>
      <c r="Y714" s="4"/>
      <c r="Z714" s="4"/>
    </row>
    <row r="715" spans="2:26" ht="15" x14ac:dyDescent="0.25">
      <c r="B715" s="4"/>
      <c r="C715" s="4"/>
      <c r="D715" s="5"/>
      <c r="E715" s="4"/>
      <c r="F715" s="4"/>
      <c r="G715" s="4"/>
      <c r="H715" s="4"/>
      <c r="I715" s="4"/>
      <c r="J715" s="4"/>
      <c r="K715" s="4"/>
      <c r="L715" s="4"/>
      <c r="M715" s="4"/>
      <c r="N715" s="4"/>
      <c r="O715" s="4"/>
      <c r="P715" s="4"/>
      <c r="Q715" s="4"/>
      <c r="R715" s="4"/>
      <c r="S715" s="4"/>
      <c r="T715" s="4"/>
      <c r="U715" s="4"/>
      <c r="V715" s="4"/>
      <c r="W715" s="4"/>
      <c r="X715" s="4"/>
      <c r="Y715" s="4"/>
      <c r="Z715" s="4"/>
    </row>
    <row r="716" spans="2:26" ht="15" x14ac:dyDescent="0.25">
      <c r="B716" s="4"/>
      <c r="C716" s="4"/>
      <c r="D716" s="5"/>
      <c r="E716" s="4"/>
      <c r="F716" s="4"/>
      <c r="G716" s="4"/>
      <c r="H716" s="4"/>
      <c r="I716" s="4"/>
      <c r="J716" s="4"/>
      <c r="K716" s="4"/>
      <c r="L716" s="4"/>
      <c r="M716" s="4"/>
      <c r="N716" s="4"/>
      <c r="O716" s="4"/>
      <c r="P716" s="4"/>
      <c r="Q716" s="4"/>
      <c r="R716" s="4"/>
      <c r="S716" s="4"/>
      <c r="T716" s="4"/>
      <c r="U716" s="4"/>
      <c r="V716" s="4"/>
      <c r="W716" s="4"/>
      <c r="X716" s="4"/>
      <c r="Y716" s="4"/>
      <c r="Z716" s="4"/>
    </row>
    <row r="717" spans="2:26" ht="15" x14ac:dyDescent="0.25">
      <c r="B717" s="4"/>
      <c r="C717" s="4"/>
      <c r="D717" s="5"/>
      <c r="E717" s="4"/>
      <c r="F717" s="4"/>
      <c r="G717" s="4"/>
      <c r="H717" s="4"/>
      <c r="I717" s="4"/>
      <c r="J717" s="4"/>
      <c r="K717" s="4"/>
      <c r="L717" s="4"/>
      <c r="M717" s="4"/>
      <c r="N717" s="4"/>
      <c r="O717" s="4"/>
      <c r="P717" s="4"/>
      <c r="Q717" s="4"/>
      <c r="R717" s="4"/>
      <c r="S717" s="4"/>
      <c r="T717" s="4"/>
      <c r="U717" s="4"/>
      <c r="V717" s="4"/>
      <c r="W717" s="4"/>
      <c r="X717" s="4"/>
      <c r="Y717" s="4"/>
      <c r="Z717" s="4"/>
    </row>
    <row r="718" spans="2:26" ht="15" x14ac:dyDescent="0.25">
      <c r="B718" s="4"/>
      <c r="C718" s="4"/>
      <c r="D718" s="5"/>
      <c r="E718" s="4"/>
      <c r="F718" s="4"/>
      <c r="G718" s="4"/>
      <c r="H718" s="4"/>
      <c r="I718" s="4"/>
      <c r="J718" s="4"/>
      <c r="K718" s="4"/>
      <c r="L718" s="4"/>
      <c r="M718" s="4"/>
      <c r="N718" s="4"/>
      <c r="O718" s="4"/>
      <c r="P718" s="4"/>
      <c r="Q718" s="4"/>
      <c r="R718" s="4"/>
      <c r="S718" s="4"/>
      <c r="T718" s="4"/>
      <c r="U718" s="4"/>
      <c r="V718" s="4"/>
      <c r="W718" s="4"/>
      <c r="X718" s="4"/>
      <c r="Y718" s="4"/>
      <c r="Z718" s="4"/>
    </row>
    <row r="719" spans="2:26" ht="15" x14ac:dyDescent="0.25">
      <c r="B719" s="4"/>
      <c r="C719" s="4"/>
      <c r="D719" s="5"/>
      <c r="E719" s="4"/>
      <c r="F719" s="4"/>
      <c r="G719" s="4"/>
      <c r="H719" s="4"/>
      <c r="I719" s="4"/>
      <c r="J719" s="4"/>
      <c r="K719" s="4"/>
      <c r="L719" s="4"/>
      <c r="M719" s="4"/>
      <c r="N719" s="4"/>
      <c r="O719" s="4"/>
      <c r="P719" s="4"/>
      <c r="Q719" s="4"/>
      <c r="R719" s="4"/>
      <c r="S719" s="4"/>
      <c r="T719" s="4"/>
      <c r="U719" s="4"/>
      <c r="V719" s="4"/>
      <c r="W719" s="4"/>
      <c r="X719" s="4"/>
      <c r="Y719" s="4"/>
      <c r="Z719" s="4"/>
    </row>
    <row r="720" spans="2:26" ht="15" x14ac:dyDescent="0.25">
      <c r="B720" s="4"/>
      <c r="C720" s="4"/>
      <c r="D720" s="5"/>
      <c r="E720" s="4"/>
      <c r="F720" s="4"/>
      <c r="G720" s="4"/>
      <c r="H720" s="4"/>
      <c r="I720" s="4"/>
      <c r="J720" s="4"/>
      <c r="K720" s="4"/>
      <c r="L720" s="4"/>
      <c r="M720" s="4"/>
      <c r="N720" s="4"/>
      <c r="O720" s="4"/>
      <c r="P720" s="4"/>
      <c r="Q720" s="4"/>
      <c r="R720" s="4"/>
      <c r="S720" s="4"/>
      <c r="T720" s="4"/>
      <c r="U720" s="4"/>
      <c r="V720" s="4"/>
      <c r="W720" s="4"/>
      <c r="X720" s="4"/>
      <c r="Y720" s="4"/>
      <c r="Z720" s="4"/>
    </row>
    <row r="721" spans="2:26" ht="15" x14ac:dyDescent="0.25">
      <c r="B721" s="4"/>
      <c r="C721" s="4"/>
      <c r="D721" s="5"/>
      <c r="E721" s="4"/>
      <c r="F721" s="4"/>
      <c r="G721" s="4"/>
      <c r="H721" s="4"/>
      <c r="I721" s="4"/>
      <c r="J721" s="4"/>
      <c r="K721" s="4"/>
      <c r="L721" s="4"/>
      <c r="M721" s="4"/>
      <c r="N721" s="4"/>
      <c r="O721" s="4"/>
      <c r="P721" s="4"/>
      <c r="Q721" s="4"/>
      <c r="R721" s="4"/>
      <c r="S721" s="4"/>
      <c r="T721" s="4"/>
      <c r="U721" s="4"/>
      <c r="V721" s="4"/>
      <c r="W721" s="4"/>
      <c r="X721" s="4"/>
      <c r="Y721" s="4"/>
      <c r="Z721" s="4"/>
    </row>
    <row r="722" spans="2:26" ht="15" x14ac:dyDescent="0.25">
      <c r="B722" s="4"/>
      <c r="C722" s="4"/>
      <c r="D722" s="5"/>
      <c r="E722" s="4"/>
      <c r="F722" s="4"/>
      <c r="G722" s="4"/>
      <c r="H722" s="4"/>
      <c r="I722" s="4"/>
      <c r="J722" s="4"/>
      <c r="K722" s="4"/>
      <c r="L722" s="4"/>
      <c r="M722" s="4"/>
      <c r="N722" s="4"/>
      <c r="O722" s="4"/>
      <c r="P722" s="4"/>
      <c r="Q722" s="4"/>
      <c r="R722" s="4"/>
      <c r="S722" s="4"/>
      <c r="T722" s="4"/>
      <c r="U722" s="4"/>
      <c r="V722" s="4"/>
      <c r="W722" s="4"/>
      <c r="X722" s="4"/>
      <c r="Y722" s="4"/>
      <c r="Z722" s="4"/>
    </row>
    <row r="723" spans="2:26" ht="15" x14ac:dyDescent="0.25">
      <c r="B723" s="4"/>
      <c r="C723" s="4"/>
      <c r="D723" s="5"/>
      <c r="E723" s="4"/>
      <c r="F723" s="4"/>
      <c r="G723" s="4"/>
      <c r="H723" s="4"/>
      <c r="I723" s="4"/>
      <c r="J723" s="4"/>
      <c r="K723" s="4"/>
      <c r="L723" s="4"/>
      <c r="M723" s="4"/>
      <c r="N723" s="4"/>
      <c r="O723" s="4"/>
      <c r="P723" s="4"/>
      <c r="Q723" s="4"/>
      <c r="R723" s="4"/>
      <c r="S723" s="4"/>
      <c r="T723" s="4"/>
      <c r="U723" s="4"/>
      <c r="V723" s="4"/>
      <c r="W723" s="4"/>
      <c r="X723" s="4"/>
      <c r="Y723" s="4"/>
      <c r="Z723" s="4"/>
    </row>
    <row r="724" spans="2:26" ht="15" x14ac:dyDescent="0.25">
      <c r="B724" s="4"/>
      <c r="C724" s="4"/>
      <c r="D724" s="5"/>
      <c r="E724" s="4"/>
      <c r="F724" s="4"/>
      <c r="G724" s="4"/>
      <c r="H724" s="4"/>
      <c r="I724" s="4"/>
      <c r="J724" s="4"/>
      <c r="K724" s="4"/>
      <c r="L724" s="4"/>
      <c r="M724" s="4"/>
      <c r="N724" s="4"/>
      <c r="O724" s="4"/>
      <c r="P724" s="4"/>
      <c r="Q724" s="4"/>
      <c r="R724" s="4"/>
      <c r="S724" s="4"/>
      <c r="T724" s="4"/>
      <c r="U724" s="4"/>
      <c r="V724" s="4"/>
      <c r="W724" s="4"/>
      <c r="X724" s="4"/>
      <c r="Y724" s="4"/>
      <c r="Z724" s="4"/>
    </row>
    <row r="725" spans="2:26" ht="15" x14ac:dyDescent="0.25">
      <c r="B725" s="4"/>
      <c r="C725" s="4"/>
      <c r="D725" s="5"/>
      <c r="E725" s="4"/>
      <c r="F725" s="4"/>
      <c r="G725" s="4"/>
      <c r="H725" s="4"/>
      <c r="I725" s="4"/>
      <c r="J725" s="4"/>
      <c r="K725" s="4"/>
      <c r="L725" s="4"/>
      <c r="M725" s="4"/>
      <c r="N725" s="4"/>
      <c r="O725" s="4"/>
      <c r="P725" s="4"/>
      <c r="Q725" s="4"/>
      <c r="R725" s="4"/>
      <c r="S725" s="4"/>
      <c r="T725" s="4"/>
      <c r="U725" s="4"/>
      <c r="V725" s="4"/>
      <c r="W725" s="4"/>
      <c r="X725" s="4"/>
      <c r="Y725" s="4"/>
      <c r="Z725" s="4"/>
    </row>
    <row r="726" spans="2:26" ht="15" x14ac:dyDescent="0.25">
      <c r="B726" s="4"/>
      <c r="C726" s="4"/>
      <c r="D726" s="5"/>
      <c r="E726" s="4"/>
      <c r="F726" s="4"/>
      <c r="G726" s="4"/>
      <c r="H726" s="4"/>
      <c r="I726" s="4"/>
      <c r="J726" s="4"/>
      <c r="K726" s="4"/>
      <c r="L726" s="4"/>
      <c r="M726" s="4"/>
      <c r="N726" s="4"/>
      <c r="O726" s="4"/>
      <c r="P726" s="4"/>
      <c r="Q726" s="4"/>
      <c r="R726" s="4"/>
      <c r="S726" s="4"/>
      <c r="T726" s="4"/>
      <c r="U726" s="4"/>
      <c r="V726" s="4"/>
      <c r="W726" s="4"/>
      <c r="X726" s="4"/>
      <c r="Y726" s="4"/>
      <c r="Z726" s="4"/>
    </row>
    <row r="727" spans="2:26" ht="15" x14ac:dyDescent="0.25">
      <c r="B727" s="4"/>
      <c r="C727" s="4"/>
      <c r="D727" s="5"/>
      <c r="E727" s="4"/>
      <c r="F727" s="4"/>
      <c r="G727" s="4"/>
      <c r="H727" s="4"/>
      <c r="I727" s="4"/>
      <c r="J727" s="4"/>
      <c r="K727" s="4"/>
      <c r="L727" s="4"/>
      <c r="M727" s="4"/>
      <c r="N727" s="4"/>
      <c r="O727" s="4"/>
      <c r="P727" s="4"/>
      <c r="Q727" s="4"/>
      <c r="R727" s="4"/>
      <c r="S727" s="4"/>
      <c r="T727" s="4"/>
      <c r="U727" s="4"/>
      <c r="V727" s="4"/>
      <c r="W727" s="4"/>
      <c r="X727" s="4"/>
      <c r="Y727" s="4"/>
      <c r="Z727" s="4"/>
    </row>
    <row r="728" spans="2:26" ht="15" x14ac:dyDescent="0.25">
      <c r="B728" s="4"/>
      <c r="C728" s="4"/>
      <c r="D728" s="5"/>
      <c r="E728" s="4"/>
      <c r="F728" s="4"/>
      <c r="G728" s="4"/>
      <c r="H728" s="4"/>
      <c r="I728" s="4"/>
      <c r="J728" s="4"/>
      <c r="K728" s="4"/>
      <c r="L728" s="4"/>
      <c r="M728" s="4"/>
      <c r="N728" s="4"/>
      <c r="O728" s="4"/>
      <c r="P728" s="4"/>
      <c r="Q728" s="4"/>
      <c r="R728" s="4"/>
      <c r="S728" s="4"/>
      <c r="T728" s="4"/>
      <c r="U728" s="4"/>
      <c r="V728" s="4"/>
      <c r="W728" s="4"/>
      <c r="X728" s="4"/>
      <c r="Y728" s="4"/>
      <c r="Z728" s="4"/>
    </row>
    <row r="729" spans="2:26" ht="15" x14ac:dyDescent="0.25">
      <c r="B729" s="4"/>
      <c r="C729" s="4"/>
      <c r="D729" s="5"/>
      <c r="E729" s="4"/>
      <c r="F729" s="4"/>
      <c r="G729" s="4"/>
      <c r="H729" s="4"/>
      <c r="I729" s="4"/>
      <c r="J729" s="4"/>
      <c r="K729" s="4"/>
      <c r="L729" s="4"/>
      <c r="M729" s="4"/>
      <c r="N729" s="4"/>
      <c r="O729" s="4"/>
      <c r="P729" s="4"/>
      <c r="Q729" s="4"/>
      <c r="R729" s="4"/>
      <c r="S729" s="4"/>
      <c r="T729" s="4"/>
      <c r="U729" s="4"/>
      <c r="V729" s="4"/>
      <c r="W729" s="4"/>
      <c r="X729" s="4"/>
      <c r="Y729" s="4"/>
      <c r="Z729" s="4"/>
    </row>
    <row r="730" spans="2:26" ht="15" x14ac:dyDescent="0.25">
      <c r="B730" s="4"/>
      <c r="C730" s="4"/>
      <c r="D730" s="5"/>
      <c r="E730" s="4"/>
      <c r="F730" s="4"/>
      <c r="G730" s="4"/>
      <c r="H730" s="4"/>
      <c r="I730" s="4"/>
      <c r="J730" s="4"/>
      <c r="K730" s="4"/>
      <c r="L730" s="4"/>
      <c r="M730" s="4"/>
      <c r="N730" s="4"/>
      <c r="O730" s="4"/>
      <c r="P730" s="4"/>
      <c r="Q730" s="4"/>
      <c r="R730" s="4"/>
      <c r="S730" s="4"/>
      <c r="T730" s="4"/>
      <c r="U730" s="4"/>
      <c r="V730" s="4"/>
      <c r="W730" s="4"/>
      <c r="X730" s="4"/>
      <c r="Y730" s="4"/>
      <c r="Z730" s="4"/>
    </row>
    <row r="731" spans="2:26" ht="15" x14ac:dyDescent="0.25">
      <c r="B731" s="4"/>
      <c r="C731" s="4"/>
      <c r="D731" s="5"/>
      <c r="E731" s="4"/>
      <c r="F731" s="4"/>
      <c r="G731" s="4"/>
      <c r="H731" s="4"/>
      <c r="I731" s="4"/>
      <c r="J731" s="4"/>
      <c r="K731" s="4"/>
      <c r="L731" s="4"/>
      <c r="M731" s="4"/>
      <c r="N731" s="4"/>
      <c r="O731" s="4"/>
      <c r="P731" s="4"/>
      <c r="Q731" s="4"/>
      <c r="R731" s="4"/>
      <c r="S731" s="4"/>
      <c r="T731" s="4"/>
      <c r="U731" s="4"/>
      <c r="V731" s="4"/>
      <c r="W731" s="4"/>
      <c r="X731" s="4"/>
      <c r="Y731" s="4"/>
      <c r="Z731" s="4"/>
    </row>
    <row r="732" spans="2:26" ht="15" x14ac:dyDescent="0.25">
      <c r="B732" s="4"/>
      <c r="C732" s="4"/>
      <c r="D732" s="5"/>
      <c r="E732" s="4"/>
      <c r="F732" s="4"/>
      <c r="G732" s="4"/>
      <c r="H732" s="4"/>
      <c r="I732" s="4"/>
      <c r="J732" s="4"/>
      <c r="K732" s="4"/>
      <c r="L732" s="4"/>
      <c r="M732" s="4"/>
      <c r="N732" s="4"/>
      <c r="O732" s="4"/>
      <c r="P732" s="4"/>
      <c r="Q732" s="4"/>
      <c r="R732" s="4"/>
      <c r="S732" s="4"/>
      <c r="T732" s="4"/>
      <c r="U732" s="4"/>
      <c r="V732" s="4"/>
      <c r="W732" s="4"/>
      <c r="X732" s="4"/>
      <c r="Y732" s="4"/>
      <c r="Z732" s="4"/>
    </row>
    <row r="733" spans="2:26" ht="15" x14ac:dyDescent="0.25">
      <c r="B733" s="4"/>
      <c r="C733" s="4"/>
      <c r="D733" s="5"/>
      <c r="E733" s="4"/>
      <c r="F733" s="4"/>
      <c r="G733" s="4"/>
      <c r="H733" s="4"/>
      <c r="I733" s="4"/>
      <c r="J733" s="4"/>
      <c r="K733" s="4"/>
      <c r="L733" s="4"/>
      <c r="M733" s="4"/>
      <c r="N733" s="4"/>
      <c r="O733" s="4"/>
      <c r="P733" s="4"/>
      <c r="Q733" s="4"/>
      <c r="R733" s="4"/>
      <c r="S733" s="4"/>
      <c r="T733" s="4"/>
      <c r="U733" s="4"/>
      <c r="V733" s="4"/>
      <c r="W733" s="4"/>
      <c r="X733" s="4"/>
      <c r="Y733" s="4"/>
      <c r="Z733" s="4"/>
    </row>
    <row r="734" spans="2:26" ht="15" x14ac:dyDescent="0.25">
      <c r="B734" s="4"/>
      <c r="C734" s="4"/>
      <c r="D734" s="5"/>
      <c r="E734" s="4"/>
      <c r="F734" s="4"/>
      <c r="G734" s="4"/>
      <c r="H734" s="4"/>
      <c r="I734" s="4"/>
      <c r="J734" s="4"/>
      <c r="K734" s="4"/>
      <c r="L734" s="4"/>
      <c r="M734" s="4"/>
      <c r="N734" s="4"/>
      <c r="O734" s="4"/>
      <c r="P734" s="4"/>
      <c r="Q734" s="4"/>
      <c r="R734" s="4"/>
      <c r="S734" s="4"/>
      <c r="T734" s="4"/>
      <c r="U734" s="4"/>
      <c r="V734" s="4"/>
      <c r="W734" s="4"/>
      <c r="X734" s="4"/>
      <c r="Y734" s="4"/>
      <c r="Z734" s="4"/>
    </row>
    <row r="735" spans="2:26" ht="15" x14ac:dyDescent="0.25">
      <c r="B735" s="4"/>
      <c r="C735" s="4"/>
      <c r="D735" s="5"/>
      <c r="E735" s="4"/>
      <c r="F735" s="4"/>
      <c r="G735" s="4"/>
      <c r="H735" s="4"/>
      <c r="I735" s="4"/>
      <c r="J735" s="4"/>
      <c r="K735" s="4"/>
      <c r="L735" s="4"/>
      <c r="M735" s="4"/>
      <c r="N735" s="4"/>
      <c r="O735" s="4"/>
      <c r="P735" s="4"/>
      <c r="Q735" s="4"/>
      <c r="R735" s="4"/>
      <c r="S735" s="4"/>
      <c r="T735" s="4"/>
      <c r="U735" s="4"/>
      <c r="V735" s="4"/>
      <c r="W735" s="4"/>
      <c r="X735" s="4"/>
      <c r="Y735" s="4"/>
      <c r="Z735" s="4"/>
    </row>
    <row r="736" spans="2:26" ht="15" x14ac:dyDescent="0.25">
      <c r="B736" s="4"/>
      <c r="C736" s="4"/>
      <c r="D736" s="5"/>
      <c r="E736" s="4"/>
      <c r="F736" s="4"/>
      <c r="G736" s="4"/>
      <c r="H736" s="4"/>
      <c r="I736" s="4"/>
      <c r="J736" s="4"/>
      <c r="K736" s="4"/>
      <c r="L736" s="4"/>
      <c r="M736" s="4"/>
      <c r="N736" s="4"/>
      <c r="O736" s="4"/>
      <c r="P736" s="4"/>
      <c r="Q736" s="4"/>
      <c r="R736" s="4"/>
      <c r="S736" s="4"/>
      <c r="T736" s="4"/>
      <c r="U736" s="4"/>
      <c r="V736" s="4"/>
      <c r="W736" s="4"/>
      <c r="X736" s="4"/>
      <c r="Y736" s="4"/>
      <c r="Z736" s="4"/>
    </row>
    <row r="737" spans="2:26" ht="15" x14ac:dyDescent="0.25">
      <c r="B737" s="4"/>
      <c r="C737" s="4"/>
      <c r="D737" s="5"/>
      <c r="E737" s="4"/>
      <c r="F737" s="4"/>
      <c r="G737" s="4"/>
      <c r="H737" s="4"/>
      <c r="I737" s="4"/>
      <c r="J737" s="4"/>
      <c r="K737" s="4"/>
      <c r="L737" s="4"/>
      <c r="M737" s="4"/>
      <c r="N737" s="4"/>
      <c r="O737" s="4"/>
      <c r="P737" s="4"/>
      <c r="Q737" s="4"/>
      <c r="R737" s="4"/>
      <c r="S737" s="4"/>
      <c r="T737" s="4"/>
      <c r="U737" s="4"/>
      <c r="V737" s="4"/>
      <c r="W737" s="4"/>
      <c r="X737" s="4"/>
      <c r="Y737" s="4"/>
      <c r="Z737" s="4"/>
    </row>
    <row r="738" spans="2:26" ht="15" x14ac:dyDescent="0.25">
      <c r="B738" s="4"/>
      <c r="C738" s="4"/>
      <c r="D738" s="5"/>
      <c r="E738" s="4"/>
      <c r="F738" s="4"/>
      <c r="G738" s="4"/>
      <c r="H738" s="4"/>
      <c r="I738" s="4"/>
      <c r="J738" s="4"/>
      <c r="K738" s="4"/>
      <c r="L738" s="4"/>
      <c r="M738" s="4"/>
      <c r="N738" s="4"/>
      <c r="O738" s="4"/>
      <c r="P738" s="4"/>
      <c r="Q738" s="4"/>
      <c r="R738" s="4"/>
      <c r="S738" s="4"/>
      <c r="T738" s="4"/>
      <c r="U738" s="4"/>
      <c r="V738" s="4"/>
      <c r="W738" s="4"/>
      <c r="X738" s="4"/>
      <c r="Y738" s="4"/>
      <c r="Z738" s="4"/>
    </row>
    <row r="739" spans="2:26" ht="15" x14ac:dyDescent="0.25">
      <c r="B739" s="4"/>
      <c r="C739" s="4"/>
      <c r="D739" s="5"/>
      <c r="E739" s="4"/>
      <c r="F739" s="4"/>
      <c r="G739" s="4"/>
      <c r="H739" s="4"/>
      <c r="I739" s="4"/>
      <c r="J739" s="4"/>
      <c r="K739" s="4"/>
      <c r="L739" s="4"/>
      <c r="M739" s="4"/>
      <c r="N739" s="4"/>
      <c r="O739" s="4"/>
      <c r="P739" s="4"/>
      <c r="Q739" s="4"/>
      <c r="R739" s="4"/>
      <c r="S739" s="4"/>
      <c r="T739" s="4"/>
      <c r="U739" s="4"/>
      <c r="V739" s="4"/>
      <c r="W739" s="4"/>
      <c r="X739" s="4"/>
      <c r="Y739" s="4"/>
      <c r="Z739" s="4"/>
    </row>
    <row r="740" spans="2:26" ht="15" x14ac:dyDescent="0.25">
      <c r="B740" s="4"/>
      <c r="C740" s="4"/>
      <c r="D740" s="5"/>
      <c r="E740" s="4"/>
      <c r="F740" s="4"/>
      <c r="G740" s="4"/>
      <c r="H740" s="4"/>
      <c r="I740" s="4"/>
      <c r="J740" s="4"/>
      <c r="K740" s="4"/>
      <c r="L740" s="4"/>
      <c r="M740" s="4"/>
      <c r="N740" s="4"/>
      <c r="O740" s="4"/>
      <c r="P740" s="4"/>
      <c r="Q740" s="4"/>
      <c r="R740" s="4"/>
      <c r="S740" s="4"/>
      <c r="T740" s="4"/>
      <c r="U740" s="4"/>
      <c r="V740" s="4"/>
      <c r="W740" s="4"/>
      <c r="X740" s="4"/>
      <c r="Y740" s="4"/>
      <c r="Z740" s="4"/>
    </row>
    <row r="741" spans="2:26" ht="15" x14ac:dyDescent="0.25">
      <c r="B741" s="4"/>
      <c r="C741" s="4"/>
      <c r="D741" s="5"/>
      <c r="E741" s="4"/>
      <c r="F741" s="4"/>
      <c r="G741" s="4"/>
      <c r="H741" s="4"/>
      <c r="I741" s="4"/>
      <c r="J741" s="4"/>
      <c r="K741" s="4"/>
      <c r="L741" s="4"/>
      <c r="M741" s="4"/>
      <c r="N741" s="4"/>
      <c r="O741" s="4"/>
      <c r="P741" s="4"/>
      <c r="Q741" s="4"/>
      <c r="R741" s="4"/>
      <c r="S741" s="4"/>
      <c r="T741" s="4"/>
      <c r="U741" s="4"/>
      <c r="V741" s="4"/>
      <c r="W741" s="4"/>
      <c r="X741" s="4"/>
      <c r="Y741" s="4"/>
      <c r="Z741" s="4"/>
    </row>
    <row r="742" spans="2:26" ht="15" x14ac:dyDescent="0.25">
      <c r="B742" s="4"/>
      <c r="C742" s="4"/>
      <c r="D742" s="5"/>
      <c r="E742" s="4"/>
      <c r="F742" s="4"/>
      <c r="G742" s="4"/>
      <c r="H742" s="4"/>
      <c r="I742" s="4"/>
      <c r="J742" s="4"/>
      <c r="K742" s="4"/>
      <c r="L742" s="4"/>
      <c r="M742" s="4"/>
      <c r="N742" s="4"/>
      <c r="O742" s="4"/>
      <c r="P742" s="4"/>
      <c r="Q742" s="4"/>
      <c r="R742" s="4"/>
      <c r="S742" s="4"/>
      <c r="T742" s="4"/>
      <c r="U742" s="4"/>
      <c r="V742" s="4"/>
      <c r="W742" s="4"/>
      <c r="X742" s="4"/>
      <c r="Y742" s="4"/>
      <c r="Z742" s="4"/>
    </row>
    <row r="743" spans="2:26" ht="15" x14ac:dyDescent="0.25">
      <c r="B743" s="4"/>
      <c r="C743" s="4"/>
      <c r="D743" s="5"/>
      <c r="E743" s="4"/>
      <c r="F743" s="4"/>
      <c r="G743" s="4"/>
      <c r="H743" s="4"/>
      <c r="I743" s="4"/>
      <c r="J743" s="4"/>
      <c r="K743" s="4"/>
      <c r="L743" s="4"/>
      <c r="M743" s="4"/>
      <c r="N743" s="4"/>
      <c r="O743" s="4"/>
      <c r="P743" s="4"/>
      <c r="Q743" s="4"/>
      <c r="R743" s="4"/>
      <c r="S743" s="4"/>
      <c r="T743" s="4"/>
      <c r="U743" s="4"/>
      <c r="V743" s="4"/>
      <c r="W743" s="4"/>
      <c r="X743" s="4"/>
      <c r="Y743" s="4"/>
      <c r="Z743" s="4"/>
    </row>
    <row r="744" spans="2:26" ht="15" x14ac:dyDescent="0.25">
      <c r="B744" s="4"/>
      <c r="C744" s="4"/>
      <c r="D744" s="5"/>
      <c r="E744" s="4"/>
      <c r="F744" s="4"/>
      <c r="G744" s="4"/>
      <c r="H744" s="4"/>
      <c r="I744" s="4"/>
      <c r="J744" s="4"/>
      <c r="K744" s="4"/>
      <c r="L744" s="4"/>
      <c r="M744" s="4"/>
      <c r="N744" s="4"/>
      <c r="O744" s="4"/>
      <c r="P744" s="4"/>
      <c r="Q744" s="4"/>
      <c r="R744" s="4"/>
      <c r="S744" s="4"/>
      <c r="T744" s="4"/>
      <c r="U744" s="4"/>
      <c r="V744" s="4"/>
      <c r="W744" s="4"/>
      <c r="X744" s="4"/>
      <c r="Y744" s="4"/>
      <c r="Z744" s="4"/>
    </row>
    <row r="745" spans="2:26" ht="15" x14ac:dyDescent="0.25">
      <c r="B745" s="4"/>
      <c r="C745" s="4"/>
      <c r="D745" s="5"/>
      <c r="E745" s="4"/>
      <c r="F745" s="4"/>
      <c r="G745" s="4"/>
      <c r="H745" s="4"/>
      <c r="I745" s="4"/>
      <c r="J745" s="4"/>
      <c r="K745" s="4"/>
      <c r="L745" s="4"/>
      <c r="M745" s="4"/>
      <c r="N745" s="4"/>
      <c r="O745" s="4"/>
      <c r="P745" s="4"/>
      <c r="Q745" s="4"/>
      <c r="R745" s="4"/>
      <c r="S745" s="4"/>
      <c r="T745" s="4"/>
      <c r="U745" s="4"/>
      <c r="V745" s="4"/>
      <c r="W745" s="4"/>
      <c r="X745" s="4"/>
      <c r="Y745" s="4"/>
      <c r="Z745" s="4"/>
    </row>
    <row r="746" spans="2:26" ht="15" x14ac:dyDescent="0.25">
      <c r="B746" s="4"/>
      <c r="C746" s="4"/>
      <c r="D746" s="5"/>
      <c r="E746" s="4"/>
      <c r="F746" s="4"/>
      <c r="G746" s="4"/>
      <c r="H746" s="4"/>
      <c r="I746" s="4"/>
      <c r="J746" s="4"/>
      <c r="K746" s="4"/>
      <c r="L746" s="4"/>
      <c r="M746" s="4"/>
      <c r="N746" s="4"/>
      <c r="O746" s="4"/>
      <c r="P746" s="4"/>
      <c r="Q746" s="4"/>
      <c r="R746" s="4"/>
      <c r="S746" s="4"/>
      <c r="T746" s="4"/>
      <c r="U746" s="4"/>
      <c r="V746" s="4"/>
      <c r="W746" s="4"/>
      <c r="X746" s="4"/>
      <c r="Y746" s="4"/>
      <c r="Z746" s="4"/>
    </row>
    <row r="747" spans="2:26" ht="15" x14ac:dyDescent="0.25">
      <c r="B747" s="4"/>
      <c r="C747" s="4"/>
      <c r="D747" s="5"/>
      <c r="E747" s="4"/>
      <c r="F747" s="4"/>
      <c r="G747" s="4"/>
      <c r="H747" s="4"/>
      <c r="I747" s="4"/>
      <c r="J747" s="4"/>
      <c r="K747" s="4"/>
      <c r="L747" s="4"/>
      <c r="M747" s="4"/>
      <c r="N747" s="4"/>
      <c r="O747" s="4"/>
      <c r="P747" s="4"/>
      <c r="Q747" s="4"/>
      <c r="R747" s="4"/>
      <c r="S747" s="4"/>
      <c r="T747" s="4"/>
      <c r="U747" s="4"/>
      <c r="V747" s="4"/>
      <c r="W747" s="4"/>
      <c r="X747" s="4"/>
      <c r="Y747" s="4"/>
      <c r="Z747" s="4"/>
    </row>
    <row r="748" spans="2:26" ht="15" x14ac:dyDescent="0.25">
      <c r="B748" s="4"/>
      <c r="C748" s="4"/>
      <c r="D748" s="5"/>
      <c r="E748" s="4"/>
      <c r="F748" s="4"/>
      <c r="G748" s="4"/>
      <c r="H748" s="4"/>
      <c r="I748" s="4"/>
      <c r="J748" s="4"/>
      <c r="K748" s="4"/>
      <c r="L748" s="4"/>
      <c r="M748" s="4"/>
      <c r="N748" s="4"/>
      <c r="O748" s="4"/>
      <c r="P748" s="4"/>
      <c r="Q748" s="4"/>
      <c r="R748" s="4"/>
      <c r="S748" s="4"/>
      <c r="T748" s="4"/>
      <c r="U748" s="4"/>
      <c r="V748" s="4"/>
      <c r="W748" s="4"/>
      <c r="X748" s="4"/>
      <c r="Y748" s="4"/>
      <c r="Z748" s="4"/>
    </row>
    <row r="749" spans="2:26" ht="15" x14ac:dyDescent="0.25">
      <c r="B749" s="4"/>
      <c r="C749" s="4"/>
      <c r="D749" s="5"/>
      <c r="E749" s="4"/>
      <c r="F749" s="4"/>
      <c r="G749" s="4"/>
      <c r="H749" s="4"/>
      <c r="I749" s="4"/>
      <c r="J749" s="4"/>
      <c r="K749" s="4"/>
      <c r="L749" s="4"/>
      <c r="M749" s="4"/>
      <c r="N749" s="4"/>
      <c r="O749" s="4"/>
      <c r="P749" s="4"/>
      <c r="Q749" s="4"/>
      <c r="R749" s="4"/>
      <c r="S749" s="4"/>
      <c r="T749" s="4"/>
      <c r="U749" s="4"/>
      <c r="V749" s="4"/>
      <c r="W749" s="4"/>
      <c r="X749" s="4"/>
      <c r="Y749" s="4"/>
      <c r="Z749" s="4"/>
    </row>
    <row r="750" spans="2:26" ht="15" x14ac:dyDescent="0.25">
      <c r="B750" s="4"/>
      <c r="C750" s="4"/>
      <c r="D750" s="5"/>
      <c r="E750" s="4"/>
      <c r="F750" s="4"/>
      <c r="G750" s="4"/>
      <c r="H750" s="4"/>
      <c r="I750" s="4"/>
      <c r="J750" s="4"/>
      <c r="K750" s="4"/>
      <c r="L750" s="4"/>
      <c r="M750" s="4"/>
      <c r="N750" s="4"/>
      <c r="O750" s="4"/>
      <c r="P750" s="4"/>
      <c r="Q750" s="4"/>
      <c r="R750" s="4"/>
      <c r="S750" s="4"/>
      <c r="T750" s="4"/>
      <c r="U750" s="4"/>
      <c r="V750" s="4"/>
      <c r="W750" s="4"/>
      <c r="X750" s="4"/>
      <c r="Y750" s="4"/>
      <c r="Z750" s="4"/>
    </row>
    <row r="751" spans="2:26" ht="15" x14ac:dyDescent="0.25">
      <c r="B751" s="4"/>
      <c r="C751" s="4"/>
      <c r="D751" s="5"/>
      <c r="E751" s="4"/>
      <c r="F751" s="4"/>
      <c r="G751" s="4"/>
      <c r="H751" s="4"/>
      <c r="I751" s="4"/>
      <c r="J751" s="4"/>
      <c r="K751" s="4"/>
      <c r="L751" s="4"/>
      <c r="M751" s="4"/>
      <c r="N751" s="4"/>
      <c r="O751" s="4"/>
      <c r="P751" s="4"/>
      <c r="Q751" s="4"/>
      <c r="R751" s="4"/>
      <c r="S751" s="4"/>
      <c r="T751" s="4"/>
      <c r="U751" s="4"/>
      <c r="V751" s="4"/>
      <c r="W751" s="4"/>
      <c r="X751" s="4"/>
      <c r="Y751" s="4"/>
      <c r="Z751" s="4"/>
    </row>
    <row r="752" spans="2:26" ht="15" x14ac:dyDescent="0.25">
      <c r="B752" s="4"/>
      <c r="C752" s="4"/>
      <c r="D752" s="5"/>
      <c r="E752" s="4"/>
      <c r="F752" s="4"/>
      <c r="G752" s="4"/>
      <c r="H752" s="4"/>
      <c r="I752" s="4"/>
      <c r="J752" s="4"/>
      <c r="K752" s="4"/>
      <c r="L752" s="4"/>
      <c r="M752" s="4"/>
      <c r="N752" s="4"/>
      <c r="O752" s="4"/>
      <c r="P752" s="4"/>
      <c r="Q752" s="4"/>
      <c r="R752" s="4"/>
      <c r="S752" s="4"/>
      <c r="T752" s="4"/>
      <c r="U752" s="4"/>
      <c r="V752" s="4"/>
      <c r="W752" s="4"/>
      <c r="X752" s="4"/>
      <c r="Y752" s="4"/>
      <c r="Z752" s="4"/>
    </row>
    <row r="753" spans="2:26" ht="15" x14ac:dyDescent="0.25">
      <c r="B753" s="4"/>
      <c r="C753" s="4"/>
      <c r="D753" s="5"/>
      <c r="E753" s="4"/>
      <c r="F753" s="4"/>
      <c r="G753" s="4"/>
      <c r="H753" s="4"/>
      <c r="I753" s="4"/>
      <c r="J753" s="4"/>
      <c r="K753" s="4"/>
      <c r="L753" s="4"/>
      <c r="M753" s="4"/>
      <c r="N753" s="4"/>
      <c r="O753" s="4"/>
      <c r="P753" s="4"/>
      <c r="Q753" s="4"/>
      <c r="R753" s="4"/>
      <c r="S753" s="4"/>
      <c r="T753" s="4"/>
      <c r="U753" s="4"/>
      <c r="V753" s="4"/>
      <c r="W753" s="4"/>
      <c r="X753" s="4"/>
      <c r="Y753" s="4"/>
      <c r="Z753" s="4"/>
    </row>
    <row r="754" spans="2:26" ht="15" x14ac:dyDescent="0.25">
      <c r="B754" s="4"/>
      <c r="C754" s="4"/>
      <c r="D754" s="5"/>
      <c r="E754" s="4"/>
      <c r="F754" s="4"/>
      <c r="G754" s="4"/>
      <c r="H754" s="4"/>
      <c r="I754" s="4"/>
      <c r="J754" s="4"/>
      <c r="K754" s="4"/>
      <c r="L754" s="4"/>
      <c r="M754" s="4"/>
      <c r="N754" s="4"/>
      <c r="O754" s="4"/>
      <c r="P754" s="4"/>
      <c r="Q754" s="4"/>
      <c r="R754" s="4"/>
      <c r="S754" s="4"/>
      <c r="T754" s="4"/>
      <c r="U754" s="4"/>
      <c r="V754" s="4"/>
      <c r="W754" s="4"/>
      <c r="X754" s="4"/>
      <c r="Y754" s="4"/>
      <c r="Z754" s="4"/>
    </row>
    <row r="755" spans="2:26" ht="15" x14ac:dyDescent="0.25">
      <c r="B755" s="4"/>
      <c r="C755" s="4"/>
      <c r="D755" s="5"/>
      <c r="E755" s="4"/>
      <c r="F755" s="4"/>
      <c r="G755" s="4"/>
      <c r="H755" s="4"/>
      <c r="I755" s="4"/>
      <c r="J755" s="4"/>
      <c r="K755" s="4"/>
      <c r="L755" s="4"/>
      <c r="M755" s="4"/>
      <c r="N755" s="4"/>
      <c r="O755" s="4"/>
      <c r="P755" s="4"/>
      <c r="Q755" s="4"/>
      <c r="R755" s="4"/>
      <c r="S755" s="4"/>
      <c r="T755" s="4"/>
      <c r="U755" s="4"/>
      <c r="V755" s="4"/>
      <c r="W755" s="4"/>
      <c r="X755" s="4"/>
      <c r="Y755" s="4"/>
      <c r="Z755" s="4"/>
    </row>
    <row r="756" spans="2:26" ht="15" x14ac:dyDescent="0.25">
      <c r="B756" s="4"/>
      <c r="C756" s="4"/>
      <c r="D756" s="5"/>
      <c r="E756" s="4"/>
      <c r="F756" s="4"/>
      <c r="G756" s="4"/>
      <c r="H756" s="4"/>
      <c r="I756" s="4"/>
      <c r="J756" s="4"/>
      <c r="K756" s="4"/>
      <c r="L756" s="4"/>
      <c r="M756" s="4"/>
      <c r="N756" s="4"/>
      <c r="O756" s="4"/>
      <c r="P756" s="4"/>
      <c r="Q756" s="4"/>
      <c r="R756" s="4"/>
      <c r="S756" s="4"/>
      <c r="T756" s="4"/>
      <c r="U756" s="4"/>
      <c r="V756" s="4"/>
      <c r="W756" s="4"/>
      <c r="X756" s="4"/>
      <c r="Y756" s="4"/>
      <c r="Z756" s="4"/>
    </row>
    <row r="757" spans="2:26" ht="15" x14ac:dyDescent="0.25">
      <c r="B757" s="4"/>
      <c r="C757" s="4"/>
      <c r="D757" s="5"/>
      <c r="E757" s="4"/>
      <c r="F757" s="4"/>
      <c r="G757" s="4"/>
      <c r="H757" s="4"/>
      <c r="I757" s="4"/>
      <c r="J757" s="4"/>
      <c r="K757" s="4"/>
      <c r="L757" s="4"/>
      <c r="M757" s="4"/>
      <c r="N757" s="4"/>
      <c r="O757" s="4"/>
      <c r="P757" s="4"/>
      <c r="Q757" s="4"/>
      <c r="R757" s="4"/>
      <c r="S757" s="4"/>
      <c r="T757" s="4"/>
      <c r="U757" s="4"/>
      <c r="V757" s="4"/>
      <c r="W757" s="4"/>
      <c r="X757" s="4"/>
      <c r="Y757" s="4"/>
      <c r="Z757" s="4"/>
    </row>
    <row r="758" spans="2:26" ht="15" x14ac:dyDescent="0.25">
      <c r="B758" s="4"/>
      <c r="C758" s="4"/>
      <c r="D758" s="5"/>
      <c r="E758" s="4"/>
      <c r="F758" s="4"/>
      <c r="G758" s="4"/>
      <c r="H758" s="4"/>
      <c r="I758" s="4"/>
      <c r="J758" s="4"/>
      <c r="K758" s="4"/>
      <c r="L758" s="4"/>
      <c r="M758" s="4"/>
      <c r="N758" s="4"/>
      <c r="O758" s="4"/>
      <c r="P758" s="4"/>
      <c r="Q758" s="4"/>
      <c r="R758" s="4"/>
      <c r="S758" s="4"/>
      <c r="T758" s="4"/>
      <c r="U758" s="4"/>
      <c r="V758" s="4"/>
      <c r="W758" s="4"/>
      <c r="X758" s="4"/>
      <c r="Y758" s="4"/>
      <c r="Z758" s="4"/>
    </row>
    <row r="759" spans="2:26" ht="15" x14ac:dyDescent="0.25">
      <c r="B759" s="4"/>
      <c r="C759" s="4"/>
      <c r="D759" s="5"/>
      <c r="E759" s="4"/>
      <c r="F759" s="4"/>
      <c r="G759" s="4"/>
      <c r="H759" s="4"/>
      <c r="I759" s="4"/>
      <c r="J759" s="4"/>
      <c r="K759" s="4"/>
      <c r="L759" s="4"/>
      <c r="M759" s="4"/>
      <c r="N759" s="4"/>
      <c r="O759" s="4"/>
      <c r="P759" s="4"/>
      <c r="Q759" s="4"/>
      <c r="R759" s="4"/>
      <c r="S759" s="4"/>
      <c r="T759" s="4"/>
      <c r="U759" s="4"/>
      <c r="V759" s="4"/>
      <c r="W759" s="4"/>
      <c r="X759" s="4"/>
      <c r="Y759" s="4"/>
      <c r="Z759" s="4"/>
    </row>
    <row r="760" spans="2:26" ht="15" x14ac:dyDescent="0.25">
      <c r="B760" s="4"/>
      <c r="C760" s="4"/>
      <c r="D760" s="5"/>
      <c r="E760" s="4"/>
      <c r="F760" s="4"/>
      <c r="G760" s="4"/>
      <c r="H760" s="4"/>
      <c r="I760" s="4"/>
      <c r="J760" s="4"/>
      <c r="K760" s="4"/>
      <c r="L760" s="4"/>
      <c r="M760" s="4"/>
      <c r="N760" s="4"/>
      <c r="O760" s="4"/>
      <c r="P760" s="4"/>
      <c r="Q760" s="4"/>
      <c r="R760" s="4"/>
      <c r="S760" s="4"/>
      <c r="T760" s="4"/>
      <c r="U760" s="4"/>
      <c r="V760" s="4"/>
      <c r="W760" s="4"/>
      <c r="X760" s="4"/>
      <c r="Y760" s="4"/>
      <c r="Z760" s="4"/>
    </row>
    <row r="761" spans="2:26" ht="15" x14ac:dyDescent="0.25">
      <c r="B761" s="4"/>
      <c r="C761" s="4"/>
      <c r="D761" s="5"/>
      <c r="E761" s="4"/>
      <c r="F761" s="4"/>
      <c r="G761" s="4"/>
      <c r="H761" s="4"/>
      <c r="I761" s="4"/>
      <c r="J761" s="4"/>
      <c r="K761" s="4"/>
      <c r="L761" s="4"/>
      <c r="M761" s="4"/>
      <c r="N761" s="4"/>
      <c r="O761" s="4"/>
      <c r="P761" s="4"/>
      <c r="Q761" s="4"/>
      <c r="R761" s="4"/>
      <c r="S761" s="4"/>
      <c r="T761" s="4"/>
      <c r="U761" s="4"/>
      <c r="V761" s="4"/>
      <c r="W761" s="4"/>
      <c r="X761" s="4"/>
      <c r="Y761" s="4"/>
      <c r="Z761" s="4"/>
    </row>
    <row r="762" spans="2:26" ht="15" x14ac:dyDescent="0.25">
      <c r="B762" s="4"/>
      <c r="C762" s="4"/>
      <c r="D762" s="5"/>
      <c r="E762" s="4"/>
      <c r="F762" s="4"/>
      <c r="G762" s="4"/>
      <c r="H762" s="4"/>
      <c r="I762" s="4"/>
      <c r="J762" s="4"/>
      <c r="K762" s="4"/>
      <c r="L762" s="4"/>
      <c r="M762" s="4"/>
      <c r="N762" s="4"/>
      <c r="O762" s="4"/>
      <c r="P762" s="4"/>
      <c r="Q762" s="4"/>
      <c r="R762" s="4"/>
      <c r="S762" s="4"/>
      <c r="T762" s="4"/>
      <c r="U762" s="4"/>
      <c r="V762" s="4"/>
      <c r="W762" s="4"/>
      <c r="X762" s="4"/>
      <c r="Y762" s="4"/>
      <c r="Z762" s="4"/>
    </row>
    <row r="763" spans="2:26" ht="15" x14ac:dyDescent="0.25">
      <c r="B763" s="4"/>
      <c r="C763" s="4"/>
      <c r="D763" s="5"/>
      <c r="E763" s="4"/>
      <c r="F763" s="4"/>
      <c r="G763" s="4"/>
      <c r="H763" s="4"/>
      <c r="I763" s="4"/>
      <c r="J763" s="4"/>
      <c r="K763" s="4"/>
      <c r="L763" s="4"/>
      <c r="M763" s="4"/>
      <c r="N763" s="4"/>
      <c r="O763" s="4"/>
      <c r="P763" s="4"/>
      <c r="Q763" s="4"/>
      <c r="R763" s="4"/>
      <c r="S763" s="4"/>
      <c r="T763" s="4"/>
      <c r="U763" s="4"/>
      <c r="V763" s="4"/>
      <c r="W763" s="4"/>
      <c r="X763" s="4"/>
      <c r="Y763" s="4"/>
      <c r="Z763" s="4"/>
    </row>
    <row r="764" spans="2:26" ht="15" x14ac:dyDescent="0.25">
      <c r="B764" s="4"/>
      <c r="C764" s="4"/>
      <c r="D764" s="5"/>
      <c r="E764" s="4"/>
      <c r="F764" s="4"/>
      <c r="G764" s="4"/>
      <c r="H764" s="4"/>
      <c r="I764" s="4"/>
      <c r="J764" s="4"/>
      <c r="K764" s="4"/>
      <c r="L764" s="4"/>
      <c r="M764" s="4"/>
      <c r="N764" s="4"/>
      <c r="O764" s="4"/>
      <c r="P764" s="4"/>
      <c r="Q764" s="4"/>
      <c r="R764" s="4"/>
      <c r="S764" s="4"/>
      <c r="T764" s="4"/>
      <c r="U764" s="4"/>
      <c r="V764" s="4"/>
      <c r="W764" s="4"/>
      <c r="X764" s="4"/>
      <c r="Y764" s="4"/>
      <c r="Z764" s="4"/>
    </row>
    <row r="765" spans="2:26" ht="15" x14ac:dyDescent="0.25">
      <c r="B765" s="4"/>
      <c r="C765" s="4"/>
      <c r="D765" s="5"/>
      <c r="E765" s="4"/>
      <c r="F765" s="4"/>
      <c r="G765" s="4"/>
      <c r="H765" s="4"/>
      <c r="I765" s="4"/>
      <c r="J765" s="4"/>
      <c r="K765" s="4"/>
      <c r="L765" s="4"/>
      <c r="M765" s="4"/>
      <c r="N765" s="4"/>
      <c r="O765" s="4"/>
      <c r="P765" s="4"/>
      <c r="Q765" s="4"/>
      <c r="R765" s="4"/>
      <c r="S765" s="4"/>
      <c r="T765" s="4"/>
      <c r="U765" s="4"/>
      <c r="V765" s="4"/>
      <c r="W765" s="4"/>
      <c r="X765" s="4"/>
      <c r="Y765" s="4"/>
      <c r="Z765" s="4"/>
    </row>
    <row r="766" spans="2:26" ht="15" x14ac:dyDescent="0.25">
      <c r="B766" s="4"/>
      <c r="C766" s="4"/>
      <c r="D766" s="5"/>
      <c r="E766" s="4"/>
      <c r="F766" s="4"/>
      <c r="G766" s="4"/>
      <c r="H766" s="4"/>
      <c r="I766" s="4"/>
      <c r="J766" s="4"/>
      <c r="K766" s="4"/>
      <c r="L766" s="4"/>
      <c r="M766" s="4"/>
      <c r="N766" s="4"/>
      <c r="O766" s="4"/>
      <c r="P766" s="4"/>
      <c r="Q766" s="4"/>
      <c r="R766" s="4"/>
      <c r="S766" s="4"/>
      <c r="T766" s="4"/>
      <c r="U766" s="4"/>
      <c r="V766" s="4"/>
      <c r="W766" s="4"/>
      <c r="X766" s="4"/>
      <c r="Y766" s="4"/>
      <c r="Z766" s="4"/>
    </row>
    <row r="767" spans="2:26" ht="15" x14ac:dyDescent="0.25">
      <c r="B767" s="4"/>
      <c r="C767" s="4"/>
      <c r="D767" s="5"/>
      <c r="E767" s="4"/>
      <c r="F767" s="4"/>
      <c r="G767" s="4"/>
      <c r="H767" s="4"/>
      <c r="I767" s="4"/>
      <c r="J767" s="4"/>
      <c r="K767" s="4"/>
      <c r="L767" s="4"/>
      <c r="M767" s="4"/>
      <c r="N767" s="4"/>
      <c r="O767" s="4"/>
      <c r="P767" s="4"/>
      <c r="Q767" s="4"/>
      <c r="R767" s="4"/>
      <c r="S767" s="4"/>
      <c r="T767" s="4"/>
      <c r="U767" s="4"/>
      <c r="V767" s="4"/>
      <c r="W767" s="4"/>
      <c r="X767" s="4"/>
      <c r="Y767" s="4"/>
      <c r="Z767" s="4"/>
    </row>
    <row r="768" spans="2:26" ht="15" x14ac:dyDescent="0.25">
      <c r="B768" s="4"/>
      <c r="C768" s="4"/>
      <c r="D768" s="5"/>
      <c r="E768" s="4"/>
      <c r="F768" s="4"/>
      <c r="G768" s="4"/>
      <c r="H768" s="4"/>
      <c r="I768" s="4"/>
      <c r="J768" s="4"/>
      <c r="K768" s="4"/>
      <c r="L768" s="4"/>
      <c r="M768" s="4"/>
      <c r="N768" s="4"/>
      <c r="O768" s="4"/>
      <c r="P768" s="4"/>
      <c r="Q768" s="4"/>
      <c r="R768" s="4"/>
      <c r="S768" s="4"/>
      <c r="T768" s="4"/>
      <c r="U768" s="4"/>
      <c r="V768" s="4"/>
      <c r="W768" s="4"/>
      <c r="X768" s="4"/>
      <c r="Y768" s="4"/>
      <c r="Z768" s="4"/>
    </row>
    <row r="769" spans="2:26" ht="15" x14ac:dyDescent="0.25">
      <c r="B769" s="4"/>
      <c r="C769" s="4"/>
      <c r="D769" s="5"/>
      <c r="E769" s="4"/>
      <c r="F769" s="4"/>
      <c r="G769" s="4"/>
      <c r="H769" s="4"/>
      <c r="I769" s="4"/>
      <c r="J769" s="4"/>
      <c r="K769" s="4"/>
      <c r="L769" s="4"/>
      <c r="M769" s="4"/>
      <c r="N769" s="4"/>
      <c r="O769" s="4"/>
      <c r="P769" s="4"/>
      <c r="Q769" s="4"/>
      <c r="R769" s="4"/>
      <c r="S769" s="4"/>
      <c r="T769" s="4"/>
      <c r="U769" s="4"/>
      <c r="V769" s="4"/>
      <c r="W769" s="4"/>
      <c r="X769" s="4"/>
      <c r="Y769" s="4"/>
      <c r="Z769" s="4"/>
    </row>
    <row r="770" spans="2:26" ht="15" x14ac:dyDescent="0.25">
      <c r="B770" s="4"/>
      <c r="C770" s="4"/>
      <c r="D770" s="5"/>
      <c r="E770" s="4"/>
      <c r="F770" s="4"/>
      <c r="G770" s="4"/>
      <c r="H770" s="4"/>
      <c r="I770" s="4"/>
      <c r="J770" s="4"/>
      <c r="K770" s="4"/>
      <c r="L770" s="4"/>
      <c r="M770" s="4"/>
      <c r="N770" s="4"/>
      <c r="O770" s="4"/>
      <c r="P770" s="4"/>
      <c r="Q770" s="4"/>
      <c r="R770" s="4"/>
      <c r="S770" s="4"/>
      <c r="T770" s="4"/>
      <c r="U770" s="4"/>
      <c r="V770" s="4"/>
      <c r="W770" s="4"/>
      <c r="X770" s="4"/>
      <c r="Y770" s="4"/>
      <c r="Z770" s="4"/>
    </row>
    <row r="771" spans="2:26" ht="15" x14ac:dyDescent="0.25">
      <c r="B771" s="4"/>
      <c r="C771" s="4"/>
      <c r="D771" s="5"/>
      <c r="E771" s="4"/>
      <c r="F771" s="4"/>
      <c r="G771" s="4"/>
      <c r="H771" s="4"/>
      <c r="I771" s="4"/>
      <c r="J771" s="4"/>
      <c r="K771" s="4"/>
      <c r="L771" s="4"/>
      <c r="M771" s="4"/>
      <c r="N771" s="4"/>
      <c r="O771" s="4"/>
      <c r="P771" s="4"/>
      <c r="Q771" s="4"/>
      <c r="R771" s="4"/>
      <c r="S771" s="4"/>
      <c r="T771" s="4"/>
      <c r="U771" s="4"/>
      <c r="V771" s="4"/>
      <c r="W771" s="4"/>
      <c r="X771" s="4"/>
      <c r="Y771" s="4"/>
      <c r="Z771" s="4"/>
    </row>
    <row r="772" spans="2:26" ht="15" x14ac:dyDescent="0.25">
      <c r="B772" s="4"/>
      <c r="C772" s="4"/>
      <c r="D772" s="5"/>
      <c r="E772" s="4"/>
      <c r="F772" s="4"/>
      <c r="G772" s="4"/>
      <c r="H772" s="4"/>
      <c r="I772" s="4"/>
      <c r="J772" s="4"/>
      <c r="K772" s="4"/>
      <c r="L772" s="4"/>
      <c r="M772" s="4"/>
      <c r="N772" s="4"/>
      <c r="O772" s="4"/>
      <c r="P772" s="4"/>
      <c r="Q772" s="4"/>
      <c r="R772" s="4"/>
      <c r="S772" s="4"/>
      <c r="T772" s="4"/>
      <c r="U772" s="4"/>
      <c r="V772" s="4"/>
      <c r="W772" s="4"/>
      <c r="X772" s="4"/>
      <c r="Y772" s="4"/>
      <c r="Z772" s="4"/>
    </row>
    <row r="773" spans="2:26" ht="15" x14ac:dyDescent="0.25">
      <c r="B773" s="4"/>
      <c r="C773" s="4"/>
      <c r="D773" s="5"/>
      <c r="E773" s="4"/>
      <c r="F773" s="4"/>
      <c r="G773" s="4"/>
      <c r="H773" s="4"/>
      <c r="I773" s="4"/>
      <c r="J773" s="4"/>
      <c r="K773" s="4"/>
      <c r="L773" s="4"/>
      <c r="M773" s="4"/>
      <c r="N773" s="4"/>
      <c r="O773" s="4"/>
      <c r="P773" s="4"/>
      <c r="Q773" s="4"/>
      <c r="R773" s="4"/>
      <c r="S773" s="4"/>
      <c r="T773" s="4"/>
      <c r="U773" s="4"/>
      <c r="V773" s="4"/>
      <c r="W773" s="4"/>
      <c r="X773" s="4"/>
      <c r="Y773" s="4"/>
      <c r="Z773" s="4"/>
    </row>
    <row r="774" spans="2:26" ht="15" x14ac:dyDescent="0.25">
      <c r="B774" s="4"/>
      <c r="C774" s="4"/>
      <c r="D774" s="5"/>
      <c r="E774" s="4"/>
      <c r="F774" s="4"/>
      <c r="G774" s="4"/>
      <c r="H774" s="4"/>
      <c r="I774" s="4"/>
      <c r="J774" s="4"/>
      <c r="K774" s="4"/>
      <c r="L774" s="4"/>
      <c r="M774" s="4"/>
      <c r="N774" s="4"/>
      <c r="O774" s="4"/>
      <c r="P774" s="4"/>
      <c r="Q774" s="4"/>
      <c r="R774" s="4"/>
      <c r="S774" s="4"/>
      <c r="T774" s="4"/>
      <c r="U774" s="4"/>
      <c r="V774" s="4"/>
      <c r="W774" s="4"/>
      <c r="X774" s="4"/>
      <c r="Y774" s="4"/>
      <c r="Z774" s="4"/>
    </row>
    <row r="775" spans="2:26" ht="15" x14ac:dyDescent="0.25">
      <c r="B775" s="4"/>
      <c r="C775" s="4"/>
      <c r="D775" s="5"/>
      <c r="E775" s="4"/>
      <c r="F775" s="4"/>
      <c r="G775" s="4"/>
      <c r="H775" s="4"/>
      <c r="I775" s="4"/>
      <c r="J775" s="4"/>
      <c r="K775" s="4"/>
      <c r="L775" s="4"/>
      <c r="M775" s="4"/>
      <c r="N775" s="4"/>
      <c r="O775" s="4"/>
      <c r="P775" s="4"/>
      <c r="Q775" s="4"/>
      <c r="R775" s="4"/>
      <c r="S775" s="4"/>
      <c r="T775" s="4"/>
      <c r="U775" s="4"/>
      <c r="V775" s="4"/>
      <c r="W775" s="4"/>
      <c r="X775" s="4"/>
      <c r="Y775" s="4"/>
      <c r="Z775" s="4"/>
    </row>
    <row r="776" spans="2:26" ht="15" x14ac:dyDescent="0.25">
      <c r="B776" s="4"/>
      <c r="C776" s="4"/>
      <c r="D776" s="5"/>
      <c r="E776" s="4"/>
      <c r="F776" s="4"/>
      <c r="G776" s="4"/>
      <c r="H776" s="4"/>
      <c r="I776" s="4"/>
      <c r="J776" s="4"/>
      <c r="K776" s="4"/>
      <c r="L776" s="4"/>
      <c r="M776" s="4"/>
      <c r="N776" s="4"/>
      <c r="O776" s="4"/>
      <c r="P776" s="4"/>
      <c r="Q776" s="4"/>
      <c r="R776" s="4"/>
      <c r="S776" s="4"/>
      <c r="T776" s="4"/>
      <c r="U776" s="4"/>
      <c r="V776" s="4"/>
      <c r="W776" s="4"/>
      <c r="X776" s="4"/>
      <c r="Y776" s="4"/>
      <c r="Z776" s="4"/>
    </row>
    <row r="777" spans="2:26" ht="15" x14ac:dyDescent="0.25">
      <c r="B777" s="4"/>
      <c r="C777" s="4"/>
      <c r="D777" s="5"/>
      <c r="E777" s="4"/>
      <c r="F777" s="4"/>
      <c r="G777" s="4"/>
      <c r="H777" s="4"/>
      <c r="I777" s="4"/>
      <c r="J777" s="4"/>
      <c r="K777" s="4"/>
      <c r="L777" s="4"/>
      <c r="M777" s="4"/>
      <c r="N777" s="4"/>
      <c r="O777" s="4"/>
      <c r="P777" s="4"/>
      <c r="Q777" s="4"/>
      <c r="R777" s="4"/>
      <c r="S777" s="4"/>
      <c r="T777" s="4"/>
      <c r="U777" s="4"/>
      <c r="V777" s="4"/>
      <c r="W777" s="4"/>
      <c r="X777" s="4"/>
      <c r="Y777" s="4"/>
      <c r="Z777" s="4"/>
    </row>
    <row r="778" spans="2:26" ht="15" x14ac:dyDescent="0.25">
      <c r="B778" s="4"/>
      <c r="C778" s="4"/>
      <c r="D778" s="5"/>
      <c r="E778" s="4"/>
      <c r="F778" s="4"/>
      <c r="G778" s="4"/>
      <c r="H778" s="4"/>
      <c r="I778" s="4"/>
      <c r="J778" s="4"/>
      <c r="K778" s="4"/>
      <c r="L778" s="4"/>
      <c r="M778" s="4"/>
      <c r="N778" s="4"/>
      <c r="O778" s="4"/>
      <c r="P778" s="4"/>
      <c r="Q778" s="4"/>
      <c r="R778" s="4"/>
      <c r="S778" s="4"/>
      <c r="T778" s="4"/>
      <c r="U778" s="4"/>
      <c r="V778" s="4"/>
      <c r="W778" s="4"/>
      <c r="X778" s="4"/>
      <c r="Y778" s="4"/>
      <c r="Z778" s="4"/>
    </row>
    <row r="779" spans="2:26" ht="15" x14ac:dyDescent="0.25">
      <c r="B779" s="4"/>
      <c r="C779" s="4"/>
      <c r="D779" s="5"/>
      <c r="E779" s="4"/>
      <c r="F779" s="4"/>
      <c r="G779" s="4"/>
      <c r="H779" s="4"/>
      <c r="I779" s="4"/>
      <c r="J779" s="4"/>
      <c r="K779" s="4"/>
      <c r="L779" s="4"/>
      <c r="M779" s="4"/>
      <c r="N779" s="4"/>
      <c r="O779" s="4"/>
      <c r="P779" s="4"/>
      <c r="Q779" s="4"/>
      <c r="R779" s="4"/>
      <c r="S779" s="4"/>
      <c r="T779" s="4"/>
      <c r="U779" s="4"/>
      <c r="V779" s="4"/>
      <c r="W779" s="4"/>
      <c r="X779" s="4"/>
      <c r="Y779" s="4"/>
      <c r="Z779" s="4"/>
    </row>
    <row r="780" spans="2:26" ht="15" x14ac:dyDescent="0.25">
      <c r="B780" s="4"/>
      <c r="C780" s="4"/>
      <c r="D780" s="5"/>
      <c r="E780" s="4"/>
      <c r="F780" s="4"/>
      <c r="G780" s="4"/>
      <c r="H780" s="4"/>
      <c r="I780" s="4"/>
      <c r="J780" s="4"/>
      <c r="K780" s="4"/>
      <c r="L780" s="4"/>
      <c r="M780" s="4"/>
      <c r="N780" s="4"/>
      <c r="O780" s="4"/>
      <c r="P780" s="4"/>
      <c r="Q780" s="4"/>
      <c r="R780" s="4"/>
      <c r="S780" s="4"/>
      <c r="T780" s="4"/>
      <c r="U780" s="4"/>
      <c r="V780" s="4"/>
      <c r="W780" s="4"/>
      <c r="X780" s="4"/>
      <c r="Y780" s="4"/>
      <c r="Z780" s="4"/>
    </row>
    <row r="781" spans="2:26" ht="15" x14ac:dyDescent="0.25">
      <c r="B781" s="4"/>
      <c r="C781" s="4"/>
      <c r="D781" s="5"/>
      <c r="E781" s="4"/>
      <c r="F781" s="4"/>
      <c r="G781" s="4"/>
      <c r="H781" s="4"/>
      <c r="I781" s="4"/>
      <c r="J781" s="4"/>
      <c r="K781" s="4"/>
      <c r="L781" s="4"/>
      <c r="M781" s="4"/>
      <c r="N781" s="4"/>
      <c r="O781" s="4"/>
      <c r="P781" s="4"/>
      <c r="Q781" s="4"/>
      <c r="R781" s="4"/>
      <c r="S781" s="4"/>
      <c r="T781" s="4"/>
      <c r="U781" s="4"/>
      <c r="V781" s="4"/>
      <c r="W781" s="4"/>
      <c r="X781" s="4"/>
      <c r="Y781" s="4"/>
      <c r="Z781" s="4"/>
    </row>
    <row r="782" spans="2:26" ht="15" x14ac:dyDescent="0.25">
      <c r="B782" s="4"/>
      <c r="C782" s="4"/>
      <c r="D782" s="5"/>
      <c r="E782" s="4"/>
      <c r="F782" s="4"/>
      <c r="G782" s="4"/>
      <c r="H782" s="4"/>
      <c r="I782" s="4"/>
      <c r="J782" s="4"/>
      <c r="K782" s="4"/>
      <c r="L782" s="4"/>
      <c r="M782" s="4"/>
      <c r="N782" s="4"/>
      <c r="O782" s="4"/>
      <c r="P782" s="4"/>
      <c r="Q782" s="4"/>
      <c r="R782" s="4"/>
      <c r="S782" s="4"/>
      <c r="T782" s="4"/>
      <c r="U782" s="4"/>
      <c r="V782" s="4"/>
      <c r="W782" s="4"/>
      <c r="X782" s="4"/>
      <c r="Y782" s="4"/>
      <c r="Z782" s="4"/>
    </row>
    <row r="783" spans="2:26" ht="15" x14ac:dyDescent="0.25">
      <c r="B783" s="4"/>
      <c r="C783" s="4"/>
      <c r="D783" s="5"/>
      <c r="E783" s="4"/>
      <c r="F783" s="4"/>
      <c r="G783" s="4"/>
      <c r="H783" s="4"/>
      <c r="I783" s="4"/>
      <c r="J783" s="4"/>
      <c r="K783" s="4"/>
      <c r="L783" s="4"/>
      <c r="M783" s="4"/>
      <c r="N783" s="4"/>
      <c r="O783" s="4"/>
      <c r="P783" s="4"/>
      <c r="Q783" s="4"/>
      <c r="R783" s="4"/>
      <c r="S783" s="4"/>
      <c r="T783" s="4"/>
      <c r="U783" s="4"/>
      <c r="V783" s="4"/>
      <c r="W783" s="4"/>
      <c r="X783" s="4"/>
      <c r="Y783" s="4"/>
      <c r="Z783" s="4"/>
    </row>
    <row r="784" spans="2:26" ht="15" x14ac:dyDescent="0.25">
      <c r="B784" s="4"/>
      <c r="C784" s="4"/>
      <c r="D784" s="5"/>
      <c r="E784" s="4"/>
      <c r="F784" s="4"/>
      <c r="G784" s="4"/>
      <c r="H784" s="4"/>
      <c r="I784" s="4"/>
      <c r="J784" s="4"/>
      <c r="K784" s="4"/>
      <c r="L784" s="4"/>
      <c r="M784" s="4"/>
      <c r="N784" s="4"/>
      <c r="O784" s="4"/>
      <c r="P784" s="4"/>
      <c r="Q784" s="4"/>
      <c r="R784" s="4"/>
      <c r="S784" s="4"/>
      <c r="T784" s="4"/>
      <c r="U784" s="4"/>
      <c r="V784" s="4"/>
      <c r="W784" s="4"/>
      <c r="X784" s="4"/>
      <c r="Y784" s="4"/>
      <c r="Z784" s="4"/>
    </row>
    <row r="785" spans="2:26" ht="15" x14ac:dyDescent="0.25">
      <c r="B785" s="4"/>
      <c r="C785" s="4"/>
      <c r="D785" s="5"/>
      <c r="E785" s="4"/>
      <c r="F785" s="4"/>
      <c r="G785" s="4"/>
      <c r="H785" s="4"/>
      <c r="I785" s="4"/>
      <c r="J785" s="4"/>
      <c r="K785" s="4"/>
      <c r="L785" s="4"/>
      <c r="M785" s="4"/>
      <c r="N785" s="4"/>
      <c r="O785" s="4"/>
      <c r="P785" s="4"/>
      <c r="Q785" s="4"/>
      <c r="R785" s="4"/>
      <c r="S785" s="4"/>
      <c r="T785" s="4"/>
      <c r="U785" s="4"/>
      <c r="V785" s="4"/>
      <c r="W785" s="4"/>
      <c r="X785" s="4"/>
      <c r="Y785" s="4"/>
      <c r="Z785" s="4"/>
    </row>
    <row r="786" spans="2:26" ht="15" x14ac:dyDescent="0.25">
      <c r="B786" s="4"/>
      <c r="C786" s="4"/>
      <c r="D786" s="5"/>
      <c r="E786" s="4"/>
      <c r="F786" s="4"/>
      <c r="G786" s="4"/>
      <c r="H786" s="4"/>
      <c r="I786" s="4"/>
      <c r="J786" s="4"/>
      <c r="K786" s="4"/>
      <c r="L786" s="4"/>
      <c r="M786" s="4"/>
      <c r="N786" s="4"/>
      <c r="O786" s="4"/>
      <c r="P786" s="4"/>
      <c r="Q786" s="4"/>
      <c r="R786" s="4"/>
      <c r="S786" s="4"/>
      <c r="T786" s="4"/>
      <c r="U786" s="4"/>
      <c r="V786" s="4"/>
      <c r="W786" s="4"/>
      <c r="X786" s="4"/>
      <c r="Y786" s="4"/>
      <c r="Z786" s="4"/>
    </row>
    <row r="787" spans="2:26" ht="15" x14ac:dyDescent="0.25">
      <c r="B787" s="4"/>
      <c r="C787" s="4"/>
      <c r="D787" s="5"/>
      <c r="E787" s="4"/>
      <c r="F787" s="4"/>
      <c r="G787" s="4"/>
      <c r="H787" s="4"/>
      <c r="I787" s="4"/>
      <c r="J787" s="4"/>
      <c r="K787" s="4"/>
      <c r="L787" s="4"/>
      <c r="M787" s="4"/>
      <c r="N787" s="4"/>
      <c r="O787" s="4"/>
      <c r="P787" s="4"/>
      <c r="Q787" s="4"/>
      <c r="R787" s="4"/>
      <c r="S787" s="4"/>
      <c r="T787" s="4"/>
      <c r="U787" s="4"/>
      <c r="V787" s="4"/>
      <c r="W787" s="4"/>
      <c r="X787" s="4"/>
      <c r="Y787" s="4"/>
      <c r="Z787" s="4"/>
    </row>
    <row r="788" spans="2:26" ht="15" x14ac:dyDescent="0.25">
      <c r="B788" s="4"/>
      <c r="C788" s="4"/>
      <c r="D788" s="5"/>
      <c r="E788" s="4"/>
      <c r="F788" s="4"/>
      <c r="G788" s="4"/>
      <c r="H788" s="4"/>
      <c r="I788" s="4"/>
      <c r="J788" s="4"/>
      <c r="K788" s="4"/>
      <c r="L788" s="4"/>
      <c r="M788" s="4"/>
      <c r="N788" s="4"/>
      <c r="O788" s="4"/>
      <c r="P788" s="4"/>
      <c r="Q788" s="4"/>
      <c r="R788" s="4"/>
      <c r="S788" s="4"/>
      <c r="T788" s="4"/>
      <c r="U788" s="4"/>
      <c r="V788" s="4"/>
      <c r="W788" s="4"/>
      <c r="X788" s="4"/>
      <c r="Y788" s="4"/>
      <c r="Z788" s="4"/>
    </row>
    <row r="789" spans="2:26" ht="15" x14ac:dyDescent="0.25">
      <c r="B789" s="4"/>
      <c r="C789" s="4"/>
      <c r="D789" s="5"/>
      <c r="E789" s="4"/>
      <c r="F789" s="4"/>
      <c r="G789" s="4"/>
      <c r="H789" s="4"/>
      <c r="I789" s="4"/>
      <c r="J789" s="4"/>
      <c r="K789" s="4"/>
      <c r="L789" s="4"/>
      <c r="M789" s="4"/>
      <c r="N789" s="4"/>
      <c r="O789" s="4"/>
      <c r="P789" s="4"/>
      <c r="Q789" s="4"/>
      <c r="R789" s="4"/>
      <c r="S789" s="4"/>
      <c r="T789" s="4"/>
      <c r="U789" s="4"/>
      <c r="V789" s="4"/>
      <c r="W789" s="4"/>
      <c r="X789" s="4"/>
      <c r="Y789" s="4"/>
      <c r="Z789" s="4"/>
    </row>
    <row r="790" spans="2:26" ht="15" x14ac:dyDescent="0.25">
      <c r="B790" s="4"/>
      <c r="C790" s="4"/>
      <c r="D790" s="5"/>
      <c r="E790" s="4"/>
      <c r="F790" s="4"/>
      <c r="G790" s="4"/>
      <c r="H790" s="4"/>
      <c r="I790" s="4"/>
      <c r="J790" s="4"/>
      <c r="K790" s="4"/>
      <c r="L790" s="4"/>
      <c r="M790" s="4"/>
      <c r="N790" s="4"/>
      <c r="O790" s="4"/>
      <c r="P790" s="4"/>
      <c r="Q790" s="4"/>
      <c r="R790" s="4"/>
      <c r="S790" s="4"/>
      <c r="T790" s="4"/>
      <c r="U790" s="4"/>
      <c r="V790" s="4"/>
      <c r="W790" s="4"/>
      <c r="X790" s="4"/>
      <c r="Y790" s="4"/>
      <c r="Z790" s="4"/>
    </row>
    <row r="791" spans="2:26" ht="15" x14ac:dyDescent="0.25">
      <c r="B791" s="4"/>
      <c r="C791" s="4"/>
      <c r="D791" s="5"/>
      <c r="E791" s="4"/>
      <c r="F791" s="4"/>
      <c r="G791" s="4"/>
      <c r="H791" s="4"/>
      <c r="I791" s="4"/>
      <c r="J791" s="4"/>
      <c r="K791" s="4"/>
      <c r="L791" s="4"/>
      <c r="M791" s="4"/>
      <c r="N791" s="4"/>
      <c r="O791" s="4"/>
      <c r="P791" s="4"/>
      <c r="Q791" s="4"/>
      <c r="R791" s="4"/>
      <c r="S791" s="4"/>
      <c r="T791" s="4"/>
      <c r="U791" s="4"/>
      <c r="V791" s="4"/>
      <c r="W791" s="4"/>
      <c r="X791" s="4"/>
      <c r="Y791" s="4"/>
      <c r="Z791" s="4"/>
    </row>
    <row r="792" spans="2:26" ht="15" x14ac:dyDescent="0.25">
      <c r="B792" s="4"/>
      <c r="C792" s="4"/>
      <c r="D792" s="5"/>
      <c r="E792" s="4"/>
      <c r="F792" s="4"/>
      <c r="G792" s="4"/>
      <c r="H792" s="4"/>
      <c r="I792" s="4"/>
      <c r="J792" s="4"/>
      <c r="K792" s="4"/>
      <c r="L792" s="4"/>
      <c r="M792" s="4"/>
      <c r="N792" s="4"/>
      <c r="O792" s="4"/>
      <c r="P792" s="4"/>
      <c r="Q792" s="4"/>
      <c r="R792" s="4"/>
      <c r="S792" s="4"/>
      <c r="T792" s="4"/>
      <c r="U792" s="4"/>
      <c r="V792" s="4"/>
      <c r="W792" s="4"/>
      <c r="X792" s="4"/>
      <c r="Y792" s="4"/>
      <c r="Z792" s="4"/>
    </row>
    <row r="793" spans="2:26" ht="15" x14ac:dyDescent="0.25">
      <c r="B793" s="4"/>
      <c r="C793" s="4"/>
      <c r="D793" s="5"/>
      <c r="E793" s="4"/>
      <c r="F793" s="4"/>
      <c r="G793" s="4"/>
      <c r="H793" s="4"/>
      <c r="I793" s="4"/>
      <c r="J793" s="4"/>
      <c r="K793" s="4"/>
      <c r="L793" s="4"/>
      <c r="M793" s="4"/>
      <c r="N793" s="4"/>
      <c r="O793" s="4"/>
      <c r="P793" s="4"/>
      <c r="Q793" s="4"/>
      <c r="R793" s="4"/>
      <c r="S793" s="4"/>
      <c r="T793" s="4"/>
      <c r="U793" s="4"/>
      <c r="V793" s="4"/>
      <c r="W793" s="4"/>
      <c r="X793" s="4"/>
      <c r="Y793" s="4"/>
      <c r="Z793" s="4"/>
    </row>
    <row r="794" spans="2:26" ht="15" x14ac:dyDescent="0.25">
      <c r="B794" s="4"/>
      <c r="C794" s="4"/>
      <c r="D794" s="5"/>
      <c r="E794" s="4"/>
      <c r="F794" s="4"/>
      <c r="G794" s="4"/>
      <c r="H794" s="4"/>
      <c r="I794" s="4"/>
      <c r="J794" s="4"/>
      <c r="K794" s="4"/>
      <c r="L794" s="4"/>
      <c r="M794" s="4"/>
      <c r="N794" s="4"/>
      <c r="O794" s="4"/>
      <c r="P794" s="4"/>
      <c r="Q794" s="4"/>
      <c r="R794" s="4"/>
      <c r="S794" s="4"/>
      <c r="T794" s="4"/>
      <c r="U794" s="4"/>
      <c r="V794" s="4"/>
      <c r="W794" s="4"/>
      <c r="X794" s="4"/>
      <c r="Y794" s="4"/>
      <c r="Z794" s="4"/>
    </row>
    <row r="795" spans="2:26" ht="15" x14ac:dyDescent="0.25">
      <c r="B795" s="4"/>
      <c r="C795" s="4"/>
      <c r="D795" s="5"/>
      <c r="E795" s="4"/>
      <c r="F795" s="4"/>
      <c r="G795" s="4"/>
      <c r="H795" s="4"/>
      <c r="I795" s="4"/>
      <c r="J795" s="4"/>
      <c r="K795" s="4"/>
      <c r="L795" s="4"/>
      <c r="M795" s="4"/>
      <c r="N795" s="4"/>
      <c r="O795" s="4"/>
      <c r="P795" s="4"/>
      <c r="Q795" s="4"/>
      <c r="R795" s="4"/>
      <c r="S795" s="4"/>
      <c r="T795" s="4"/>
      <c r="U795" s="4"/>
      <c r="V795" s="4"/>
      <c r="W795" s="4"/>
      <c r="X795" s="4"/>
      <c r="Y795" s="4"/>
      <c r="Z795" s="4"/>
    </row>
    <row r="796" spans="2:26" ht="15" x14ac:dyDescent="0.25">
      <c r="B796" s="4"/>
      <c r="C796" s="4"/>
      <c r="D796" s="5"/>
      <c r="E796" s="4"/>
      <c r="F796" s="4"/>
      <c r="G796" s="4"/>
      <c r="H796" s="4"/>
      <c r="I796" s="4"/>
      <c r="J796" s="4"/>
      <c r="K796" s="4"/>
      <c r="L796" s="4"/>
      <c r="M796" s="4"/>
      <c r="N796" s="4"/>
      <c r="O796" s="4"/>
      <c r="P796" s="4"/>
      <c r="Q796" s="4"/>
      <c r="R796" s="4"/>
      <c r="S796" s="4"/>
      <c r="T796" s="4"/>
      <c r="U796" s="4"/>
      <c r="V796" s="4"/>
      <c r="W796" s="4"/>
      <c r="X796" s="4"/>
      <c r="Y796" s="4"/>
      <c r="Z796" s="4"/>
    </row>
    <row r="797" spans="2:26" ht="15" x14ac:dyDescent="0.25">
      <c r="B797" s="4"/>
      <c r="C797" s="4"/>
      <c r="D797" s="5"/>
      <c r="E797" s="4"/>
      <c r="F797" s="4"/>
      <c r="G797" s="4"/>
      <c r="H797" s="4"/>
      <c r="I797" s="4"/>
      <c r="J797" s="4"/>
      <c r="K797" s="4"/>
      <c r="L797" s="4"/>
      <c r="M797" s="4"/>
      <c r="N797" s="4"/>
      <c r="O797" s="4"/>
      <c r="P797" s="4"/>
      <c r="Q797" s="4"/>
      <c r="R797" s="4"/>
      <c r="S797" s="4"/>
      <c r="T797" s="4"/>
      <c r="U797" s="4"/>
      <c r="V797" s="4"/>
      <c r="W797" s="4"/>
      <c r="X797" s="4"/>
      <c r="Y797" s="4"/>
      <c r="Z797" s="4"/>
    </row>
    <row r="798" spans="2:26" ht="15" x14ac:dyDescent="0.25">
      <c r="B798" s="4"/>
      <c r="C798" s="4"/>
      <c r="D798" s="5"/>
      <c r="E798" s="4"/>
      <c r="F798" s="4"/>
      <c r="G798" s="4"/>
      <c r="H798" s="4"/>
      <c r="I798" s="4"/>
      <c r="J798" s="4"/>
      <c r="K798" s="4"/>
      <c r="L798" s="4"/>
      <c r="M798" s="4"/>
      <c r="N798" s="4"/>
      <c r="O798" s="4"/>
      <c r="P798" s="4"/>
      <c r="Q798" s="4"/>
      <c r="R798" s="4"/>
      <c r="S798" s="4"/>
      <c r="T798" s="4"/>
      <c r="U798" s="4"/>
      <c r="V798" s="4"/>
      <c r="W798" s="4"/>
      <c r="X798" s="4"/>
      <c r="Y798" s="4"/>
      <c r="Z798" s="4"/>
    </row>
    <row r="799" spans="2:26" ht="15" x14ac:dyDescent="0.25">
      <c r="B799" s="4"/>
      <c r="C799" s="4"/>
      <c r="D799" s="5"/>
      <c r="E799" s="4"/>
      <c r="F799" s="4"/>
      <c r="G799" s="4"/>
      <c r="H799" s="4"/>
      <c r="I799" s="4"/>
      <c r="J799" s="4"/>
      <c r="K799" s="4"/>
      <c r="L799" s="4"/>
      <c r="M799" s="4"/>
      <c r="N799" s="4"/>
      <c r="O799" s="4"/>
      <c r="P799" s="4"/>
      <c r="Q799" s="4"/>
      <c r="R799" s="4"/>
      <c r="S799" s="4"/>
      <c r="T799" s="4"/>
      <c r="U799" s="4"/>
      <c r="V799" s="4"/>
      <c r="W799" s="4"/>
      <c r="X799" s="4"/>
      <c r="Y799" s="4"/>
      <c r="Z799" s="4"/>
    </row>
    <row r="800" spans="2:26" ht="15" x14ac:dyDescent="0.25">
      <c r="B800" s="4"/>
      <c r="C800" s="4"/>
      <c r="D800" s="5"/>
      <c r="E800" s="4"/>
      <c r="F800" s="4"/>
      <c r="G800" s="4"/>
      <c r="H800" s="4"/>
      <c r="I800" s="4"/>
      <c r="J800" s="4"/>
      <c r="K800" s="4"/>
      <c r="L800" s="4"/>
      <c r="M800" s="4"/>
      <c r="N800" s="4"/>
      <c r="O800" s="4"/>
      <c r="P800" s="4"/>
      <c r="Q800" s="4"/>
      <c r="R800" s="4"/>
      <c r="S800" s="4"/>
      <c r="T800" s="4"/>
      <c r="U800" s="4"/>
      <c r="V800" s="4"/>
      <c r="W800" s="4"/>
      <c r="X800" s="4"/>
      <c r="Y800" s="4"/>
      <c r="Z800" s="4"/>
    </row>
    <row r="801" spans="2:26" ht="15" x14ac:dyDescent="0.25">
      <c r="B801" s="4"/>
      <c r="C801" s="4"/>
      <c r="D801" s="5"/>
      <c r="E801" s="4"/>
      <c r="F801" s="4"/>
      <c r="G801" s="4"/>
      <c r="H801" s="4"/>
      <c r="I801" s="4"/>
      <c r="J801" s="4"/>
      <c r="K801" s="4"/>
      <c r="L801" s="4"/>
      <c r="M801" s="4"/>
      <c r="N801" s="4"/>
      <c r="O801" s="4"/>
      <c r="P801" s="4"/>
      <c r="Q801" s="4"/>
      <c r="R801" s="4"/>
      <c r="S801" s="4"/>
      <c r="T801" s="4"/>
      <c r="U801" s="4"/>
      <c r="V801" s="4"/>
      <c r="W801" s="4"/>
      <c r="X801" s="4"/>
      <c r="Y801" s="4"/>
      <c r="Z801" s="4"/>
    </row>
    <row r="802" spans="2:26" ht="15" x14ac:dyDescent="0.25">
      <c r="B802" s="4"/>
      <c r="C802" s="4"/>
      <c r="D802" s="5"/>
      <c r="E802" s="4"/>
      <c r="F802" s="4"/>
      <c r="G802" s="4"/>
      <c r="H802" s="4"/>
      <c r="I802" s="4"/>
      <c r="J802" s="4"/>
      <c r="K802" s="4"/>
      <c r="L802" s="4"/>
      <c r="M802" s="4"/>
      <c r="N802" s="4"/>
      <c r="O802" s="4"/>
      <c r="P802" s="4"/>
      <c r="Q802" s="4"/>
      <c r="R802" s="4"/>
      <c r="S802" s="4"/>
      <c r="T802" s="4"/>
      <c r="U802" s="4"/>
      <c r="V802" s="4"/>
      <c r="W802" s="4"/>
      <c r="X802" s="4"/>
      <c r="Y802" s="4"/>
      <c r="Z802" s="4"/>
    </row>
    <row r="803" spans="2:26" ht="15" x14ac:dyDescent="0.25">
      <c r="B803" s="4"/>
      <c r="C803" s="4"/>
      <c r="D803" s="5"/>
      <c r="E803" s="4"/>
      <c r="F803" s="4"/>
      <c r="G803" s="4"/>
      <c r="H803" s="4"/>
      <c r="I803" s="4"/>
      <c r="J803" s="4"/>
      <c r="K803" s="4"/>
      <c r="L803" s="4"/>
      <c r="M803" s="4"/>
      <c r="N803" s="4"/>
      <c r="O803" s="4"/>
      <c r="P803" s="4"/>
      <c r="Q803" s="4"/>
      <c r="R803" s="4"/>
      <c r="S803" s="4"/>
      <c r="T803" s="4"/>
      <c r="U803" s="4"/>
      <c r="V803" s="4"/>
      <c r="W803" s="4"/>
      <c r="X803" s="4"/>
      <c r="Y803" s="4"/>
      <c r="Z803" s="4"/>
    </row>
    <row r="804" spans="2:26" ht="15" x14ac:dyDescent="0.25">
      <c r="B804" s="4"/>
      <c r="C804" s="4"/>
      <c r="D804" s="5"/>
      <c r="E804" s="4"/>
      <c r="F804" s="4"/>
      <c r="G804" s="4"/>
      <c r="H804" s="4"/>
      <c r="I804" s="4"/>
      <c r="J804" s="4"/>
      <c r="K804" s="4"/>
      <c r="L804" s="4"/>
      <c r="M804" s="4"/>
      <c r="N804" s="4"/>
      <c r="O804" s="4"/>
      <c r="P804" s="4"/>
      <c r="Q804" s="4"/>
      <c r="R804" s="4"/>
      <c r="S804" s="4"/>
      <c r="T804" s="4"/>
      <c r="U804" s="4"/>
      <c r="V804" s="4"/>
      <c r="W804" s="4"/>
      <c r="X804" s="4"/>
      <c r="Y804" s="4"/>
      <c r="Z804" s="4"/>
    </row>
    <row r="805" spans="2:26" ht="15" x14ac:dyDescent="0.25">
      <c r="B805" s="4"/>
      <c r="C805" s="4"/>
      <c r="D805" s="5"/>
      <c r="E805" s="4"/>
      <c r="F805" s="4"/>
      <c r="G805" s="4"/>
      <c r="H805" s="4"/>
      <c r="I805" s="4"/>
      <c r="J805" s="4"/>
      <c r="K805" s="4"/>
      <c r="L805" s="4"/>
      <c r="M805" s="4"/>
      <c r="N805" s="4"/>
      <c r="O805" s="4"/>
      <c r="P805" s="4"/>
      <c r="Q805" s="4"/>
      <c r="R805" s="4"/>
      <c r="S805" s="4"/>
      <c r="T805" s="4"/>
      <c r="U805" s="4"/>
      <c r="V805" s="4"/>
      <c r="W805" s="4"/>
      <c r="X805" s="4"/>
      <c r="Y805" s="4"/>
      <c r="Z805" s="4"/>
    </row>
    <row r="806" spans="2:26" ht="15" x14ac:dyDescent="0.25">
      <c r="B806" s="4"/>
      <c r="C806" s="4"/>
      <c r="D806" s="5"/>
      <c r="E806" s="4"/>
      <c r="F806" s="4"/>
      <c r="G806" s="4"/>
      <c r="H806" s="4"/>
      <c r="I806" s="4"/>
      <c r="J806" s="4"/>
      <c r="K806" s="4"/>
      <c r="L806" s="4"/>
      <c r="M806" s="4"/>
      <c r="N806" s="4"/>
      <c r="O806" s="4"/>
      <c r="P806" s="4"/>
      <c r="Q806" s="4"/>
      <c r="R806" s="4"/>
      <c r="S806" s="4"/>
      <c r="T806" s="4"/>
      <c r="U806" s="4"/>
      <c r="V806" s="4"/>
      <c r="W806" s="4"/>
      <c r="X806" s="4"/>
      <c r="Y806" s="4"/>
      <c r="Z806" s="4"/>
    </row>
    <row r="807" spans="2:26" ht="15" x14ac:dyDescent="0.25">
      <c r="B807" s="4"/>
      <c r="C807" s="4"/>
      <c r="D807" s="5"/>
      <c r="E807" s="4"/>
      <c r="F807" s="4"/>
      <c r="G807" s="4"/>
      <c r="H807" s="4"/>
      <c r="I807" s="4"/>
      <c r="J807" s="4"/>
      <c r="K807" s="4"/>
      <c r="L807" s="4"/>
      <c r="M807" s="4"/>
      <c r="N807" s="4"/>
      <c r="O807" s="4"/>
      <c r="P807" s="4"/>
      <c r="Q807" s="4"/>
      <c r="R807" s="4"/>
      <c r="S807" s="4"/>
      <c r="T807" s="4"/>
      <c r="U807" s="4"/>
      <c r="V807" s="4"/>
      <c r="W807" s="4"/>
      <c r="X807" s="4"/>
      <c r="Y807" s="4"/>
      <c r="Z807" s="4"/>
    </row>
    <row r="808" spans="2:26" ht="15" x14ac:dyDescent="0.25">
      <c r="B808" s="4"/>
      <c r="C808" s="4"/>
      <c r="D808" s="5"/>
      <c r="E808" s="4"/>
      <c r="F808" s="4"/>
      <c r="G808" s="4"/>
      <c r="H808" s="4"/>
      <c r="I808" s="4"/>
      <c r="J808" s="4"/>
      <c r="K808" s="4"/>
      <c r="L808" s="4"/>
      <c r="M808" s="4"/>
      <c r="N808" s="4"/>
      <c r="O808" s="4"/>
      <c r="P808" s="4"/>
      <c r="Q808" s="4"/>
      <c r="R808" s="4"/>
      <c r="S808" s="4"/>
      <c r="T808" s="4"/>
      <c r="U808" s="4"/>
      <c r="V808" s="4"/>
      <c r="W808" s="4"/>
      <c r="X808" s="4"/>
      <c r="Y808" s="4"/>
      <c r="Z808" s="4"/>
    </row>
    <row r="809" spans="2:26" ht="15" x14ac:dyDescent="0.25">
      <c r="B809" s="4"/>
      <c r="C809" s="4"/>
      <c r="D809" s="5"/>
      <c r="E809" s="4"/>
      <c r="F809" s="4"/>
      <c r="G809" s="4"/>
      <c r="H809" s="4"/>
      <c r="I809" s="4"/>
      <c r="J809" s="4"/>
      <c r="K809" s="4"/>
      <c r="L809" s="4"/>
      <c r="M809" s="4"/>
      <c r="N809" s="4"/>
      <c r="O809" s="4"/>
      <c r="P809" s="4"/>
      <c r="Q809" s="4"/>
      <c r="R809" s="4"/>
      <c r="S809" s="4"/>
      <c r="T809" s="4"/>
      <c r="U809" s="4"/>
      <c r="V809" s="4"/>
      <c r="W809" s="4"/>
      <c r="X809" s="4"/>
      <c r="Y809" s="4"/>
      <c r="Z809" s="4"/>
    </row>
    <row r="810" spans="2:26" ht="15" x14ac:dyDescent="0.25">
      <c r="B810" s="4"/>
      <c r="C810" s="4"/>
      <c r="D810" s="5"/>
      <c r="E810" s="4"/>
      <c r="F810" s="4"/>
      <c r="G810" s="4"/>
      <c r="H810" s="4"/>
      <c r="I810" s="4"/>
      <c r="J810" s="4"/>
      <c r="K810" s="4"/>
      <c r="L810" s="4"/>
      <c r="M810" s="4"/>
      <c r="N810" s="4"/>
      <c r="O810" s="4"/>
      <c r="P810" s="4"/>
      <c r="Q810" s="4"/>
      <c r="R810" s="4"/>
      <c r="S810" s="4"/>
      <c r="T810" s="4"/>
      <c r="U810" s="4"/>
      <c r="V810" s="4"/>
      <c r="W810" s="4"/>
      <c r="X810" s="4"/>
      <c r="Y810" s="4"/>
      <c r="Z810" s="4"/>
    </row>
    <row r="811" spans="2:26" ht="15" x14ac:dyDescent="0.25">
      <c r="B811" s="4"/>
      <c r="C811" s="4"/>
      <c r="D811" s="5"/>
      <c r="E811" s="4"/>
      <c r="F811" s="4"/>
      <c r="G811" s="4"/>
      <c r="H811" s="4"/>
      <c r="I811" s="4"/>
      <c r="J811" s="4"/>
      <c r="K811" s="4"/>
      <c r="L811" s="4"/>
      <c r="M811" s="4"/>
      <c r="N811" s="4"/>
      <c r="O811" s="4"/>
      <c r="P811" s="4"/>
      <c r="Q811" s="4"/>
      <c r="R811" s="4"/>
      <c r="S811" s="4"/>
      <c r="T811" s="4"/>
      <c r="U811" s="4"/>
      <c r="V811" s="4"/>
      <c r="W811" s="4"/>
      <c r="X811" s="4"/>
      <c r="Y811" s="4"/>
      <c r="Z811" s="4"/>
    </row>
    <row r="812" spans="2:26" ht="15" x14ac:dyDescent="0.25">
      <c r="B812" s="4"/>
      <c r="C812" s="4"/>
      <c r="D812" s="5"/>
      <c r="E812" s="4"/>
      <c r="F812" s="4"/>
      <c r="G812" s="4"/>
      <c r="H812" s="4"/>
      <c r="I812" s="4"/>
      <c r="J812" s="4"/>
      <c r="K812" s="4"/>
      <c r="L812" s="4"/>
      <c r="M812" s="4"/>
      <c r="N812" s="4"/>
      <c r="O812" s="4"/>
      <c r="P812" s="4"/>
      <c r="Q812" s="4"/>
      <c r="R812" s="4"/>
      <c r="S812" s="4"/>
      <c r="T812" s="4"/>
      <c r="U812" s="4"/>
      <c r="V812" s="4"/>
      <c r="W812" s="4"/>
      <c r="X812" s="4"/>
      <c r="Y812" s="4"/>
      <c r="Z812" s="4"/>
    </row>
    <row r="813" spans="2:26" ht="15" x14ac:dyDescent="0.25">
      <c r="B813" s="4"/>
      <c r="C813" s="4"/>
      <c r="D813" s="5"/>
      <c r="E813" s="4"/>
      <c r="F813" s="4"/>
      <c r="G813" s="4"/>
      <c r="H813" s="4"/>
      <c r="I813" s="4"/>
      <c r="J813" s="4"/>
      <c r="K813" s="4"/>
      <c r="L813" s="4"/>
      <c r="M813" s="4"/>
      <c r="N813" s="4"/>
      <c r="O813" s="4"/>
      <c r="P813" s="4"/>
      <c r="Q813" s="4"/>
      <c r="R813" s="4"/>
      <c r="S813" s="4"/>
      <c r="T813" s="4"/>
      <c r="U813" s="4"/>
      <c r="V813" s="4"/>
      <c r="W813" s="4"/>
      <c r="X813" s="4"/>
      <c r="Y813" s="4"/>
      <c r="Z813" s="4"/>
    </row>
    <row r="814" spans="2:26" ht="15" x14ac:dyDescent="0.25">
      <c r="B814" s="4"/>
      <c r="C814" s="4"/>
      <c r="D814" s="5"/>
      <c r="E814" s="4"/>
      <c r="F814" s="4"/>
      <c r="G814" s="4"/>
      <c r="H814" s="4"/>
      <c r="I814" s="4"/>
      <c r="J814" s="4"/>
      <c r="K814" s="4"/>
      <c r="L814" s="4"/>
      <c r="M814" s="4"/>
      <c r="N814" s="4"/>
      <c r="O814" s="4"/>
      <c r="P814" s="4"/>
      <c r="Q814" s="4"/>
      <c r="R814" s="4"/>
      <c r="S814" s="4"/>
      <c r="T814" s="4"/>
      <c r="U814" s="4"/>
      <c r="V814" s="4"/>
      <c r="W814" s="4"/>
      <c r="X814" s="4"/>
      <c r="Y814" s="4"/>
      <c r="Z814" s="4"/>
    </row>
    <row r="815" spans="2:26" ht="15" x14ac:dyDescent="0.25">
      <c r="B815" s="4"/>
      <c r="C815" s="4"/>
      <c r="D815" s="5"/>
      <c r="E815" s="4"/>
      <c r="F815" s="4"/>
      <c r="G815" s="4"/>
      <c r="H815" s="4"/>
      <c r="I815" s="4"/>
      <c r="J815" s="4"/>
      <c r="K815" s="4"/>
      <c r="L815" s="4"/>
      <c r="M815" s="4"/>
      <c r="N815" s="4"/>
      <c r="O815" s="4"/>
      <c r="P815" s="4"/>
      <c r="Q815" s="4"/>
      <c r="R815" s="4"/>
      <c r="S815" s="4"/>
      <c r="T815" s="4"/>
      <c r="U815" s="4"/>
      <c r="V815" s="4"/>
      <c r="W815" s="4"/>
      <c r="X815" s="4"/>
      <c r="Y815" s="4"/>
      <c r="Z815" s="4"/>
    </row>
    <row r="816" spans="2:26" ht="15" x14ac:dyDescent="0.25">
      <c r="B816" s="4"/>
      <c r="C816" s="4"/>
      <c r="D816" s="5"/>
      <c r="E816" s="4"/>
      <c r="F816" s="4"/>
      <c r="G816" s="4"/>
      <c r="H816" s="4"/>
      <c r="I816" s="4"/>
      <c r="J816" s="4"/>
      <c r="K816" s="4"/>
      <c r="L816" s="4"/>
      <c r="M816" s="4"/>
      <c r="N816" s="4"/>
      <c r="O816" s="4"/>
      <c r="P816" s="4"/>
      <c r="Q816" s="4"/>
      <c r="R816" s="4"/>
      <c r="S816" s="4"/>
      <c r="T816" s="4"/>
      <c r="U816" s="4"/>
      <c r="V816" s="4"/>
      <c r="W816" s="4"/>
      <c r="X816" s="4"/>
      <c r="Y816" s="4"/>
      <c r="Z816" s="4"/>
    </row>
    <row r="817" spans="2:26" ht="15" x14ac:dyDescent="0.25">
      <c r="B817" s="4"/>
      <c r="C817" s="4"/>
      <c r="D817" s="5"/>
      <c r="E817" s="4"/>
      <c r="F817" s="4"/>
      <c r="G817" s="4"/>
      <c r="H817" s="4"/>
      <c r="I817" s="4"/>
      <c r="J817" s="4"/>
      <c r="K817" s="4"/>
      <c r="L817" s="4"/>
      <c r="M817" s="4"/>
      <c r="N817" s="4"/>
      <c r="O817" s="4"/>
      <c r="P817" s="4"/>
      <c r="Q817" s="4"/>
      <c r="R817" s="4"/>
      <c r="S817" s="4"/>
      <c r="T817" s="4"/>
      <c r="U817" s="4"/>
      <c r="V817" s="4"/>
      <c r="W817" s="4"/>
      <c r="X817" s="4"/>
      <c r="Y817" s="4"/>
      <c r="Z817" s="4"/>
    </row>
    <row r="818" spans="2:26" ht="15" x14ac:dyDescent="0.25">
      <c r="B818" s="4"/>
      <c r="C818" s="4"/>
      <c r="D818" s="5"/>
      <c r="E818" s="4"/>
      <c r="F818" s="4"/>
      <c r="G818" s="4"/>
      <c r="H818" s="4"/>
      <c r="I818" s="4"/>
      <c r="J818" s="4"/>
      <c r="K818" s="4"/>
      <c r="L818" s="4"/>
      <c r="M818" s="4"/>
      <c r="N818" s="4"/>
      <c r="O818" s="4"/>
      <c r="P818" s="4"/>
      <c r="Q818" s="4"/>
      <c r="R818" s="4"/>
      <c r="S818" s="4"/>
      <c r="T818" s="4"/>
      <c r="U818" s="4"/>
      <c r="V818" s="4"/>
      <c r="W818" s="4"/>
      <c r="X818" s="4"/>
      <c r="Y818" s="4"/>
      <c r="Z818" s="4"/>
    </row>
    <row r="819" spans="2:26" ht="15" x14ac:dyDescent="0.25">
      <c r="B819" s="4"/>
      <c r="C819" s="4"/>
      <c r="D819" s="5"/>
      <c r="E819" s="4"/>
      <c r="F819" s="4"/>
      <c r="G819" s="4"/>
      <c r="H819" s="4"/>
      <c r="I819" s="4"/>
      <c r="J819" s="4"/>
      <c r="K819" s="4"/>
      <c r="L819" s="4"/>
      <c r="M819" s="4"/>
      <c r="N819" s="4"/>
      <c r="O819" s="4"/>
      <c r="P819" s="4"/>
      <c r="Q819" s="4"/>
      <c r="R819" s="4"/>
      <c r="S819" s="4"/>
      <c r="T819" s="4"/>
      <c r="U819" s="4"/>
      <c r="V819" s="4"/>
      <c r="W819" s="4"/>
      <c r="X819" s="4"/>
      <c r="Y819" s="4"/>
      <c r="Z819" s="4"/>
    </row>
    <row r="820" spans="2:26" ht="15" x14ac:dyDescent="0.25">
      <c r="B820" s="4"/>
      <c r="C820" s="4"/>
      <c r="D820" s="5"/>
      <c r="E820" s="4"/>
      <c r="F820" s="4"/>
      <c r="G820" s="4"/>
      <c r="H820" s="4"/>
      <c r="I820" s="4"/>
      <c r="J820" s="4"/>
      <c r="K820" s="4"/>
      <c r="L820" s="4"/>
      <c r="M820" s="4"/>
      <c r="N820" s="4"/>
      <c r="O820" s="4"/>
      <c r="P820" s="4"/>
      <c r="Q820" s="4"/>
      <c r="R820" s="4"/>
      <c r="S820" s="4"/>
      <c r="T820" s="4"/>
      <c r="U820" s="4"/>
      <c r="V820" s="4"/>
      <c r="W820" s="4"/>
      <c r="X820" s="4"/>
      <c r="Y820" s="4"/>
      <c r="Z820" s="4"/>
    </row>
    <row r="821" spans="2:26" ht="15" x14ac:dyDescent="0.25">
      <c r="B821" s="4"/>
      <c r="C821" s="4"/>
      <c r="D821" s="5"/>
      <c r="E821" s="4"/>
      <c r="F821" s="4"/>
      <c r="G821" s="4"/>
      <c r="H821" s="4"/>
      <c r="I821" s="4"/>
      <c r="J821" s="4"/>
      <c r="K821" s="4"/>
      <c r="L821" s="4"/>
      <c r="M821" s="4"/>
      <c r="N821" s="4"/>
      <c r="O821" s="4"/>
      <c r="P821" s="4"/>
      <c r="Q821" s="4"/>
      <c r="R821" s="4"/>
      <c r="S821" s="4"/>
      <c r="T821" s="4"/>
      <c r="U821" s="4"/>
      <c r="V821" s="4"/>
      <c r="W821" s="4"/>
      <c r="X821" s="4"/>
      <c r="Y821" s="4"/>
      <c r="Z821" s="4"/>
    </row>
    <row r="822" spans="2:26" ht="15" x14ac:dyDescent="0.25">
      <c r="B822" s="4"/>
      <c r="C822" s="4"/>
      <c r="D822" s="5"/>
      <c r="E822" s="4"/>
      <c r="F822" s="4"/>
      <c r="G822" s="4"/>
      <c r="H822" s="4"/>
      <c r="I822" s="4"/>
      <c r="J822" s="4"/>
      <c r="K822" s="4"/>
      <c r="L822" s="4"/>
      <c r="M822" s="4"/>
      <c r="N822" s="4"/>
      <c r="O822" s="4"/>
      <c r="P822" s="4"/>
      <c r="Q822" s="4"/>
      <c r="R822" s="4"/>
      <c r="S822" s="4"/>
      <c r="T822" s="4"/>
      <c r="U822" s="4"/>
      <c r="V822" s="4"/>
      <c r="W822" s="4"/>
      <c r="X822" s="4"/>
      <c r="Y822" s="4"/>
      <c r="Z822" s="4"/>
    </row>
    <row r="823" spans="2:26" ht="15" x14ac:dyDescent="0.25">
      <c r="B823" s="4"/>
      <c r="C823" s="4"/>
      <c r="D823" s="5"/>
      <c r="E823" s="4"/>
      <c r="F823" s="4"/>
      <c r="G823" s="4"/>
      <c r="H823" s="4"/>
      <c r="I823" s="4"/>
      <c r="J823" s="4"/>
      <c r="K823" s="4"/>
      <c r="L823" s="4"/>
      <c r="M823" s="4"/>
      <c r="N823" s="4"/>
      <c r="O823" s="4"/>
      <c r="P823" s="4"/>
      <c r="Q823" s="4"/>
      <c r="R823" s="4"/>
      <c r="S823" s="4"/>
      <c r="T823" s="4"/>
      <c r="U823" s="4"/>
      <c r="V823" s="4"/>
      <c r="W823" s="4"/>
      <c r="X823" s="4"/>
      <c r="Y823" s="4"/>
      <c r="Z823" s="4"/>
    </row>
    <row r="824" spans="2:26" ht="15" x14ac:dyDescent="0.25">
      <c r="B824" s="4"/>
      <c r="C824" s="4"/>
      <c r="D824" s="5"/>
      <c r="E824" s="4"/>
      <c r="F824" s="4"/>
      <c r="G824" s="4"/>
      <c r="H824" s="4"/>
      <c r="I824" s="4"/>
      <c r="J824" s="4"/>
      <c r="K824" s="4"/>
      <c r="L824" s="4"/>
      <c r="M824" s="4"/>
      <c r="N824" s="4"/>
      <c r="O824" s="4"/>
      <c r="P824" s="4"/>
      <c r="Q824" s="4"/>
      <c r="R824" s="4"/>
      <c r="S824" s="4"/>
      <c r="T824" s="4"/>
      <c r="U824" s="4"/>
      <c r="V824" s="4"/>
      <c r="W824" s="4"/>
      <c r="X824" s="4"/>
      <c r="Y824" s="4"/>
      <c r="Z824" s="4"/>
    </row>
    <row r="825" spans="2:26" ht="15" x14ac:dyDescent="0.25">
      <c r="B825" s="4"/>
      <c r="C825" s="4"/>
      <c r="D825" s="5"/>
      <c r="E825" s="4"/>
      <c r="F825" s="4"/>
      <c r="G825" s="4"/>
      <c r="H825" s="4"/>
      <c r="I825" s="4"/>
      <c r="J825" s="4"/>
      <c r="K825" s="4"/>
      <c r="L825" s="4"/>
      <c r="M825" s="4"/>
      <c r="N825" s="4"/>
      <c r="O825" s="4"/>
      <c r="P825" s="4"/>
      <c r="Q825" s="4"/>
      <c r="R825" s="4"/>
      <c r="S825" s="4"/>
      <c r="T825" s="4"/>
      <c r="U825" s="4"/>
      <c r="V825" s="4"/>
      <c r="W825" s="4"/>
      <c r="X825" s="4"/>
      <c r="Y825" s="4"/>
      <c r="Z825" s="4"/>
    </row>
    <row r="826" spans="2:26" ht="15" x14ac:dyDescent="0.25">
      <c r="B826" s="4"/>
      <c r="C826" s="4"/>
      <c r="D826" s="5"/>
      <c r="E826" s="4"/>
      <c r="F826" s="4"/>
      <c r="G826" s="4"/>
      <c r="H826" s="4"/>
      <c r="I826" s="4"/>
      <c r="J826" s="4"/>
      <c r="K826" s="4"/>
      <c r="L826" s="4"/>
      <c r="M826" s="4"/>
      <c r="N826" s="4"/>
      <c r="O826" s="4"/>
      <c r="P826" s="4"/>
      <c r="Q826" s="4"/>
      <c r="R826" s="4"/>
      <c r="S826" s="4"/>
      <c r="T826" s="4"/>
      <c r="U826" s="4"/>
      <c r="V826" s="4"/>
      <c r="W826" s="4"/>
      <c r="X826" s="4"/>
      <c r="Y826" s="4"/>
      <c r="Z826" s="4"/>
    </row>
    <row r="827" spans="2:26" ht="15" x14ac:dyDescent="0.25">
      <c r="B827" s="4"/>
      <c r="C827" s="4"/>
      <c r="D827" s="5"/>
      <c r="E827" s="4"/>
      <c r="F827" s="4"/>
      <c r="G827" s="4"/>
      <c r="H827" s="4"/>
      <c r="I827" s="4"/>
      <c r="J827" s="4"/>
      <c r="K827" s="4"/>
      <c r="L827" s="4"/>
      <c r="M827" s="4"/>
      <c r="N827" s="4"/>
      <c r="O827" s="4"/>
      <c r="P827" s="4"/>
      <c r="Q827" s="4"/>
      <c r="R827" s="4"/>
      <c r="S827" s="4"/>
      <c r="T827" s="4"/>
      <c r="U827" s="4"/>
      <c r="V827" s="4"/>
      <c r="W827" s="4"/>
      <c r="X827" s="4"/>
      <c r="Y827" s="4"/>
      <c r="Z827" s="4"/>
    </row>
    <row r="828" spans="2:26" ht="15" x14ac:dyDescent="0.25">
      <c r="B828" s="4"/>
      <c r="C828" s="4"/>
      <c r="D828" s="5"/>
      <c r="E828" s="4"/>
      <c r="F828" s="4"/>
      <c r="G828" s="4"/>
      <c r="H828" s="4"/>
      <c r="I828" s="4"/>
      <c r="J828" s="4"/>
      <c r="K828" s="4"/>
      <c r="L828" s="4"/>
      <c r="M828" s="4"/>
      <c r="N828" s="4"/>
      <c r="O828" s="4"/>
      <c r="P828" s="4"/>
      <c r="Q828" s="4"/>
      <c r="R828" s="4"/>
      <c r="S828" s="4"/>
      <c r="T828" s="4"/>
      <c r="U828" s="4"/>
      <c r="V828" s="4"/>
      <c r="W828" s="4"/>
      <c r="X828" s="4"/>
      <c r="Y828" s="4"/>
      <c r="Z828" s="4"/>
    </row>
    <row r="829" spans="2:26" ht="15" x14ac:dyDescent="0.25">
      <c r="B829" s="4"/>
      <c r="C829" s="4"/>
      <c r="D829" s="5"/>
      <c r="E829" s="4"/>
      <c r="F829" s="4"/>
      <c r="G829" s="4"/>
      <c r="H829" s="4"/>
      <c r="I829" s="4"/>
      <c r="J829" s="4"/>
      <c r="K829" s="4"/>
      <c r="L829" s="4"/>
      <c r="M829" s="4"/>
      <c r="N829" s="4"/>
      <c r="O829" s="4"/>
      <c r="P829" s="4"/>
      <c r="Q829" s="4"/>
      <c r="R829" s="4"/>
      <c r="S829" s="4"/>
      <c r="T829" s="4"/>
      <c r="U829" s="4"/>
      <c r="V829" s="4"/>
      <c r="W829" s="4"/>
      <c r="X829" s="4"/>
      <c r="Y829" s="4"/>
      <c r="Z829" s="4"/>
    </row>
    <row r="830" spans="2:26" ht="15" x14ac:dyDescent="0.25">
      <c r="B830" s="4"/>
      <c r="C830" s="4"/>
      <c r="D830" s="5"/>
      <c r="E830" s="4"/>
      <c r="F830" s="4"/>
      <c r="G830" s="4"/>
      <c r="H830" s="4"/>
      <c r="I830" s="4"/>
      <c r="J830" s="4"/>
      <c r="K830" s="4"/>
      <c r="L830" s="4"/>
      <c r="M830" s="4"/>
      <c r="N830" s="4"/>
      <c r="O830" s="4"/>
      <c r="P830" s="4"/>
      <c r="Q830" s="4"/>
      <c r="R830" s="4"/>
      <c r="S830" s="4"/>
      <c r="T830" s="4"/>
      <c r="U830" s="4"/>
      <c r="V830" s="4"/>
      <c r="W830" s="4"/>
      <c r="X830" s="4"/>
      <c r="Y830" s="4"/>
      <c r="Z830" s="4"/>
    </row>
    <row r="831" spans="2:26" ht="15" x14ac:dyDescent="0.25">
      <c r="B831" s="4"/>
      <c r="C831" s="4"/>
      <c r="D831" s="5"/>
      <c r="E831" s="4"/>
      <c r="F831" s="4"/>
      <c r="G831" s="4"/>
      <c r="H831" s="4"/>
      <c r="I831" s="4"/>
      <c r="J831" s="4"/>
      <c r="K831" s="4"/>
      <c r="L831" s="4"/>
      <c r="M831" s="4"/>
      <c r="N831" s="4"/>
      <c r="O831" s="4"/>
      <c r="P831" s="4"/>
      <c r="Q831" s="4"/>
      <c r="R831" s="4"/>
      <c r="S831" s="4"/>
      <c r="T831" s="4"/>
      <c r="U831" s="4"/>
      <c r="V831" s="4"/>
      <c r="W831" s="4"/>
      <c r="X831" s="4"/>
      <c r="Y831" s="4"/>
      <c r="Z831" s="4"/>
    </row>
    <row r="832" spans="2:26" ht="15" x14ac:dyDescent="0.25">
      <c r="B832" s="4"/>
      <c r="C832" s="4"/>
      <c r="D832" s="5"/>
      <c r="E832" s="4"/>
      <c r="F832" s="4"/>
      <c r="G832" s="4"/>
      <c r="H832" s="4"/>
      <c r="I832" s="4"/>
      <c r="J832" s="4"/>
      <c r="K832" s="4"/>
      <c r="L832" s="4"/>
      <c r="M832" s="4"/>
      <c r="N832" s="4"/>
      <c r="O832" s="4"/>
      <c r="P832" s="4"/>
      <c r="Q832" s="4"/>
      <c r="R832" s="4"/>
      <c r="S832" s="4"/>
      <c r="T832" s="4"/>
      <c r="U832" s="4"/>
      <c r="V832" s="4"/>
      <c r="W832" s="4"/>
      <c r="X832" s="4"/>
      <c r="Y832" s="4"/>
      <c r="Z832" s="4"/>
    </row>
    <row r="833" spans="2:26" ht="15" x14ac:dyDescent="0.25">
      <c r="B833" s="4"/>
      <c r="C833" s="4"/>
      <c r="D833" s="5"/>
      <c r="E833" s="4"/>
      <c r="F833" s="4"/>
      <c r="G833" s="4"/>
      <c r="H833" s="4"/>
      <c r="I833" s="4"/>
      <c r="J833" s="4"/>
      <c r="K833" s="4"/>
      <c r="L833" s="4"/>
      <c r="M833" s="4"/>
      <c r="N833" s="4"/>
      <c r="O833" s="4"/>
      <c r="P833" s="4"/>
      <c r="Q833" s="4"/>
      <c r="R833" s="4"/>
      <c r="S833" s="4"/>
      <c r="T833" s="4"/>
      <c r="U833" s="4"/>
      <c r="V833" s="4"/>
      <c r="W833" s="4"/>
      <c r="X833" s="4"/>
      <c r="Y833" s="4"/>
      <c r="Z833" s="4"/>
    </row>
    <row r="834" spans="2:26" ht="15" x14ac:dyDescent="0.25">
      <c r="B834" s="4"/>
      <c r="C834" s="4"/>
      <c r="D834" s="5"/>
      <c r="E834" s="4"/>
      <c r="F834" s="4"/>
      <c r="G834" s="4"/>
      <c r="H834" s="4"/>
      <c r="I834" s="4"/>
      <c r="J834" s="4"/>
      <c r="K834" s="4"/>
      <c r="L834" s="4"/>
      <c r="M834" s="4"/>
      <c r="N834" s="4"/>
      <c r="O834" s="4"/>
      <c r="P834" s="4"/>
      <c r="Q834" s="4"/>
      <c r="R834" s="4"/>
      <c r="S834" s="4"/>
      <c r="T834" s="4"/>
      <c r="U834" s="4"/>
      <c r="V834" s="4"/>
      <c r="W834" s="4"/>
      <c r="X834" s="4"/>
      <c r="Y834" s="4"/>
      <c r="Z834" s="4"/>
    </row>
    <row r="835" spans="2:26" ht="15" x14ac:dyDescent="0.25">
      <c r="B835" s="4"/>
      <c r="C835" s="4"/>
      <c r="D835" s="5"/>
      <c r="E835" s="4"/>
      <c r="F835" s="4"/>
      <c r="G835" s="4"/>
      <c r="H835" s="4"/>
      <c r="I835" s="4"/>
      <c r="J835" s="4"/>
      <c r="K835" s="4"/>
      <c r="L835" s="4"/>
      <c r="M835" s="4"/>
      <c r="N835" s="4"/>
      <c r="O835" s="4"/>
      <c r="P835" s="4"/>
      <c r="Q835" s="4"/>
      <c r="R835" s="4"/>
      <c r="S835" s="4"/>
      <c r="T835" s="4"/>
      <c r="U835" s="4"/>
      <c r="V835" s="4"/>
      <c r="W835" s="4"/>
      <c r="X835" s="4"/>
      <c r="Y835" s="4"/>
      <c r="Z835" s="4"/>
    </row>
    <row r="836" spans="2:26" ht="15" x14ac:dyDescent="0.25">
      <c r="B836" s="4"/>
      <c r="C836" s="4"/>
      <c r="D836" s="5"/>
      <c r="E836" s="4"/>
      <c r="F836" s="4"/>
      <c r="G836" s="4"/>
      <c r="H836" s="4"/>
      <c r="I836" s="4"/>
      <c r="J836" s="4"/>
      <c r="K836" s="4"/>
      <c r="L836" s="4"/>
      <c r="M836" s="4"/>
      <c r="N836" s="4"/>
      <c r="O836" s="4"/>
      <c r="P836" s="4"/>
      <c r="Q836" s="4"/>
      <c r="R836" s="4"/>
      <c r="S836" s="4"/>
      <c r="T836" s="4"/>
      <c r="U836" s="4"/>
      <c r="V836" s="4"/>
      <c r="W836" s="4"/>
      <c r="X836" s="4"/>
      <c r="Y836" s="4"/>
      <c r="Z836" s="4"/>
    </row>
    <row r="837" spans="2:26" ht="15" x14ac:dyDescent="0.25">
      <c r="B837" s="4"/>
      <c r="C837" s="4"/>
      <c r="D837" s="5"/>
      <c r="E837" s="4"/>
      <c r="F837" s="4"/>
      <c r="G837" s="4"/>
      <c r="H837" s="4"/>
      <c r="I837" s="4"/>
      <c r="J837" s="4"/>
      <c r="K837" s="4"/>
      <c r="L837" s="4"/>
      <c r="M837" s="4"/>
      <c r="N837" s="4"/>
      <c r="O837" s="4"/>
      <c r="P837" s="4"/>
      <c r="Q837" s="4"/>
      <c r="R837" s="4"/>
      <c r="S837" s="4"/>
      <c r="T837" s="4"/>
      <c r="U837" s="4"/>
      <c r="V837" s="4"/>
      <c r="W837" s="4"/>
      <c r="X837" s="4"/>
      <c r="Y837" s="4"/>
      <c r="Z837" s="4"/>
    </row>
    <row r="838" spans="2:26" ht="15" x14ac:dyDescent="0.25">
      <c r="B838" s="4"/>
      <c r="C838" s="4"/>
      <c r="D838" s="5"/>
      <c r="E838" s="4"/>
      <c r="F838" s="4"/>
      <c r="G838" s="4"/>
      <c r="H838" s="4"/>
      <c r="I838" s="4"/>
      <c r="J838" s="4"/>
      <c r="K838" s="4"/>
      <c r="L838" s="4"/>
      <c r="M838" s="4"/>
      <c r="N838" s="4"/>
      <c r="O838" s="4"/>
      <c r="P838" s="4"/>
      <c r="Q838" s="4"/>
      <c r="R838" s="4"/>
      <c r="S838" s="4"/>
      <c r="T838" s="4"/>
      <c r="U838" s="4"/>
      <c r="V838" s="4"/>
      <c r="W838" s="4"/>
      <c r="X838" s="4"/>
      <c r="Y838" s="4"/>
      <c r="Z838" s="4"/>
    </row>
    <row r="839" spans="2:26" ht="15" x14ac:dyDescent="0.25">
      <c r="B839" s="4"/>
      <c r="C839" s="4"/>
      <c r="D839" s="5"/>
      <c r="E839" s="4"/>
      <c r="F839" s="4"/>
      <c r="G839" s="4"/>
      <c r="H839" s="4"/>
      <c r="I839" s="4"/>
      <c r="J839" s="4"/>
      <c r="K839" s="4"/>
      <c r="L839" s="4"/>
      <c r="M839" s="4"/>
      <c r="N839" s="4"/>
      <c r="O839" s="4"/>
      <c r="P839" s="4"/>
      <c r="Q839" s="4"/>
      <c r="R839" s="4"/>
      <c r="S839" s="4"/>
      <c r="T839" s="4"/>
      <c r="U839" s="4"/>
      <c r="V839" s="4"/>
      <c r="W839" s="4"/>
      <c r="X839" s="4"/>
      <c r="Y839" s="4"/>
      <c r="Z839" s="4"/>
    </row>
    <row r="840" spans="2:26" ht="15" x14ac:dyDescent="0.25">
      <c r="B840" s="4"/>
      <c r="C840" s="4"/>
      <c r="D840" s="5"/>
      <c r="E840" s="4"/>
      <c r="F840" s="4"/>
      <c r="G840" s="4"/>
      <c r="H840" s="4"/>
      <c r="I840" s="4"/>
      <c r="J840" s="4"/>
      <c r="K840" s="4"/>
      <c r="L840" s="4"/>
      <c r="M840" s="4"/>
      <c r="N840" s="4"/>
      <c r="O840" s="4"/>
      <c r="P840" s="4"/>
      <c r="Q840" s="4"/>
      <c r="R840" s="4"/>
      <c r="S840" s="4"/>
      <c r="T840" s="4"/>
      <c r="U840" s="4"/>
      <c r="V840" s="4"/>
      <c r="W840" s="4"/>
      <c r="X840" s="4"/>
      <c r="Y840" s="4"/>
      <c r="Z840" s="4"/>
    </row>
    <row r="841" spans="2:26" ht="15" x14ac:dyDescent="0.25">
      <c r="B841" s="4"/>
      <c r="C841" s="4"/>
      <c r="D841" s="5"/>
      <c r="E841" s="4"/>
      <c r="F841" s="4"/>
      <c r="G841" s="4"/>
      <c r="H841" s="4"/>
      <c r="I841" s="4"/>
      <c r="J841" s="4"/>
      <c r="K841" s="4"/>
      <c r="L841" s="4"/>
      <c r="M841" s="4"/>
      <c r="N841" s="4"/>
      <c r="O841" s="4"/>
      <c r="P841" s="4"/>
      <c r="Q841" s="4"/>
      <c r="R841" s="4"/>
      <c r="S841" s="4"/>
      <c r="T841" s="4"/>
      <c r="U841" s="4"/>
      <c r="V841" s="4"/>
      <c r="W841" s="4"/>
      <c r="X841" s="4"/>
      <c r="Y841" s="4"/>
      <c r="Z841" s="4"/>
    </row>
    <row r="842" spans="2:26" ht="15" x14ac:dyDescent="0.25">
      <c r="B842" s="4"/>
      <c r="C842" s="4"/>
      <c r="D842" s="5"/>
      <c r="E842" s="4"/>
      <c r="F842" s="4"/>
      <c r="G842" s="4"/>
      <c r="H842" s="4"/>
      <c r="I842" s="4"/>
      <c r="J842" s="4"/>
      <c r="K842" s="4"/>
      <c r="L842" s="4"/>
      <c r="M842" s="4"/>
      <c r="N842" s="4"/>
      <c r="O842" s="4"/>
      <c r="P842" s="4"/>
      <c r="Q842" s="4"/>
      <c r="R842" s="4"/>
      <c r="S842" s="4"/>
      <c r="T842" s="4"/>
      <c r="U842" s="4"/>
      <c r="V842" s="4"/>
      <c r="W842" s="4"/>
      <c r="X842" s="4"/>
      <c r="Y842" s="4"/>
      <c r="Z842" s="4"/>
    </row>
    <row r="843" spans="2:26" ht="15" x14ac:dyDescent="0.25">
      <c r="B843" s="4"/>
      <c r="C843" s="4"/>
      <c r="D843" s="5"/>
      <c r="E843" s="4"/>
      <c r="F843" s="4"/>
      <c r="G843" s="4"/>
      <c r="H843" s="4"/>
      <c r="I843" s="4"/>
      <c r="J843" s="4"/>
      <c r="K843" s="4"/>
      <c r="L843" s="4"/>
      <c r="M843" s="4"/>
      <c r="N843" s="4"/>
      <c r="O843" s="4"/>
      <c r="P843" s="4"/>
      <c r="Q843" s="4"/>
      <c r="R843" s="4"/>
      <c r="S843" s="4"/>
      <c r="T843" s="4"/>
      <c r="U843" s="4"/>
      <c r="V843" s="4"/>
      <c r="W843" s="4"/>
      <c r="X843" s="4"/>
      <c r="Y843" s="4"/>
      <c r="Z843" s="4"/>
    </row>
    <row r="844" spans="2:26" ht="15" x14ac:dyDescent="0.25">
      <c r="B844" s="4"/>
      <c r="C844" s="4"/>
      <c r="D844" s="5"/>
      <c r="E844" s="4"/>
      <c r="F844" s="4"/>
      <c r="G844" s="4"/>
      <c r="H844" s="4"/>
      <c r="I844" s="4"/>
      <c r="J844" s="4"/>
      <c r="K844" s="4"/>
      <c r="L844" s="4"/>
      <c r="M844" s="4"/>
      <c r="N844" s="4"/>
      <c r="O844" s="4"/>
      <c r="P844" s="4"/>
      <c r="Q844" s="4"/>
      <c r="R844" s="4"/>
      <c r="S844" s="4"/>
      <c r="T844" s="4"/>
      <c r="U844" s="4"/>
      <c r="V844" s="4"/>
      <c r="W844" s="4"/>
      <c r="X844" s="4"/>
      <c r="Y844" s="4"/>
      <c r="Z844" s="4"/>
    </row>
    <row r="845" spans="2:26" ht="15" x14ac:dyDescent="0.25">
      <c r="B845" s="4"/>
      <c r="C845" s="4"/>
      <c r="D845" s="5"/>
      <c r="E845" s="4"/>
      <c r="F845" s="4"/>
      <c r="G845" s="4"/>
      <c r="H845" s="4"/>
      <c r="I845" s="4"/>
      <c r="J845" s="4"/>
      <c r="K845" s="4"/>
      <c r="L845" s="4"/>
      <c r="M845" s="4"/>
      <c r="N845" s="4"/>
      <c r="O845" s="4"/>
      <c r="P845" s="4"/>
      <c r="Q845" s="4"/>
      <c r="R845" s="4"/>
      <c r="S845" s="4"/>
      <c r="T845" s="4"/>
      <c r="U845" s="4"/>
      <c r="V845" s="4"/>
      <c r="W845" s="4"/>
      <c r="X845" s="4"/>
      <c r="Y845" s="4"/>
      <c r="Z845" s="4"/>
    </row>
    <row r="846" spans="2:26" ht="15" x14ac:dyDescent="0.25">
      <c r="B846" s="4"/>
      <c r="C846" s="4"/>
      <c r="D846" s="5"/>
      <c r="E846" s="4"/>
      <c r="F846" s="4"/>
      <c r="G846" s="4"/>
      <c r="H846" s="4"/>
      <c r="I846" s="4"/>
      <c r="J846" s="4"/>
      <c r="K846" s="4"/>
      <c r="L846" s="4"/>
      <c r="M846" s="4"/>
      <c r="N846" s="4"/>
      <c r="O846" s="4"/>
      <c r="P846" s="4"/>
      <c r="Q846" s="4"/>
      <c r="R846" s="4"/>
      <c r="S846" s="4"/>
      <c r="T846" s="4"/>
      <c r="U846" s="4"/>
      <c r="V846" s="4"/>
      <c r="W846" s="4"/>
      <c r="X846" s="4"/>
      <c r="Y846" s="4"/>
      <c r="Z846" s="4"/>
    </row>
    <row r="847" spans="2:26" ht="15" x14ac:dyDescent="0.25">
      <c r="B847" s="4"/>
      <c r="C847" s="4"/>
      <c r="D847" s="5"/>
      <c r="E847" s="4"/>
      <c r="F847" s="4"/>
      <c r="G847" s="4"/>
      <c r="H847" s="4"/>
      <c r="I847" s="4"/>
      <c r="J847" s="4"/>
      <c r="K847" s="4"/>
      <c r="L847" s="4"/>
      <c r="M847" s="4"/>
      <c r="N847" s="4"/>
      <c r="O847" s="4"/>
      <c r="P847" s="4"/>
      <c r="Q847" s="4"/>
      <c r="R847" s="4"/>
      <c r="S847" s="4"/>
      <c r="T847" s="4"/>
      <c r="U847" s="4"/>
      <c r="V847" s="4"/>
      <c r="W847" s="4"/>
      <c r="X847" s="4"/>
      <c r="Y847" s="4"/>
      <c r="Z847" s="4"/>
    </row>
    <row r="848" spans="2:26" ht="15" x14ac:dyDescent="0.25">
      <c r="B848" s="4"/>
      <c r="C848" s="4"/>
      <c r="D848" s="5"/>
      <c r="E848" s="4"/>
      <c r="F848" s="4"/>
      <c r="G848" s="4"/>
      <c r="H848" s="4"/>
      <c r="I848" s="4"/>
      <c r="J848" s="4"/>
      <c r="K848" s="4"/>
      <c r="L848" s="4"/>
      <c r="M848" s="4"/>
      <c r="N848" s="4"/>
      <c r="O848" s="4"/>
      <c r="P848" s="4"/>
      <c r="Q848" s="4"/>
      <c r="R848" s="4"/>
      <c r="S848" s="4"/>
      <c r="T848" s="4"/>
      <c r="U848" s="4"/>
      <c r="V848" s="4"/>
      <c r="W848" s="4"/>
      <c r="X848" s="4"/>
      <c r="Y848" s="4"/>
      <c r="Z848" s="4"/>
    </row>
    <row r="849" spans="2:26" ht="15" x14ac:dyDescent="0.25">
      <c r="B849" s="4"/>
      <c r="C849" s="4"/>
      <c r="D849" s="5"/>
      <c r="E849" s="4"/>
      <c r="F849" s="4"/>
      <c r="G849" s="4"/>
      <c r="H849" s="4"/>
      <c r="I849" s="4"/>
      <c r="J849" s="4"/>
      <c r="K849" s="4"/>
      <c r="L849" s="4"/>
      <c r="M849" s="4"/>
      <c r="N849" s="4"/>
      <c r="O849" s="4"/>
      <c r="P849" s="4"/>
      <c r="Q849" s="4"/>
      <c r="R849" s="4"/>
      <c r="S849" s="4"/>
      <c r="T849" s="4"/>
      <c r="U849" s="4"/>
      <c r="V849" s="4"/>
      <c r="W849" s="4"/>
      <c r="X849" s="4"/>
      <c r="Y849" s="4"/>
      <c r="Z849" s="4"/>
    </row>
    <row r="850" spans="2:26" ht="15" x14ac:dyDescent="0.25">
      <c r="B850" s="4"/>
      <c r="C850" s="4"/>
      <c r="D850" s="5"/>
      <c r="E850" s="4"/>
      <c r="F850" s="4"/>
      <c r="G850" s="4"/>
      <c r="H850" s="4"/>
      <c r="I850" s="4"/>
      <c r="J850" s="4"/>
      <c r="K850" s="4"/>
      <c r="L850" s="4"/>
      <c r="M850" s="4"/>
      <c r="N850" s="4"/>
      <c r="O850" s="4"/>
      <c r="P850" s="4"/>
      <c r="Q850" s="4"/>
      <c r="R850" s="4"/>
      <c r="S850" s="4"/>
      <c r="T850" s="4"/>
      <c r="U850" s="4"/>
      <c r="V850" s="4"/>
      <c r="W850" s="4"/>
      <c r="X850" s="4"/>
      <c r="Y850" s="4"/>
      <c r="Z850" s="4"/>
    </row>
    <row r="851" spans="2:26" ht="15" x14ac:dyDescent="0.25">
      <c r="B851" s="4"/>
      <c r="C851" s="4"/>
      <c r="D851" s="5"/>
      <c r="E851" s="4"/>
      <c r="F851" s="4"/>
      <c r="G851" s="4"/>
      <c r="H851" s="4"/>
      <c r="I851" s="4"/>
      <c r="J851" s="4"/>
      <c r="K851" s="4"/>
      <c r="L851" s="4"/>
      <c r="M851" s="4"/>
      <c r="N851" s="4"/>
      <c r="O851" s="4"/>
      <c r="P851" s="4"/>
      <c r="Q851" s="4"/>
      <c r="R851" s="4"/>
      <c r="S851" s="4"/>
      <c r="T851" s="4"/>
      <c r="U851" s="4"/>
      <c r="V851" s="4"/>
      <c r="W851" s="4"/>
      <c r="X851" s="4"/>
      <c r="Y851" s="4"/>
      <c r="Z851" s="4"/>
    </row>
    <row r="852" spans="2:26" ht="15" x14ac:dyDescent="0.25">
      <c r="B852" s="4"/>
      <c r="C852" s="4"/>
      <c r="D852" s="5"/>
      <c r="E852" s="4"/>
      <c r="F852" s="4"/>
      <c r="G852" s="4"/>
      <c r="H852" s="4"/>
      <c r="I852" s="4"/>
      <c r="J852" s="4"/>
      <c r="K852" s="4"/>
      <c r="L852" s="4"/>
      <c r="M852" s="4"/>
      <c r="N852" s="4"/>
      <c r="O852" s="4"/>
      <c r="P852" s="4"/>
      <c r="Q852" s="4"/>
      <c r="R852" s="4"/>
      <c r="S852" s="4"/>
      <c r="T852" s="4"/>
      <c r="U852" s="4"/>
      <c r="V852" s="4"/>
      <c r="W852" s="4"/>
      <c r="X852" s="4"/>
      <c r="Y852" s="4"/>
      <c r="Z852" s="4"/>
    </row>
    <row r="853" spans="2:26" ht="15" x14ac:dyDescent="0.25">
      <c r="B853" s="4"/>
      <c r="C853" s="4"/>
      <c r="D853" s="5"/>
      <c r="E853" s="4"/>
      <c r="F853" s="4"/>
      <c r="G853" s="4"/>
      <c r="H853" s="4"/>
      <c r="I853" s="4"/>
      <c r="J853" s="4"/>
      <c r="K853" s="4"/>
      <c r="L853" s="4"/>
      <c r="M853" s="4"/>
      <c r="N853" s="4"/>
      <c r="O853" s="4"/>
      <c r="P853" s="4"/>
      <c r="Q853" s="4"/>
      <c r="R853" s="4"/>
      <c r="S853" s="4"/>
      <c r="T853" s="4"/>
      <c r="U853" s="4"/>
      <c r="V853" s="4"/>
      <c r="W853" s="4"/>
      <c r="X853" s="4"/>
      <c r="Y853" s="4"/>
      <c r="Z853" s="4"/>
    </row>
    <row r="854" spans="2:26" ht="15" x14ac:dyDescent="0.25">
      <c r="B854" s="4"/>
      <c r="C854" s="4"/>
      <c r="D854" s="5"/>
      <c r="E854" s="4"/>
      <c r="F854" s="4"/>
      <c r="G854" s="4"/>
      <c r="H854" s="4"/>
      <c r="I854" s="4"/>
      <c r="J854" s="4"/>
      <c r="K854" s="4"/>
      <c r="L854" s="4"/>
      <c r="M854" s="4"/>
      <c r="N854" s="4"/>
      <c r="O854" s="4"/>
      <c r="P854" s="4"/>
      <c r="Q854" s="4"/>
      <c r="R854" s="4"/>
      <c r="S854" s="4"/>
      <c r="T854" s="4"/>
      <c r="U854" s="4"/>
      <c r="V854" s="4"/>
      <c r="W854" s="4"/>
      <c r="X854" s="4"/>
      <c r="Y854" s="4"/>
      <c r="Z854" s="4"/>
    </row>
    <row r="855" spans="2:26" ht="15" x14ac:dyDescent="0.25">
      <c r="B855" s="4"/>
      <c r="C855" s="4"/>
      <c r="D855" s="5"/>
      <c r="E855" s="4"/>
      <c r="F855" s="4"/>
      <c r="G855" s="4"/>
      <c r="H855" s="4"/>
      <c r="I855" s="4"/>
      <c r="J855" s="4"/>
      <c r="K855" s="4"/>
      <c r="L855" s="4"/>
      <c r="M855" s="4"/>
      <c r="N855" s="4"/>
      <c r="O855" s="4"/>
      <c r="P855" s="4"/>
      <c r="Q855" s="4"/>
      <c r="R855" s="4"/>
      <c r="S855" s="4"/>
      <c r="T855" s="4"/>
      <c r="U855" s="4"/>
      <c r="V855" s="4"/>
      <c r="W855" s="4"/>
      <c r="X855" s="4"/>
      <c r="Y855" s="4"/>
      <c r="Z855" s="4"/>
    </row>
    <row r="856" spans="2:26" ht="15" x14ac:dyDescent="0.25">
      <c r="B856" s="4"/>
      <c r="C856" s="4"/>
      <c r="D856" s="5"/>
      <c r="E856" s="4"/>
      <c r="F856" s="4"/>
      <c r="G856" s="4"/>
      <c r="H856" s="4"/>
      <c r="I856" s="4"/>
      <c r="J856" s="4"/>
      <c r="K856" s="4"/>
      <c r="L856" s="4"/>
      <c r="M856" s="4"/>
      <c r="N856" s="4"/>
      <c r="O856" s="4"/>
      <c r="P856" s="4"/>
      <c r="Q856" s="4"/>
      <c r="R856" s="4"/>
      <c r="S856" s="4"/>
      <c r="T856" s="4"/>
      <c r="U856" s="4"/>
      <c r="V856" s="4"/>
      <c r="W856" s="4"/>
      <c r="X856" s="4"/>
      <c r="Y856" s="4"/>
      <c r="Z856" s="4"/>
    </row>
    <row r="857" spans="2:26" ht="15" x14ac:dyDescent="0.25">
      <c r="B857" s="4"/>
      <c r="C857" s="4"/>
      <c r="D857" s="5"/>
      <c r="E857" s="4"/>
      <c r="F857" s="4"/>
      <c r="G857" s="4"/>
      <c r="H857" s="4"/>
      <c r="I857" s="4"/>
      <c r="J857" s="4"/>
      <c r="K857" s="4"/>
      <c r="L857" s="4"/>
      <c r="M857" s="4"/>
      <c r="N857" s="4"/>
      <c r="O857" s="4"/>
      <c r="P857" s="4"/>
      <c r="Q857" s="4"/>
      <c r="R857" s="4"/>
      <c r="S857" s="4"/>
      <c r="T857" s="4"/>
      <c r="U857" s="4"/>
      <c r="V857" s="4"/>
      <c r="W857" s="4"/>
      <c r="X857" s="4"/>
      <c r="Y857" s="4"/>
      <c r="Z857" s="4"/>
    </row>
    <row r="858" spans="2:26" ht="15" x14ac:dyDescent="0.25">
      <c r="B858" s="4"/>
      <c r="C858" s="4"/>
      <c r="D858" s="5"/>
      <c r="E858" s="4"/>
      <c r="F858" s="4"/>
      <c r="G858" s="4"/>
      <c r="H858" s="4"/>
      <c r="I858" s="4"/>
      <c r="J858" s="4"/>
      <c r="K858" s="4"/>
      <c r="L858" s="4"/>
      <c r="M858" s="4"/>
      <c r="N858" s="4"/>
      <c r="O858" s="4"/>
      <c r="P858" s="4"/>
      <c r="Q858" s="4"/>
      <c r="R858" s="4"/>
      <c r="S858" s="4"/>
      <c r="T858" s="4"/>
      <c r="U858" s="4"/>
      <c r="V858" s="4"/>
      <c r="W858" s="4"/>
      <c r="X858" s="4"/>
      <c r="Y858" s="4"/>
      <c r="Z858" s="4"/>
    </row>
    <row r="859" spans="2:26" ht="15" x14ac:dyDescent="0.25">
      <c r="B859" s="4"/>
      <c r="C859" s="4"/>
      <c r="D859" s="5"/>
      <c r="E859" s="4"/>
      <c r="F859" s="4"/>
      <c r="G859" s="4"/>
      <c r="H859" s="4"/>
      <c r="I859" s="4"/>
      <c r="J859" s="4"/>
      <c r="K859" s="4"/>
      <c r="L859" s="4"/>
      <c r="M859" s="4"/>
      <c r="N859" s="4"/>
      <c r="O859" s="4"/>
      <c r="P859" s="4"/>
      <c r="Q859" s="4"/>
      <c r="R859" s="4"/>
      <c r="S859" s="4"/>
      <c r="T859" s="4"/>
      <c r="U859" s="4"/>
      <c r="V859" s="4"/>
      <c r="W859" s="4"/>
      <c r="X859" s="4"/>
      <c r="Y859" s="4"/>
      <c r="Z859" s="4"/>
    </row>
    <row r="860" spans="2:26" ht="15" x14ac:dyDescent="0.25">
      <c r="B860" s="4"/>
      <c r="C860" s="4"/>
      <c r="D860" s="5"/>
      <c r="E860" s="4"/>
      <c r="F860" s="4"/>
      <c r="G860" s="4"/>
      <c r="H860" s="4"/>
      <c r="I860" s="4"/>
      <c r="J860" s="4"/>
      <c r="K860" s="4"/>
      <c r="L860" s="4"/>
      <c r="M860" s="4"/>
      <c r="N860" s="4"/>
      <c r="O860" s="4"/>
      <c r="P860" s="4"/>
      <c r="Q860" s="4"/>
      <c r="R860" s="4"/>
      <c r="S860" s="4"/>
      <c r="T860" s="4"/>
      <c r="U860" s="4"/>
      <c r="V860" s="4"/>
      <c r="W860" s="4"/>
      <c r="X860" s="4"/>
      <c r="Y860" s="4"/>
      <c r="Z860" s="4"/>
    </row>
    <row r="861" spans="2:26" ht="15" x14ac:dyDescent="0.25">
      <c r="B861" s="4"/>
      <c r="C861" s="4"/>
      <c r="D861" s="5"/>
      <c r="E861" s="4"/>
      <c r="F861" s="4"/>
      <c r="G861" s="4"/>
      <c r="H861" s="4"/>
      <c r="I861" s="4"/>
      <c r="J861" s="4"/>
      <c r="K861" s="4"/>
      <c r="L861" s="4"/>
      <c r="M861" s="4"/>
      <c r="N861" s="4"/>
      <c r="O861" s="4"/>
      <c r="P861" s="4"/>
      <c r="Q861" s="4"/>
      <c r="R861" s="4"/>
      <c r="S861" s="4"/>
      <c r="T861" s="4"/>
      <c r="U861" s="4"/>
      <c r="V861" s="4"/>
      <c r="W861" s="4"/>
      <c r="X861" s="4"/>
      <c r="Y861" s="4"/>
      <c r="Z861" s="4"/>
    </row>
    <row r="862" spans="2:26" ht="15" x14ac:dyDescent="0.25">
      <c r="B862" s="4"/>
      <c r="C862" s="4"/>
      <c r="D862" s="5"/>
      <c r="E862" s="4"/>
      <c r="F862" s="4"/>
      <c r="G862" s="4"/>
      <c r="H862" s="4"/>
      <c r="I862" s="4"/>
      <c r="J862" s="4"/>
      <c r="K862" s="4"/>
      <c r="L862" s="4"/>
      <c r="M862" s="4"/>
      <c r="N862" s="4"/>
      <c r="O862" s="4"/>
      <c r="P862" s="4"/>
      <c r="Q862" s="4"/>
      <c r="R862" s="4"/>
      <c r="S862" s="4"/>
      <c r="T862" s="4"/>
      <c r="U862" s="4"/>
      <c r="V862" s="4"/>
      <c r="W862" s="4"/>
      <c r="X862" s="4"/>
      <c r="Y862" s="4"/>
      <c r="Z862" s="4"/>
    </row>
    <row r="863" spans="2:26" ht="15" x14ac:dyDescent="0.25">
      <c r="B863" s="4"/>
      <c r="C863" s="4"/>
      <c r="D863" s="5"/>
      <c r="E863" s="4"/>
      <c r="F863" s="4"/>
      <c r="G863" s="4"/>
      <c r="H863" s="4"/>
      <c r="I863" s="4"/>
      <c r="J863" s="4"/>
      <c r="K863" s="4"/>
      <c r="L863" s="4"/>
      <c r="M863" s="4"/>
      <c r="N863" s="4"/>
      <c r="O863" s="4"/>
      <c r="P863" s="4"/>
      <c r="Q863" s="4"/>
      <c r="R863" s="4"/>
      <c r="S863" s="4"/>
      <c r="T863" s="4"/>
      <c r="U863" s="4"/>
      <c r="V863" s="4"/>
      <c r="W863" s="4"/>
      <c r="X863" s="4"/>
      <c r="Y863" s="4"/>
      <c r="Z863" s="4"/>
    </row>
    <row r="864" spans="2:26" ht="15" x14ac:dyDescent="0.25">
      <c r="B864" s="4"/>
      <c r="C864" s="4"/>
      <c r="D864" s="5"/>
      <c r="E864" s="4"/>
      <c r="F864" s="4"/>
      <c r="G864" s="4"/>
      <c r="H864" s="4"/>
      <c r="I864" s="4"/>
      <c r="J864" s="4"/>
      <c r="K864" s="4"/>
      <c r="L864" s="4"/>
      <c r="M864" s="4"/>
      <c r="N864" s="4"/>
      <c r="O864" s="4"/>
      <c r="P864" s="4"/>
      <c r="Q864" s="4"/>
      <c r="R864" s="4"/>
      <c r="S864" s="4"/>
      <c r="T864" s="4"/>
      <c r="U864" s="4"/>
      <c r="V864" s="4"/>
      <c r="W864" s="4"/>
      <c r="X864" s="4"/>
      <c r="Y864" s="4"/>
      <c r="Z864" s="4"/>
    </row>
    <row r="865" spans="2:26" ht="15" x14ac:dyDescent="0.25">
      <c r="B865" s="4"/>
      <c r="C865" s="4"/>
      <c r="D865" s="5"/>
      <c r="E865" s="4"/>
      <c r="F865" s="4"/>
      <c r="G865" s="4"/>
      <c r="H865" s="4"/>
      <c r="I865" s="4"/>
      <c r="J865" s="4"/>
      <c r="K865" s="4"/>
      <c r="L865" s="4"/>
      <c r="M865" s="4"/>
      <c r="N865" s="4"/>
      <c r="O865" s="4"/>
      <c r="P865" s="4"/>
      <c r="Q865" s="4"/>
      <c r="R865" s="4"/>
      <c r="S865" s="4"/>
      <c r="T865" s="4"/>
      <c r="U865" s="4"/>
      <c r="V865" s="4"/>
      <c r="W865" s="4"/>
      <c r="X865" s="4"/>
      <c r="Y865" s="4"/>
      <c r="Z865" s="4"/>
    </row>
    <row r="866" spans="2:26" ht="15" x14ac:dyDescent="0.25">
      <c r="B866" s="4"/>
      <c r="C866" s="4"/>
      <c r="D866" s="5"/>
      <c r="E866" s="4"/>
      <c r="F866" s="4"/>
      <c r="G866" s="4"/>
      <c r="H866" s="4"/>
      <c r="I866" s="4"/>
      <c r="J866" s="4"/>
      <c r="K866" s="4"/>
      <c r="L866" s="4"/>
      <c r="M866" s="4"/>
      <c r="N866" s="4"/>
      <c r="O866" s="4"/>
      <c r="P866" s="4"/>
      <c r="Q866" s="4"/>
      <c r="R866" s="4"/>
      <c r="S866" s="4"/>
      <c r="T866" s="4"/>
      <c r="U866" s="4"/>
      <c r="V866" s="4"/>
      <c r="W866" s="4"/>
      <c r="X866" s="4"/>
      <c r="Y866" s="4"/>
      <c r="Z866" s="4"/>
    </row>
    <row r="867" spans="2:26" ht="15" x14ac:dyDescent="0.25">
      <c r="B867" s="4"/>
      <c r="C867" s="4"/>
      <c r="D867" s="5"/>
      <c r="E867" s="4"/>
      <c r="F867" s="4"/>
      <c r="G867" s="4"/>
      <c r="H867" s="4"/>
      <c r="I867" s="4"/>
      <c r="J867" s="4"/>
      <c r="K867" s="4"/>
      <c r="L867" s="4"/>
      <c r="M867" s="4"/>
      <c r="N867" s="4"/>
      <c r="O867" s="4"/>
      <c r="P867" s="4"/>
      <c r="Q867" s="4"/>
      <c r="R867" s="4"/>
      <c r="S867" s="4"/>
      <c r="T867" s="4"/>
      <c r="U867" s="4"/>
      <c r="V867" s="4"/>
      <c r="W867" s="4"/>
      <c r="X867" s="4"/>
      <c r="Y867" s="4"/>
      <c r="Z867" s="4"/>
    </row>
    <row r="868" spans="2:26" ht="15" x14ac:dyDescent="0.25">
      <c r="B868" s="4"/>
      <c r="C868" s="4"/>
      <c r="D868" s="5"/>
      <c r="E868" s="4"/>
      <c r="F868" s="4"/>
      <c r="G868" s="4"/>
      <c r="H868" s="4"/>
      <c r="I868" s="4"/>
      <c r="J868" s="4"/>
      <c r="K868" s="4"/>
      <c r="L868" s="4"/>
      <c r="M868" s="4"/>
      <c r="N868" s="4"/>
      <c r="O868" s="4"/>
      <c r="P868" s="4"/>
      <c r="Q868" s="4"/>
      <c r="R868" s="4"/>
      <c r="S868" s="4"/>
      <c r="T868" s="4"/>
      <c r="U868" s="4"/>
      <c r="V868" s="4"/>
      <c r="W868" s="4"/>
      <c r="X868" s="4"/>
      <c r="Y868" s="4"/>
      <c r="Z868" s="4"/>
    </row>
    <row r="869" spans="2:26" ht="15" x14ac:dyDescent="0.25">
      <c r="B869" s="4"/>
      <c r="C869" s="4"/>
      <c r="D869" s="5"/>
      <c r="E869" s="4"/>
      <c r="F869" s="4"/>
      <c r="G869" s="4"/>
      <c r="H869" s="4"/>
      <c r="I869" s="4"/>
      <c r="J869" s="4"/>
      <c r="K869" s="4"/>
      <c r="L869" s="4"/>
      <c r="M869" s="4"/>
      <c r="N869" s="4"/>
      <c r="O869" s="4"/>
      <c r="P869" s="4"/>
      <c r="Q869" s="4"/>
      <c r="R869" s="4"/>
      <c r="S869" s="4"/>
      <c r="T869" s="4"/>
      <c r="U869" s="4"/>
      <c r="V869" s="4"/>
      <c r="W869" s="4"/>
      <c r="X869" s="4"/>
      <c r="Y869" s="4"/>
      <c r="Z869" s="4"/>
    </row>
    <row r="870" spans="2:26" ht="15" x14ac:dyDescent="0.25">
      <c r="B870" s="4"/>
      <c r="C870" s="4"/>
      <c r="D870" s="5"/>
      <c r="E870" s="4"/>
      <c r="F870" s="4"/>
      <c r="G870" s="4"/>
      <c r="H870" s="4"/>
      <c r="I870" s="4"/>
      <c r="J870" s="4"/>
      <c r="K870" s="4"/>
      <c r="L870" s="4"/>
      <c r="M870" s="4"/>
      <c r="N870" s="4"/>
      <c r="O870" s="4"/>
      <c r="P870" s="4"/>
      <c r="Q870" s="4"/>
      <c r="R870" s="4"/>
      <c r="S870" s="4"/>
      <c r="T870" s="4"/>
      <c r="U870" s="4"/>
      <c r="V870" s="4"/>
      <c r="W870" s="4"/>
      <c r="X870" s="4"/>
      <c r="Y870" s="4"/>
      <c r="Z870" s="4"/>
    </row>
    <row r="871" spans="2:26" ht="15" x14ac:dyDescent="0.25">
      <c r="B871" s="4"/>
      <c r="C871" s="4"/>
      <c r="D871" s="5"/>
      <c r="E871" s="4"/>
      <c r="F871" s="4"/>
      <c r="G871" s="4"/>
      <c r="H871" s="4"/>
      <c r="I871" s="4"/>
      <c r="J871" s="4"/>
      <c r="K871" s="4"/>
      <c r="L871" s="4"/>
      <c r="M871" s="4"/>
      <c r="N871" s="4"/>
      <c r="O871" s="4"/>
      <c r="P871" s="4"/>
      <c r="Q871" s="4"/>
      <c r="R871" s="4"/>
      <c r="S871" s="4"/>
      <c r="T871" s="4"/>
      <c r="U871" s="4"/>
      <c r="V871" s="4"/>
      <c r="W871" s="4"/>
      <c r="X871" s="4"/>
      <c r="Y871" s="4"/>
      <c r="Z871" s="4"/>
    </row>
    <row r="872" spans="2:26" ht="15" x14ac:dyDescent="0.25">
      <c r="B872" s="4"/>
      <c r="C872" s="4"/>
      <c r="D872" s="5"/>
      <c r="E872" s="4"/>
      <c r="F872" s="4"/>
      <c r="G872" s="4"/>
      <c r="H872" s="4"/>
      <c r="I872" s="4"/>
      <c r="J872" s="4"/>
      <c r="K872" s="4"/>
      <c r="L872" s="4"/>
      <c r="M872" s="4"/>
      <c r="N872" s="4"/>
      <c r="O872" s="4"/>
      <c r="P872" s="4"/>
      <c r="Q872" s="4"/>
      <c r="R872" s="4"/>
      <c r="S872" s="4"/>
      <c r="T872" s="4"/>
      <c r="U872" s="4"/>
      <c r="V872" s="4"/>
      <c r="W872" s="4"/>
      <c r="X872" s="4"/>
      <c r="Y872" s="4"/>
      <c r="Z872" s="4"/>
    </row>
    <row r="873" spans="2:26" ht="15" x14ac:dyDescent="0.25">
      <c r="B873" s="4"/>
      <c r="C873" s="4"/>
      <c r="D873" s="5"/>
      <c r="E873" s="4"/>
      <c r="F873" s="4"/>
      <c r="G873" s="4"/>
      <c r="H873" s="4"/>
      <c r="I873" s="4"/>
      <c r="J873" s="4"/>
      <c r="K873" s="4"/>
      <c r="L873" s="4"/>
      <c r="M873" s="4"/>
      <c r="N873" s="4"/>
      <c r="O873" s="4"/>
      <c r="P873" s="4"/>
      <c r="Q873" s="4"/>
      <c r="R873" s="4"/>
      <c r="S873" s="4"/>
      <c r="T873" s="4"/>
      <c r="U873" s="4"/>
      <c r="V873" s="4"/>
      <c r="W873" s="4"/>
      <c r="X873" s="4"/>
      <c r="Y873" s="4"/>
      <c r="Z873" s="4"/>
    </row>
    <row r="874" spans="2:26" ht="15" x14ac:dyDescent="0.25">
      <c r="B874" s="4"/>
      <c r="C874" s="4"/>
      <c r="D874" s="5"/>
      <c r="E874" s="4"/>
      <c r="F874" s="4"/>
      <c r="G874" s="4"/>
      <c r="H874" s="4"/>
      <c r="I874" s="4"/>
      <c r="J874" s="4"/>
      <c r="K874" s="4"/>
      <c r="L874" s="4"/>
      <c r="M874" s="4"/>
      <c r="N874" s="4"/>
      <c r="O874" s="4"/>
      <c r="P874" s="4"/>
      <c r="Q874" s="4"/>
      <c r="R874" s="4"/>
      <c r="S874" s="4"/>
      <c r="T874" s="4"/>
      <c r="U874" s="4"/>
      <c r="V874" s="4"/>
      <c r="W874" s="4"/>
      <c r="X874" s="4"/>
      <c r="Y874" s="4"/>
      <c r="Z874" s="4"/>
    </row>
    <row r="875" spans="2:26" ht="15" x14ac:dyDescent="0.25">
      <c r="B875" s="4"/>
      <c r="C875" s="4"/>
      <c r="D875" s="5"/>
      <c r="E875" s="4"/>
      <c r="F875" s="4"/>
      <c r="G875" s="4"/>
      <c r="H875" s="4"/>
      <c r="I875" s="4"/>
      <c r="J875" s="4"/>
      <c r="K875" s="4"/>
      <c r="L875" s="4"/>
      <c r="M875" s="4"/>
      <c r="N875" s="4"/>
      <c r="O875" s="4"/>
      <c r="P875" s="4"/>
      <c r="Q875" s="4"/>
      <c r="R875" s="4"/>
      <c r="S875" s="4"/>
      <c r="T875" s="4"/>
      <c r="U875" s="4"/>
      <c r="V875" s="4"/>
      <c r="W875" s="4"/>
      <c r="X875" s="4"/>
      <c r="Y875" s="4"/>
      <c r="Z875" s="4"/>
    </row>
    <row r="876" spans="2:26" ht="15" x14ac:dyDescent="0.25">
      <c r="B876" s="4"/>
      <c r="C876" s="4"/>
      <c r="D876" s="5"/>
      <c r="E876" s="4"/>
      <c r="F876" s="4"/>
      <c r="G876" s="4"/>
      <c r="H876" s="4"/>
      <c r="I876" s="4"/>
      <c r="J876" s="4"/>
      <c r="K876" s="4"/>
      <c r="L876" s="4"/>
      <c r="M876" s="4"/>
      <c r="N876" s="4"/>
      <c r="O876" s="4"/>
      <c r="P876" s="4"/>
      <c r="Q876" s="4"/>
      <c r="R876" s="4"/>
      <c r="S876" s="4"/>
      <c r="T876" s="4"/>
      <c r="U876" s="4"/>
      <c r="V876" s="4"/>
      <c r="W876" s="4"/>
      <c r="X876" s="4"/>
      <c r="Y876" s="4"/>
      <c r="Z876" s="4"/>
    </row>
    <row r="877" spans="2:26" ht="15" x14ac:dyDescent="0.25">
      <c r="B877" s="4"/>
      <c r="C877" s="4"/>
      <c r="D877" s="5"/>
      <c r="E877" s="4"/>
      <c r="F877" s="4"/>
      <c r="G877" s="4"/>
      <c r="H877" s="4"/>
      <c r="I877" s="4"/>
      <c r="J877" s="4"/>
      <c r="K877" s="4"/>
      <c r="L877" s="4"/>
      <c r="M877" s="4"/>
      <c r="N877" s="4"/>
      <c r="O877" s="4"/>
      <c r="P877" s="4"/>
      <c r="Q877" s="4"/>
      <c r="R877" s="4"/>
      <c r="S877" s="4"/>
      <c r="T877" s="4"/>
      <c r="U877" s="4"/>
      <c r="V877" s="4"/>
      <c r="W877" s="4"/>
      <c r="X877" s="4"/>
      <c r="Y877" s="4"/>
      <c r="Z877" s="4"/>
    </row>
    <row r="878" spans="2:26" ht="15" x14ac:dyDescent="0.25">
      <c r="B878" s="4"/>
      <c r="C878" s="4"/>
      <c r="D878" s="5"/>
      <c r="E878" s="4"/>
      <c r="F878" s="4"/>
      <c r="G878" s="4"/>
      <c r="H878" s="4"/>
      <c r="I878" s="4"/>
      <c r="J878" s="4"/>
      <c r="K878" s="4"/>
      <c r="L878" s="4"/>
      <c r="M878" s="4"/>
      <c r="N878" s="4"/>
      <c r="O878" s="4"/>
      <c r="P878" s="4"/>
      <c r="Q878" s="4"/>
      <c r="R878" s="4"/>
      <c r="S878" s="4"/>
      <c r="T878" s="4"/>
      <c r="U878" s="4"/>
      <c r="V878" s="4"/>
      <c r="W878" s="4"/>
      <c r="X878" s="4"/>
      <c r="Y878" s="4"/>
      <c r="Z878" s="4"/>
    </row>
    <row r="879" spans="2:26" ht="15" x14ac:dyDescent="0.25">
      <c r="B879" s="4"/>
      <c r="C879" s="4"/>
      <c r="D879" s="5"/>
      <c r="E879" s="4"/>
      <c r="F879" s="4"/>
      <c r="G879" s="4"/>
      <c r="H879" s="4"/>
      <c r="I879" s="4"/>
      <c r="J879" s="4"/>
      <c r="K879" s="4"/>
      <c r="L879" s="4"/>
      <c r="M879" s="4"/>
      <c r="N879" s="4"/>
      <c r="O879" s="4"/>
      <c r="P879" s="4"/>
      <c r="Q879" s="4"/>
      <c r="R879" s="4"/>
      <c r="S879" s="4"/>
      <c r="T879" s="4"/>
      <c r="U879" s="4"/>
      <c r="V879" s="4"/>
      <c r="W879" s="4"/>
      <c r="X879" s="4"/>
      <c r="Y879" s="4"/>
      <c r="Z879" s="4"/>
    </row>
    <row r="880" spans="2:26" ht="15" x14ac:dyDescent="0.25">
      <c r="B880" s="4"/>
      <c r="C880" s="4"/>
      <c r="D880" s="5"/>
      <c r="E880" s="4"/>
      <c r="F880" s="4"/>
      <c r="G880" s="4"/>
      <c r="H880" s="4"/>
      <c r="I880" s="4"/>
      <c r="J880" s="4"/>
      <c r="K880" s="4"/>
      <c r="L880" s="4"/>
      <c r="M880" s="4"/>
      <c r="N880" s="4"/>
      <c r="O880" s="4"/>
      <c r="P880" s="4"/>
      <c r="Q880" s="4"/>
      <c r="R880" s="4"/>
      <c r="S880" s="4"/>
      <c r="T880" s="4"/>
      <c r="U880" s="4"/>
      <c r="V880" s="4"/>
      <c r="W880" s="4"/>
      <c r="X880" s="4"/>
      <c r="Y880" s="4"/>
      <c r="Z880" s="4"/>
    </row>
    <row r="881" spans="2:26" ht="15" x14ac:dyDescent="0.25">
      <c r="B881" s="4"/>
      <c r="C881" s="4"/>
      <c r="D881" s="5"/>
      <c r="E881" s="4"/>
      <c r="F881" s="4"/>
      <c r="G881" s="4"/>
      <c r="H881" s="4"/>
      <c r="I881" s="4"/>
      <c r="J881" s="4"/>
      <c r="K881" s="4"/>
      <c r="L881" s="4"/>
      <c r="M881" s="4"/>
      <c r="N881" s="4"/>
      <c r="O881" s="4"/>
      <c r="P881" s="4"/>
      <c r="Q881" s="4"/>
      <c r="R881" s="4"/>
      <c r="S881" s="4"/>
      <c r="T881" s="4"/>
      <c r="U881" s="4"/>
      <c r="V881" s="4"/>
      <c r="W881" s="4"/>
      <c r="X881" s="4"/>
      <c r="Y881" s="4"/>
      <c r="Z881" s="4"/>
    </row>
    <row r="882" spans="2:26" ht="15" x14ac:dyDescent="0.25">
      <c r="B882" s="4"/>
      <c r="C882" s="4"/>
      <c r="D882" s="5"/>
      <c r="E882" s="4"/>
      <c r="F882" s="4"/>
      <c r="G882" s="4"/>
      <c r="H882" s="4"/>
      <c r="I882" s="4"/>
      <c r="J882" s="4"/>
      <c r="K882" s="4"/>
      <c r="L882" s="4"/>
      <c r="M882" s="4"/>
      <c r="N882" s="4"/>
      <c r="O882" s="4"/>
      <c r="P882" s="4"/>
      <c r="Q882" s="4"/>
      <c r="R882" s="4"/>
      <c r="S882" s="4"/>
      <c r="T882" s="4"/>
      <c r="U882" s="4"/>
      <c r="V882" s="4"/>
      <c r="W882" s="4"/>
      <c r="X882" s="4"/>
      <c r="Y882" s="4"/>
      <c r="Z882" s="4"/>
    </row>
    <row r="883" spans="2:26" ht="15" x14ac:dyDescent="0.25">
      <c r="B883" s="4"/>
      <c r="C883" s="4"/>
      <c r="D883" s="5"/>
      <c r="E883" s="4"/>
      <c r="F883" s="4"/>
      <c r="G883" s="4"/>
      <c r="H883" s="4"/>
      <c r="I883" s="4"/>
      <c r="J883" s="4"/>
      <c r="K883" s="4"/>
      <c r="L883" s="4"/>
      <c r="M883" s="4"/>
      <c r="N883" s="4"/>
      <c r="O883" s="4"/>
      <c r="P883" s="4"/>
      <c r="Q883" s="4"/>
      <c r="R883" s="4"/>
      <c r="S883" s="4"/>
      <c r="T883" s="4"/>
      <c r="U883" s="4"/>
      <c r="V883" s="4"/>
      <c r="W883" s="4"/>
      <c r="X883" s="4"/>
      <c r="Y883" s="4"/>
      <c r="Z883" s="4"/>
    </row>
    <row r="884" spans="2:26" ht="15" x14ac:dyDescent="0.25">
      <c r="B884" s="4"/>
      <c r="C884" s="4"/>
      <c r="D884" s="5"/>
      <c r="E884" s="4"/>
      <c r="F884" s="4"/>
      <c r="G884" s="4"/>
      <c r="H884" s="4"/>
      <c r="I884" s="4"/>
      <c r="J884" s="4"/>
      <c r="K884" s="4"/>
      <c r="L884" s="4"/>
      <c r="M884" s="4"/>
      <c r="N884" s="4"/>
      <c r="O884" s="4"/>
      <c r="P884" s="4"/>
      <c r="Q884" s="4"/>
      <c r="R884" s="4"/>
      <c r="S884" s="4"/>
      <c r="T884" s="4"/>
      <c r="U884" s="4"/>
      <c r="V884" s="4"/>
      <c r="W884" s="4"/>
      <c r="X884" s="4"/>
      <c r="Y884" s="4"/>
      <c r="Z884" s="4"/>
    </row>
    <row r="885" spans="2:26" ht="15" x14ac:dyDescent="0.25">
      <c r="B885" s="4"/>
      <c r="C885" s="4"/>
      <c r="D885" s="5"/>
      <c r="E885" s="4"/>
      <c r="F885" s="4"/>
      <c r="G885" s="4"/>
      <c r="H885" s="4"/>
      <c r="I885" s="4"/>
      <c r="J885" s="4"/>
      <c r="K885" s="4"/>
      <c r="L885" s="4"/>
      <c r="M885" s="4"/>
      <c r="N885" s="4"/>
      <c r="O885" s="4"/>
      <c r="P885" s="4"/>
      <c r="Q885" s="4"/>
      <c r="R885" s="4"/>
      <c r="S885" s="4"/>
      <c r="T885" s="4"/>
      <c r="U885" s="4"/>
      <c r="V885" s="4"/>
      <c r="W885" s="4"/>
      <c r="X885" s="4"/>
      <c r="Y885" s="4"/>
      <c r="Z885" s="4"/>
    </row>
    <row r="886" spans="2:26" ht="15" x14ac:dyDescent="0.25">
      <c r="B886" s="4"/>
      <c r="C886" s="4"/>
      <c r="D886" s="5"/>
      <c r="E886" s="4"/>
      <c r="F886" s="4"/>
      <c r="G886" s="4"/>
      <c r="H886" s="4"/>
      <c r="I886" s="4"/>
      <c r="J886" s="4"/>
      <c r="K886" s="4"/>
      <c r="L886" s="4"/>
      <c r="M886" s="4"/>
      <c r="N886" s="4"/>
      <c r="O886" s="4"/>
      <c r="P886" s="4"/>
      <c r="Q886" s="4"/>
      <c r="R886" s="4"/>
      <c r="S886" s="4"/>
      <c r="T886" s="4"/>
      <c r="U886" s="4"/>
      <c r="V886" s="4"/>
      <c r="W886" s="4"/>
      <c r="X886" s="4"/>
      <c r="Y886" s="4"/>
      <c r="Z886" s="4"/>
    </row>
    <row r="887" spans="2:26" ht="15" x14ac:dyDescent="0.25">
      <c r="B887" s="4"/>
      <c r="C887" s="4"/>
      <c r="D887" s="5"/>
      <c r="E887" s="4"/>
      <c r="F887" s="4"/>
      <c r="G887" s="4"/>
      <c r="H887" s="4"/>
      <c r="I887" s="4"/>
      <c r="J887" s="4"/>
      <c r="K887" s="4"/>
      <c r="L887" s="4"/>
      <c r="M887" s="4"/>
      <c r="N887" s="4"/>
      <c r="O887" s="4"/>
      <c r="P887" s="4"/>
      <c r="Q887" s="4"/>
      <c r="R887" s="4"/>
      <c r="S887" s="4"/>
      <c r="T887" s="4"/>
      <c r="U887" s="4"/>
      <c r="V887" s="4"/>
      <c r="W887" s="4"/>
      <c r="X887" s="4"/>
      <c r="Y887" s="4"/>
      <c r="Z887" s="4"/>
    </row>
    <row r="888" spans="2:26" ht="15" x14ac:dyDescent="0.25">
      <c r="B888" s="4"/>
      <c r="C888" s="4"/>
      <c r="D888" s="5"/>
      <c r="E888" s="4"/>
      <c r="F888" s="4"/>
      <c r="G888" s="4"/>
      <c r="H888" s="4"/>
      <c r="I888" s="4"/>
      <c r="J888" s="4"/>
      <c r="K888" s="4"/>
      <c r="L888" s="4"/>
      <c r="M888" s="4"/>
      <c r="N888" s="4"/>
      <c r="O888" s="4"/>
      <c r="P888" s="4"/>
      <c r="Q888" s="4"/>
      <c r="R888" s="4"/>
      <c r="S888" s="4"/>
      <c r="T888" s="4"/>
      <c r="U888" s="4"/>
      <c r="V888" s="4"/>
      <c r="W888" s="4"/>
      <c r="X888" s="4"/>
      <c r="Y888" s="4"/>
      <c r="Z888" s="4"/>
    </row>
    <row r="889" spans="2:26" ht="15" x14ac:dyDescent="0.25">
      <c r="B889" s="4"/>
      <c r="C889" s="4"/>
      <c r="D889" s="5"/>
      <c r="E889" s="4"/>
      <c r="F889" s="4"/>
      <c r="G889" s="4"/>
      <c r="H889" s="4"/>
      <c r="I889" s="4"/>
      <c r="J889" s="4"/>
      <c r="K889" s="4"/>
      <c r="L889" s="4"/>
      <c r="M889" s="4"/>
      <c r="N889" s="4"/>
      <c r="O889" s="4"/>
      <c r="P889" s="4"/>
      <c r="Q889" s="4"/>
      <c r="R889" s="4"/>
      <c r="S889" s="4"/>
      <c r="T889" s="4"/>
      <c r="U889" s="4"/>
      <c r="V889" s="4"/>
      <c r="W889" s="4"/>
      <c r="X889" s="4"/>
      <c r="Y889" s="4"/>
      <c r="Z889" s="4"/>
    </row>
    <row r="890" spans="2:26" ht="15" x14ac:dyDescent="0.25">
      <c r="B890" s="4"/>
      <c r="C890" s="4"/>
      <c r="D890" s="5"/>
      <c r="E890" s="4"/>
      <c r="F890" s="4"/>
      <c r="G890" s="4"/>
      <c r="H890" s="4"/>
      <c r="I890" s="4"/>
      <c r="J890" s="4"/>
      <c r="K890" s="4"/>
      <c r="L890" s="4"/>
      <c r="M890" s="4"/>
      <c r="N890" s="4"/>
      <c r="O890" s="4"/>
      <c r="P890" s="4"/>
      <c r="Q890" s="4"/>
      <c r="R890" s="4"/>
      <c r="S890" s="4"/>
      <c r="T890" s="4"/>
      <c r="U890" s="4"/>
      <c r="V890" s="4"/>
      <c r="W890" s="4"/>
      <c r="X890" s="4"/>
      <c r="Y890" s="4"/>
      <c r="Z890" s="4"/>
    </row>
    <row r="891" spans="2:26" ht="15" x14ac:dyDescent="0.25">
      <c r="B891" s="4"/>
      <c r="C891" s="4"/>
      <c r="D891" s="5"/>
      <c r="E891" s="4"/>
      <c r="F891" s="4"/>
      <c r="G891" s="4"/>
      <c r="H891" s="4"/>
      <c r="I891" s="4"/>
      <c r="J891" s="4"/>
      <c r="K891" s="4"/>
      <c r="L891" s="4"/>
      <c r="M891" s="4"/>
      <c r="N891" s="4"/>
      <c r="O891" s="4"/>
      <c r="P891" s="4"/>
      <c r="Q891" s="4"/>
      <c r="R891" s="4"/>
      <c r="S891" s="4"/>
      <c r="T891" s="4"/>
      <c r="U891" s="4"/>
      <c r="V891" s="4"/>
      <c r="W891" s="4"/>
      <c r="X891" s="4"/>
      <c r="Y891" s="4"/>
      <c r="Z891" s="4"/>
    </row>
    <row r="892" spans="2:26" ht="15" x14ac:dyDescent="0.25">
      <c r="B892" s="4"/>
      <c r="C892" s="4"/>
      <c r="D892" s="5"/>
      <c r="E892" s="4"/>
      <c r="F892" s="4"/>
      <c r="G892" s="4"/>
      <c r="H892" s="4"/>
      <c r="I892" s="4"/>
      <c r="J892" s="4"/>
      <c r="K892" s="4"/>
      <c r="L892" s="4"/>
      <c r="M892" s="4"/>
      <c r="N892" s="4"/>
      <c r="O892" s="4"/>
      <c r="P892" s="4"/>
      <c r="Q892" s="4"/>
      <c r="R892" s="4"/>
      <c r="S892" s="4"/>
      <c r="T892" s="4"/>
      <c r="U892" s="4"/>
      <c r="V892" s="4"/>
      <c r="W892" s="4"/>
      <c r="X892" s="4"/>
      <c r="Y892" s="4"/>
      <c r="Z892" s="4"/>
    </row>
    <row r="893" spans="2:26" ht="15" x14ac:dyDescent="0.25">
      <c r="B893" s="4"/>
      <c r="C893" s="4"/>
      <c r="D893" s="5"/>
      <c r="E893" s="4"/>
      <c r="F893" s="4"/>
      <c r="G893" s="4"/>
      <c r="H893" s="4"/>
      <c r="I893" s="4"/>
      <c r="J893" s="4"/>
      <c r="K893" s="4"/>
      <c r="L893" s="4"/>
      <c r="M893" s="4"/>
      <c r="N893" s="4"/>
      <c r="O893" s="4"/>
      <c r="P893" s="4"/>
      <c r="Q893" s="4"/>
      <c r="R893" s="4"/>
      <c r="S893" s="4"/>
      <c r="T893" s="4"/>
      <c r="U893" s="4"/>
      <c r="V893" s="4"/>
      <c r="W893" s="4"/>
      <c r="X893" s="4"/>
      <c r="Y893" s="4"/>
      <c r="Z893" s="4"/>
    </row>
    <row r="894" spans="2:26" ht="15" x14ac:dyDescent="0.25">
      <c r="B894" s="4"/>
      <c r="C894" s="4"/>
      <c r="D894" s="5"/>
      <c r="E894" s="4"/>
      <c r="F894" s="4"/>
      <c r="G894" s="4"/>
      <c r="H894" s="4"/>
      <c r="I894" s="4"/>
      <c r="J894" s="4"/>
      <c r="K894" s="4"/>
      <c r="L894" s="4"/>
      <c r="M894" s="4"/>
      <c r="N894" s="4"/>
      <c r="O894" s="4"/>
      <c r="P894" s="4"/>
      <c r="Q894" s="4"/>
      <c r="R894" s="4"/>
      <c r="S894" s="4"/>
      <c r="T894" s="4"/>
      <c r="U894" s="4"/>
      <c r="V894" s="4"/>
      <c r="W894" s="4"/>
      <c r="X894" s="4"/>
      <c r="Y894" s="4"/>
      <c r="Z894" s="4"/>
    </row>
    <row r="895" spans="2:26" ht="15" x14ac:dyDescent="0.25">
      <c r="B895" s="4"/>
      <c r="C895" s="4"/>
      <c r="D895" s="5"/>
      <c r="E895" s="4"/>
      <c r="F895" s="4"/>
      <c r="G895" s="4"/>
      <c r="H895" s="4"/>
      <c r="I895" s="4"/>
      <c r="J895" s="4"/>
      <c r="K895" s="4"/>
      <c r="L895" s="4"/>
      <c r="M895" s="4"/>
      <c r="N895" s="4"/>
      <c r="O895" s="4"/>
      <c r="P895" s="4"/>
      <c r="Q895" s="4"/>
      <c r="R895" s="4"/>
      <c r="S895" s="4"/>
      <c r="T895" s="4"/>
      <c r="U895" s="4"/>
      <c r="V895" s="4"/>
      <c r="W895" s="4"/>
      <c r="X895" s="4"/>
      <c r="Y895" s="4"/>
      <c r="Z895" s="4"/>
    </row>
    <row r="896" spans="2:26" ht="15" x14ac:dyDescent="0.25">
      <c r="B896" s="4"/>
      <c r="C896" s="4"/>
      <c r="D896" s="5"/>
      <c r="E896" s="4"/>
      <c r="F896" s="4"/>
      <c r="G896" s="4"/>
      <c r="H896" s="4"/>
      <c r="I896" s="4"/>
      <c r="J896" s="4"/>
      <c r="K896" s="4"/>
      <c r="L896" s="4"/>
      <c r="M896" s="4"/>
      <c r="N896" s="4"/>
      <c r="O896" s="4"/>
      <c r="P896" s="4"/>
      <c r="Q896" s="4"/>
      <c r="R896" s="4"/>
      <c r="S896" s="4"/>
      <c r="T896" s="4"/>
      <c r="U896" s="4"/>
      <c r="V896" s="4"/>
      <c r="W896" s="4"/>
      <c r="X896" s="4"/>
      <c r="Y896" s="4"/>
      <c r="Z896" s="4"/>
    </row>
    <row r="897" spans="2:26" ht="15" x14ac:dyDescent="0.25">
      <c r="B897" s="4"/>
      <c r="C897" s="4"/>
      <c r="D897" s="5"/>
      <c r="E897" s="4"/>
      <c r="F897" s="4"/>
      <c r="G897" s="4"/>
      <c r="H897" s="4"/>
      <c r="I897" s="4"/>
      <c r="J897" s="4"/>
      <c r="K897" s="4"/>
      <c r="L897" s="4"/>
      <c r="M897" s="4"/>
      <c r="N897" s="4"/>
      <c r="O897" s="4"/>
      <c r="P897" s="4"/>
      <c r="Q897" s="4"/>
      <c r="R897" s="4"/>
      <c r="S897" s="4"/>
      <c r="T897" s="4"/>
      <c r="U897" s="4"/>
      <c r="V897" s="4"/>
      <c r="W897" s="4"/>
      <c r="X897" s="4"/>
      <c r="Y897" s="4"/>
      <c r="Z897" s="4"/>
    </row>
    <row r="898" spans="2:26" ht="15" x14ac:dyDescent="0.25">
      <c r="B898" s="4"/>
      <c r="C898" s="4"/>
      <c r="D898" s="5"/>
      <c r="E898" s="4"/>
      <c r="F898" s="4"/>
      <c r="G898" s="4"/>
      <c r="H898" s="4"/>
      <c r="I898" s="4"/>
      <c r="J898" s="4"/>
      <c r="K898" s="4"/>
      <c r="L898" s="4"/>
      <c r="M898" s="4"/>
      <c r="N898" s="4"/>
      <c r="O898" s="4"/>
      <c r="P898" s="4"/>
      <c r="Q898" s="4"/>
      <c r="R898" s="4"/>
      <c r="S898" s="4"/>
      <c r="T898" s="4"/>
      <c r="U898" s="4"/>
      <c r="V898" s="4"/>
      <c r="W898" s="4"/>
      <c r="X898" s="4"/>
      <c r="Y898" s="4"/>
      <c r="Z898" s="4"/>
    </row>
    <row r="899" spans="2:26" ht="15" x14ac:dyDescent="0.25">
      <c r="B899" s="4"/>
      <c r="C899" s="4"/>
      <c r="D899" s="5"/>
      <c r="E899" s="4"/>
      <c r="F899" s="4"/>
      <c r="G899" s="4"/>
      <c r="H899" s="4"/>
      <c r="I899" s="4"/>
      <c r="J899" s="4"/>
      <c r="K899" s="4"/>
      <c r="L899" s="4"/>
      <c r="M899" s="4"/>
      <c r="N899" s="4"/>
      <c r="O899" s="4"/>
      <c r="P899" s="4"/>
      <c r="Q899" s="4"/>
      <c r="R899" s="4"/>
      <c r="S899" s="4"/>
      <c r="T899" s="4"/>
      <c r="U899" s="4"/>
      <c r="V899" s="4"/>
      <c r="W899" s="4"/>
      <c r="X899" s="4"/>
      <c r="Y899" s="4"/>
      <c r="Z899" s="4"/>
    </row>
    <row r="900" spans="2:26" ht="15" x14ac:dyDescent="0.25">
      <c r="B900" s="4"/>
      <c r="C900" s="4"/>
      <c r="D900" s="5"/>
      <c r="E900" s="4"/>
      <c r="F900" s="4"/>
      <c r="G900" s="4"/>
      <c r="H900" s="4"/>
      <c r="I900" s="4"/>
      <c r="J900" s="4"/>
      <c r="K900" s="4"/>
      <c r="L900" s="4"/>
      <c r="M900" s="4"/>
      <c r="N900" s="4"/>
      <c r="O900" s="4"/>
      <c r="P900" s="4"/>
      <c r="Q900" s="4"/>
      <c r="R900" s="4"/>
      <c r="S900" s="4"/>
      <c r="T900" s="4"/>
      <c r="U900" s="4"/>
      <c r="V900" s="4"/>
      <c r="W900" s="4"/>
      <c r="X900" s="4"/>
      <c r="Y900" s="4"/>
      <c r="Z900" s="4"/>
    </row>
    <row r="901" spans="2:26" ht="15" x14ac:dyDescent="0.25">
      <c r="B901" s="4"/>
      <c r="C901" s="4"/>
      <c r="D901" s="5"/>
      <c r="E901" s="4"/>
      <c r="F901" s="4"/>
      <c r="G901" s="4"/>
      <c r="H901" s="4"/>
      <c r="I901" s="4"/>
      <c r="J901" s="4"/>
      <c r="K901" s="4"/>
      <c r="L901" s="4"/>
      <c r="M901" s="4"/>
      <c r="N901" s="4"/>
      <c r="O901" s="4"/>
      <c r="P901" s="4"/>
      <c r="Q901" s="4"/>
      <c r="R901" s="4"/>
      <c r="S901" s="4"/>
      <c r="T901" s="4"/>
      <c r="U901" s="4"/>
      <c r="V901" s="4"/>
      <c r="W901" s="4"/>
      <c r="X901" s="4"/>
      <c r="Y901" s="4"/>
      <c r="Z901" s="4"/>
    </row>
    <row r="902" spans="2:26" ht="15" x14ac:dyDescent="0.25">
      <c r="B902" s="4"/>
      <c r="C902" s="4"/>
      <c r="D902" s="5"/>
      <c r="E902" s="4"/>
      <c r="F902" s="4"/>
      <c r="G902" s="4"/>
      <c r="H902" s="4"/>
      <c r="I902" s="4"/>
      <c r="J902" s="4"/>
      <c r="K902" s="4"/>
      <c r="L902" s="4"/>
      <c r="M902" s="4"/>
      <c r="N902" s="4"/>
      <c r="O902" s="4"/>
      <c r="P902" s="4"/>
      <c r="Q902" s="4"/>
      <c r="R902" s="4"/>
      <c r="S902" s="4"/>
      <c r="T902" s="4"/>
      <c r="U902" s="4"/>
      <c r="V902" s="4"/>
      <c r="W902" s="4"/>
      <c r="X902" s="4"/>
      <c r="Y902" s="4"/>
      <c r="Z902" s="4"/>
    </row>
    <row r="903" spans="2:26" ht="15" x14ac:dyDescent="0.25">
      <c r="B903" s="4"/>
      <c r="C903" s="4"/>
      <c r="D903" s="5"/>
      <c r="E903" s="4"/>
      <c r="F903" s="4"/>
      <c r="G903" s="4"/>
      <c r="H903" s="4"/>
      <c r="I903" s="4"/>
      <c r="J903" s="4"/>
      <c r="K903" s="4"/>
      <c r="L903" s="4"/>
      <c r="M903" s="4"/>
      <c r="N903" s="4"/>
      <c r="O903" s="4"/>
      <c r="P903" s="4"/>
      <c r="Q903" s="4"/>
      <c r="R903" s="4"/>
      <c r="S903" s="4"/>
      <c r="T903" s="4"/>
      <c r="U903" s="4"/>
      <c r="V903" s="4"/>
      <c r="W903" s="4"/>
      <c r="X903" s="4"/>
      <c r="Y903" s="4"/>
      <c r="Z903" s="4"/>
    </row>
    <row r="904" spans="2:26" ht="15" x14ac:dyDescent="0.25">
      <c r="B904" s="4"/>
      <c r="C904" s="4"/>
      <c r="D904" s="5"/>
      <c r="E904" s="4"/>
      <c r="F904" s="4"/>
      <c r="G904" s="4"/>
      <c r="H904" s="4"/>
      <c r="I904" s="4"/>
      <c r="J904" s="4"/>
      <c r="K904" s="4"/>
      <c r="L904" s="4"/>
      <c r="M904" s="4"/>
      <c r="N904" s="4"/>
      <c r="O904" s="4"/>
      <c r="P904" s="4"/>
      <c r="Q904" s="4"/>
      <c r="R904" s="4"/>
      <c r="S904" s="4"/>
      <c r="T904" s="4"/>
      <c r="U904" s="4"/>
      <c r="V904" s="4"/>
      <c r="W904" s="4"/>
      <c r="X904" s="4"/>
      <c r="Y904" s="4"/>
      <c r="Z904" s="4"/>
    </row>
    <row r="905" spans="2:26" ht="15" x14ac:dyDescent="0.25">
      <c r="B905" s="4"/>
      <c r="C905" s="4"/>
      <c r="D905" s="5"/>
      <c r="E905" s="4"/>
      <c r="F905" s="4"/>
      <c r="G905" s="4"/>
      <c r="H905" s="4"/>
      <c r="I905" s="4"/>
      <c r="J905" s="4"/>
      <c r="K905" s="4"/>
      <c r="L905" s="4"/>
      <c r="M905" s="4"/>
      <c r="N905" s="4"/>
      <c r="O905" s="4"/>
      <c r="P905" s="4"/>
      <c r="Q905" s="4"/>
      <c r="R905" s="4"/>
      <c r="S905" s="4"/>
      <c r="T905" s="4"/>
      <c r="U905" s="4"/>
      <c r="V905" s="4"/>
      <c r="W905" s="4"/>
      <c r="X905" s="4"/>
      <c r="Y905" s="4"/>
      <c r="Z905" s="4"/>
    </row>
    <row r="906" spans="2:26" ht="15" x14ac:dyDescent="0.25">
      <c r="B906" s="4"/>
      <c r="C906" s="4"/>
      <c r="D906" s="5"/>
      <c r="E906" s="4"/>
      <c r="F906" s="4"/>
      <c r="G906" s="4"/>
      <c r="H906" s="4"/>
      <c r="I906" s="4"/>
      <c r="J906" s="4"/>
      <c r="K906" s="4"/>
      <c r="L906" s="4"/>
      <c r="M906" s="4"/>
      <c r="N906" s="4"/>
      <c r="O906" s="4"/>
      <c r="P906" s="4"/>
      <c r="Q906" s="4"/>
      <c r="R906" s="4"/>
      <c r="S906" s="4"/>
      <c r="T906" s="4"/>
      <c r="U906" s="4"/>
      <c r="V906" s="4"/>
      <c r="W906" s="4"/>
      <c r="X906" s="4"/>
      <c r="Y906" s="4"/>
      <c r="Z906" s="4"/>
    </row>
    <row r="907" spans="2:26" ht="15" x14ac:dyDescent="0.25">
      <c r="B907" s="4"/>
      <c r="C907" s="4"/>
      <c r="D907" s="5"/>
      <c r="E907" s="4"/>
      <c r="F907" s="4"/>
      <c r="G907" s="4"/>
      <c r="H907" s="4"/>
      <c r="I907" s="4"/>
      <c r="J907" s="4"/>
      <c r="K907" s="4"/>
      <c r="L907" s="4"/>
      <c r="M907" s="4"/>
      <c r="N907" s="4"/>
      <c r="O907" s="4"/>
      <c r="P907" s="4"/>
      <c r="Q907" s="4"/>
      <c r="R907" s="4"/>
      <c r="S907" s="4"/>
      <c r="T907" s="4"/>
      <c r="U907" s="4"/>
      <c r="V907" s="4"/>
      <c r="W907" s="4"/>
      <c r="X907" s="4"/>
      <c r="Y907" s="4"/>
      <c r="Z907" s="4"/>
    </row>
    <row r="908" spans="2:26" ht="15" x14ac:dyDescent="0.25">
      <c r="B908" s="4"/>
      <c r="C908" s="4"/>
      <c r="D908" s="5"/>
      <c r="E908" s="4"/>
      <c r="F908" s="4"/>
      <c r="G908" s="4"/>
      <c r="H908" s="4"/>
      <c r="I908" s="4"/>
      <c r="J908" s="4"/>
      <c r="K908" s="4"/>
      <c r="L908" s="4"/>
      <c r="M908" s="4"/>
      <c r="N908" s="4"/>
      <c r="O908" s="4"/>
      <c r="P908" s="4"/>
      <c r="Q908" s="4"/>
      <c r="R908" s="4"/>
      <c r="S908" s="4"/>
      <c r="T908" s="4"/>
      <c r="U908" s="4"/>
      <c r="V908" s="4"/>
      <c r="W908" s="4"/>
      <c r="X908" s="4"/>
      <c r="Y908" s="4"/>
      <c r="Z908" s="4"/>
    </row>
    <row r="909" spans="2:26" ht="15" x14ac:dyDescent="0.25">
      <c r="B909" s="4"/>
      <c r="C909" s="4"/>
      <c r="D909" s="5"/>
      <c r="E909" s="4"/>
      <c r="F909" s="4"/>
      <c r="G909" s="4"/>
      <c r="H909" s="4"/>
      <c r="I909" s="4"/>
      <c r="J909" s="4"/>
      <c r="K909" s="4"/>
      <c r="L909" s="4"/>
      <c r="M909" s="4"/>
      <c r="N909" s="4"/>
      <c r="O909" s="4"/>
      <c r="P909" s="4"/>
      <c r="Q909" s="4"/>
      <c r="R909" s="4"/>
      <c r="S909" s="4"/>
      <c r="T909" s="4"/>
      <c r="U909" s="4"/>
      <c r="V909" s="4"/>
      <c r="W909" s="4"/>
      <c r="X909" s="4"/>
      <c r="Y909" s="4"/>
      <c r="Z909" s="4"/>
    </row>
    <row r="910" spans="2:26" ht="15" x14ac:dyDescent="0.25">
      <c r="B910" s="4"/>
      <c r="C910" s="4"/>
      <c r="D910" s="5"/>
      <c r="E910" s="4"/>
      <c r="F910" s="4"/>
      <c r="G910" s="4"/>
      <c r="H910" s="4"/>
      <c r="I910" s="4"/>
      <c r="J910" s="4"/>
      <c r="K910" s="4"/>
      <c r="L910" s="4"/>
      <c r="M910" s="4"/>
      <c r="N910" s="4"/>
      <c r="O910" s="4"/>
      <c r="P910" s="4"/>
      <c r="Q910" s="4"/>
      <c r="R910" s="4"/>
      <c r="S910" s="4"/>
      <c r="T910" s="4"/>
      <c r="U910" s="4"/>
      <c r="V910" s="4"/>
      <c r="W910" s="4"/>
      <c r="X910" s="4"/>
      <c r="Y910" s="4"/>
      <c r="Z910" s="4"/>
    </row>
    <row r="911" spans="2:26" ht="15" x14ac:dyDescent="0.25">
      <c r="B911" s="4"/>
      <c r="C911" s="4"/>
      <c r="D911" s="5"/>
      <c r="E911" s="4"/>
      <c r="F911" s="4"/>
      <c r="G911" s="4"/>
      <c r="H911" s="4"/>
      <c r="I911" s="4"/>
      <c r="J911" s="4"/>
      <c r="K911" s="4"/>
      <c r="L911" s="4"/>
      <c r="M911" s="4"/>
      <c r="N911" s="4"/>
      <c r="O911" s="4"/>
      <c r="P911" s="4"/>
      <c r="Q911" s="4"/>
      <c r="R911" s="4"/>
      <c r="S911" s="4"/>
      <c r="T911" s="4"/>
      <c r="U911" s="4"/>
      <c r="V911" s="4"/>
      <c r="W911" s="4"/>
      <c r="X911" s="4"/>
      <c r="Y911" s="4"/>
      <c r="Z911" s="4"/>
    </row>
    <row r="912" spans="2:26" ht="15" x14ac:dyDescent="0.25">
      <c r="B912" s="4"/>
      <c r="C912" s="4"/>
      <c r="D912" s="5"/>
      <c r="E912" s="4"/>
      <c r="F912" s="4"/>
      <c r="G912" s="4"/>
      <c r="H912" s="4"/>
      <c r="I912" s="4"/>
      <c r="J912" s="4"/>
      <c r="K912" s="4"/>
      <c r="L912" s="4"/>
      <c r="M912" s="4"/>
      <c r="N912" s="4"/>
      <c r="O912" s="4"/>
      <c r="P912" s="4"/>
      <c r="Q912" s="4"/>
      <c r="R912" s="4"/>
      <c r="S912" s="4"/>
      <c r="T912" s="4"/>
      <c r="U912" s="4"/>
      <c r="V912" s="4"/>
      <c r="W912" s="4"/>
      <c r="X912" s="4"/>
      <c r="Y912" s="4"/>
      <c r="Z912" s="4"/>
    </row>
    <row r="913" spans="2:26" ht="15" x14ac:dyDescent="0.25">
      <c r="B913" s="4"/>
      <c r="C913" s="4"/>
      <c r="D913" s="5"/>
      <c r="E913" s="4"/>
      <c r="F913" s="4"/>
      <c r="G913" s="4"/>
      <c r="H913" s="4"/>
      <c r="I913" s="4"/>
      <c r="J913" s="4"/>
      <c r="K913" s="4"/>
      <c r="L913" s="4"/>
      <c r="M913" s="4"/>
      <c r="N913" s="4"/>
      <c r="O913" s="4"/>
      <c r="P913" s="4"/>
      <c r="Q913" s="4"/>
      <c r="R913" s="4"/>
      <c r="S913" s="4"/>
      <c r="T913" s="4"/>
      <c r="U913" s="4"/>
      <c r="V913" s="4"/>
      <c r="W913" s="4"/>
      <c r="X913" s="4"/>
      <c r="Y913" s="4"/>
      <c r="Z913" s="4"/>
    </row>
    <row r="914" spans="2:26" ht="15" x14ac:dyDescent="0.25">
      <c r="B914" s="4"/>
      <c r="C914" s="4"/>
      <c r="D914" s="5"/>
      <c r="E914" s="4"/>
      <c r="F914" s="4"/>
      <c r="G914" s="4"/>
      <c r="H914" s="4"/>
      <c r="I914" s="4"/>
      <c r="J914" s="4"/>
      <c r="K914" s="4"/>
      <c r="L914" s="4"/>
      <c r="M914" s="4"/>
      <c r="N914" s="4"/>
      <c r="O914" s="4"/>
      <c r="P914" s="4"/>
      <c r="Q914" s="4"/>
      <c r="R914" s="4"/>
      <c r="S914" s="4"/>
      <c r="T914" s="4"/>
      <c r="U914" s="4"/>
      <c r="V914" s="4"/>
      <c r="W914" s="4"/>
      <c r="X914" s="4"/>
      <c r="Y914" s="4"/>
      <c r="Z914" s="4"/>
    </row>
    <row r="915" spans="2:26" ht="15" x14ac:dyDescent="0.25">
      <c r="B915" s="4"/>
      <c r="C915" s="4"/>
      <c r="D915" s="5"/>
      <c r="E915" s="4"/>
      <c r="F915" s="4"/>
      <c r="G915" s="4"/>
      <c r="H915" s="4"/>
      <c r="I915" s="4"/>
      <c r="J915" s="4"/>
      <c r="K915" s="4"/>
      <c r="L915" s="4"/>
      <c r="M915" s="4"/>
      <c r="N915" s="4"/>
      <c r="O915" s="4"/>
      <c r="P915" s="4"/>
      <c r="Q915" s="4"/>
      <c r="R915" s="4"/>
      <c r="S915" s="4"/>
      <c r="T915" s="4"/>
      <c r="U915" s="4"/>
      <c r="V915" s="4"/>
      <c r="W915" s="4"/>
      <c r="X915" s="4"/>
      <c r="Y915" s="4"/>
      <c r="Z915" s="4"/>
    </row>
    <row r="916" spans="2:26" ht="15" x14ac:dyDescent="0.25">
      <c r="B916" s="4"/>
      <c r="C916" s="4"/>
      <c r="D916" s="5"/>
      <c r="E916" s="4"/>
      <c r="F916" s="4"/>
      <c r="G916" s="4"/>
      <c r="H916" s="4"/>
      <c r="I916" s="4"/>
      <c r="J916" s="4"/>
      <c r="K916" s="4"/>
      <c r="L916" s="4"/>
      <c r="M916" s="4"/>
      <c r="N916" s="4"/>
      <c r="O916" s="4"/>
      <c r="P916" s="4"/>
      <c r="Q916" s="4"/>
      <c r="R916" s="4"/>
      <c r="S916" s="4"/>
      <c r="T916" s="4"/>
      <c r="U916" s="4"/>
      <c r="V916" s="4"/>
      <c r="W916" s="4"/>
      <c r="X916" s="4"/>
      <c r="Y916" s="4"/>
      <c r="Z916" s="4"/>
    </row>
    <row r="917" spans="2:26" ht="15" x14ac:dyDescent="0.25">
      <c r="B917" s="4"/>
      <c r="C917" s="4"/>
      <c r="D917" s="5"/>
      <c r="E917" s="4"/>
      <c r="F917" s="4"/>
      <c r="G917" s="4"/>
      <c r="H917" s="4"/>
      <c r="I917" s="4"/>
      <c r="J917" s="4"/>
      <c r="K917" s="4"/>
      <c r="L917" s="4"/>
      <c r="M917" s="4"/>
      <c r="N917" s="4"/>
      <c r="O917" s="4"/>
      <c r="P917" s="4"/>
      <c r="Q917" s="4"/>
      <c r="R917" s="4"/>
      <c r="S917" s="4"/>
      <c r="T917" s="4"/>
      <c r="U917" s="4"/>
      <c r="V917" s="4"/>
      <c r="W917" s="4"/>
      <c r="X917" s="4"/>
      <c r="Y917" s="4"/>
      <c r="Z917" s="4"/>
    </row>
    <row r="918" spans="2:26" ht="15" x14ac:dyDescent="0.25">
      <c r="B918" s="4"/>
      <c r="C918" s="4"/>
      <c r="D918" s="5"/>
      <c r="E918" s="4"/>
      <c r="F918" s="4"/>
      <c r="G918" s="4"/>
      <c r="H918" s="4"/>
      <c r="I918" s="4"/>
      <c r="J918" s="4"/>
      <c r="K918" s="4"/>
      <c r="L918" s="4"/>
      <c r="M918" s="4"/>
      <c r="N918" s="4"/>
      <c r="O918" s="4"/>
      <c r="P918" s="4"/>
      <c r="Q918" s="4"/>
      <c r="R918" s="4"/>
      <c r="S918" s="4"/>
      <c r="T918" s="4"/>
      <c r="U918" s="4"/>
      <c r="V918" s="4"/>
      <c r="W918" s="4"/>
      <c r="X918" s="4"/>
      <c r="Y918" s="4"/>
      <c r="Z918" s="4"/>
    </row>
    <row r="919" spans="2:26" ht="15" x14ac:dyDescent="0.25">
      <c r="B919" s="4"/>
      <c r="C919" s="4"/>
      <c r="D919" s="5"/>
      <c r="E919" s="4"/>
      <c r="F919" s="4"/>
      <c r="G919" s="4"/>
      <c r="H919" s="4"/>
      <c r="I919" s="4"/>
      <c r="J919" s="4"/>
      <c r="K919" s="4"/>
      <c r="L919" s="4"/>
      <c r="M919" s="4"/>
      <c r="N919" s="4"/>
      <c r="O919" s="4"/>
      <c r="P919" s="4"/>
      <c r="Q919" s="4"/>
      <c r="R919" s="4"/>
      <c r="S919" s="4"/>
      <c r="T919" s="4"/>
      <c r="U919" s="4"/>
      <c r="V919" s="4"/>
      <c r="W919" s="4"/>
      <c r="X919" s="4"/>
      <c r="Y919" s="4"/>
      <c r="Z919" s="4"/>
    </row>
    <row r="920" spans="2:26" ht="15" x14ac:dyDescent="0.25">
      <c r="B920" s="4"/>
      <c r="C920" s="4"/>
      <c r="D920" s="5"/>
      <c r="E920" s="4"/>
      <c r="F920" s="4"/>
      <c r="G920" s="4"/>
      <c r="H920" s="4"/>
      <c r="I920" s="4"/>
      <c r="J920" s="4"/>
      <c r="K920" s="4"/>
      <c r="L920" s="4"/>
      <c r="M920" s="4"/>
      <c r="N920" s="4"/>
      <c r="O920" s="4"/>
      <c r="P920" s="4"/>
      <c r="Q920" s="4"/>
      <c r="R920" s="4"/>
      <c r="S920" s="4"/>
      <c r="T920" s="4"/>
      <c r="U920" s="4"/>
      <c r="V920" s="4"/>
      <c r="W920" s="4"/>
      <c r="X920" s="4"/>
      <c r="Y920" s="4"/>
      <c r="Z920" s="4"/>
    </row>
    <row r="921" spans="2:26" ht="15" x14ac:dyDescent="0.25">
      <c r="B921" s="4"/>
      <c r="C921" s="4"/>
      <c r="D921" s="5"/>
      <c r="E921" s="4"/>
      <c r="F921" s="4"/>
      <c r="G921" s="4"/>
      <c r="H921" s="4"/>
      <c r="I921" s="4"/>
      <c r="J921" s="4"/>
      <c r="K921" s="4"/>
      <c r="L921" s="4"/>
      <c r="M921" s="4"/>
      <c r="N921" s="4"/>
      <c r="O921" s="4"/>
      <c r="P921" s="4"/>
      <c r="Q921" s="4"/>
      <c r="R921" s="4"/>
      <c r="S921" s="4"/>
      <c r="T921" s="4"/>
      <c r="U921" s="4"/>
      <c r="V921" s="4"/>
      <c r="W921" s="4"/>
      <c r="X921" s="4"/>
      <c r="Y921" s="4"/>
      <c r="Z921" s="4"/>
    </row>
    <row r="922" spans="2:26" ht="15" x14ac:dyDescent="0.25">
      <c r="B922" s="4"/>
      <c r="C922" s="4"/>
      <c r="D922" s="5"/>
      <c r="E922" s="4"/>
      <c r="F922" s="4"/>
      <c r="G922" s="4"/>
      <c r="H922" s="4"/>
      <c r="I922" s="4"/>
      <c r="J922" s="4"/>
      <c r="K922" s="4"/>
      <c r="L922" s="4"/>
      <c r="M922" s="4"/>
      <c r="N922" s="4"/>
      <c r="O922" s="4"/>
      <c r="P922" s="4"/>
      <c r="Q922" s="4"/>
      <c r="R922" s="4"/>
      <c r="S922" s="4"/>
      <c r="T922" s="4"/>
      <c r="U922" s="4"/>
      <c r="V922" s="4"/>
      <c r="W922" s="4"/>
      <c r="X922" s="4"/>
      <c r="Y922" s="4"/>
      <c r="Z922" s="4"/>
    </row>
    <row r="923" spans="2:26" ht="15" x14ac:dyDescent="0.25">
      <c r="B923" s="4"/>
      <c r="C923" s="4"/>
      <c r="D923" s="5"/>
      <c r="E923" s="4"/>
      <c r="F923" s="4"/>
      <c r="G923" s="4"/>
      <c r="H923" s="4"/>
      <c r="I923" s="4"/>
      <c r="J923" s="4"/>
      <c r="K923" s="4"/>
      <c r="L923" s="4"/>
      <c r="M923" s="4"/>
      <c r="N923" s="4"/>
      <c r="O923" s="4"/>
      <c r="P923" s="4"/>
      <c r="Q923" s="4"/>
      <c r="R923" s="4"/>
      <c r="S923" s="4"/>
      <c r="T923" s="4"/>
      <c r="U923" s="4"/>
      <c r="V923" s="4"/>
      <c r="W923" s="4"/>
      <c r="X923" s="4"/>
      <c r="Y923" s="4"/>
      <c r="Z923" s="4"/>
    </row>
    <row r="924" spans="2:26" ht="15" x14ac:dyDescent="0.25">
      <c r="B924" s="4"/>
      <c r="C924" s="4"/>
      <c r="D924" s="5"/>
      <c r="E924" s="4"/>
      <c r="F924" s="4"/>
      <c r="G924" s="4"/>
      <c r="H924" s="4"/>
      <c r="I924" s="4"/>
      <c r="J924" s="4"/>
      <c r="K924" s="4"/>
      <c r="L924" s="4"/>
      <c r="M924" s="4"/>
      <c r="N924" s="4"/>
      <c r="O924" s="4"/>
      <c r="P924" s="4"/>
      <c r="Q924" s="4"/>
      <c r="R924" s="4"/>
      <c r="S924" s="4"/>
      <c r="T924" s="4"/>
      <c r="U924" s="4"/>
      <c r="V924" s="4"/>
      <c r="W924" s="4"/>
      <c r="X924" s="4"/>
      <c r="Y924" s="4"/>
      <c r="Z924" s="4"/>
    </row>
    <row r="925" spans="2:26" ht="15" x14ac:dyDescent="0.25">
      <c r="B925" s="4"/>
      <c r="C925" s="4"/>
      <c r="D925" s="5"/>
      <c r="E925" s="4"/>
      <c r="F925" s="4"/>
      <c r="G925" s="4"/>
      <c r="H925" s="4"/>
      <c r="I925" s="4"/>
      <c r="J925" s="4"/>
      <c r="K925" s="4"/>
      <c r="L925" s="4"/>
      <c r="M925" s="4"/>
      <c r="N925" s="4"/>
      <c r="O925" s="4"/>
      <c r="P925" s="4"/>
      <c r="Q925" s="4"/>
      <c r="R925" s="4"/>
      <c r="S925" s="4"/>
      <c r="T925" s="4"/>
      <c r="U925" s="4"/>
      <c r="V925" s="4"/>
      <c r="W925" s="4"/>
      <c r="X925" s="4"/>
      <c r="Y925" s="4"/>
      <c r="Z925" s="4"/>
    </row>
    <row r="926" spans="2:26" ht="15" x14ac:dyDescent="0.25">
      <c r="B926" s="4"/>
      <c r="C926" s="4"/>
      <c r="D926" s="5"/>
      <c r="E926" s="4"/>
      <c r="F926" s="4"/>
      <c r="G926" s="4"/>
      <c r="H926" s="4"/>
      <c r="I926" s="4"/>
      <c r="J926" s="4"/>
      <c r="K926" s="4"/>
      <c r="L926" s="4"/>
      <c r="M926" s="4"/>
      <c r="N926" s="4"/>
      <c r="O926" s="4"/>
      <c r="P926" s="4"/>
      <c r="Q926" s="4"/>
      <c r="R926" s="4"/>
      <c r="S926" s="4"/>
      <c r="T926" s="4"/>
      <c r="U926" s="4"/>
      <c r="V926" s="4"/>
      <c r="W926" s="4"/>
      <c r="X926" s="4"/>
      <c r="Y926" s="4"/>
      <c r="Z926" s="4"/>
    </row>
    <row r="927" spans="2:26" ht="15" x14ac:dyDescent="0.25">
      <c r="B927" s="4"/>
      <c r="C927" s="4"/>
      <c r="D927" s="5"/>
      <c r="E927" s="4"/>
      <c r="F927" s="4"/>
      <c r="G927" s="4"/>
      <c r="H927" s="4"/>
      <c r="I927" s="4"/>
      <c r="J927" s="4"/>
      <c r="K927" s="4"/>
      <c r="L927" s="4"/>
      <c r="M927" s="4"/>
      <c r="N927" s="4"/>
      <c r="O927" s="4"/>
      <c r="P927" s="4"/>
      <c r="Q927" s="4"/>
      <c r="R927" s="4"/>
      <c r="S927" s="4"/>
      <c r="T927" s="4"/>
      <c r="U927" s="4"/>
      <c r="V927" s="4"/>
      <c r="W927" s="4"/>
      <c r="X927" s="4"/>
      <c r="Y927" s="4"/>
      <c r="Z927" s="4"/>
    </row>
    <row r="928" spans="2:26" ht="15" x14ac:dyDescent="0.25">
      <c r="B928" s="4"/>
      <c r="C928" s="4"/>
      <c r="D928" s="5"/>
      <c r="E928" s="4"/>
      <c r="F928" s="4"/>
      <c r="G928" s="4"/>
      <c r="H928" s="4"/>
      <c r="I928" s="4"/>
      <c r="J928" s="4"/>
      <c r="K928" s="4"/>
      <c r="L928" s="4"/>
      <c r="M928" s="4"/>
      <c r="N928" s="4"/>
      <c r="O928" s="4"/>
      <c r="P928" s="4"/>
      <c r="Q928" s="4"/>
      <c r="R928" s="4"/>
      <c r="S928" s="4"/>
      <c r="T928" s="4"/>
      <c r="U928" s="4"/>
      <c r="V928" s="4"/>
      <c r="W928" s="4"/>
      <c r="X928" s="4"/>
      <c r="Y928" s="4"/>
      <c r="Z928" s="4"/>
    </row>
    <row r="929" spans="2:26" ht="15" x14ac:dyDescent="0.25">
      <c r="B929" s="4"/>
      <c r="C929" s="4"/>
      <c r="D929" s="5"/>
      <c r="E929" s="4"/>
      <c r="F929" s="4"/>
      <c r="G929" s="4"/>
      <c r="H929" s="4"/>
      <c r="I929" s="4"/>
      <c r="J929" s="4"/>
      <c r="K929" s="4"/>
      <c r="L929" s="4"/>
      <c r="M929" s="4"/>
      <c r="N929" s="4"/>
      <c r="O929" s="4"/>
      <c r="P929" s="4"/>
      <c r="Q929" s="4"/>
      <c r="R929" s="4"/>
      <c r="S929" s="4"/>
      <c r="T929" s="4"/>
      <c r="U929" s="4"/>
      <c r="V929" s="4"/>
      <c r="W929" s="4"/>
      <c r="X929" s="4"/>
      <c r="Y929" s="4"/>
      <c r="Z929" s="4"/>
    </row>
    <row r="930" spans="2:26" ht="15" x14ac:dyDescent="0.25">
      <c r="B930" s="4"/>
      <c r="C930" s="4"/>
      <c r="D930" s="5"/>
      <c r="E930" s="4"/>
      <c r="F930" s="4"/>
      <c r="G930" s="4"/>
      <c r="H930" s="4"/>
      <c r="I930" s="4"/>
      <c r="J930" s="4"/>
      <c r="K930" s="4"/>
      <c r="L930" s="4"/>
      <c r="M930" s="4"/>
      <c r="N930" s="4"/>
      <c r="O930" s="4"/>
      <c r="P930" s="4"/>
      <c r="Q930" s="4"/>
      <c r="R930" s="4"/>
      <c r="S930" s="4"/>
      <c r="T930" s="4"/>
      <c r="U930" s="4"/>
      <c r="V930" s="4"/>
      <c r="W930" s="4"/>
      <c r="X930" s="4"/>
      <c r="Y930" s="4"/>
      <c r="Z930" s="4"/>
    </row>
    <row r="931" spans="2:26" ht="15" x14ac:dyDescent="0.25">
      <c r="B931" s="4"/>
      <c r="C931" s="4"/>
      <c r="D931" s="5"/>
      <c r="E931" s="4"/>
      <c r="F931" s="4"/>
      <c r="G931" s="4"/>
      <c r="H931" s="4"/>
      <c r="I931" s="4"/>
      <c r="J931" s="4"/>
      <c r="K931" s="4"/>
      <c r="L931" s="4"/>
      <c r="M931" s="4"/>
      <c r="N931" s="4"/>
      <c r="O931" s="4"/>
      <c r="P931" s="4"/>
      <c r="Q931" s="4"/>
      <c r="R931" s="4"/>
      <c r="S931" s="4"/>
      <c r="T931" s="4"/>
      <c r="U931" s="4"/>
      <c r="V931" s="4"/>
      <c r="W931" s="4"/>
      <c r="X931" s="4"/>
      <c r="Y931" s="4"/>
      <c r="Z931" s="4"/>
    </row>
    <row r="932" spans="2:26" ht="15" x14ac:dyDescent="0.25">
      <c r="B932" s="4"/>
      <c r="C932" s="4"/>
      <c r="D932" s="5"/>
      <c r="E932" s="4"/>
      <c r="F932" s="4"/>
      <c r="G932" s="4"/>
      <c r="H932" s="4"/>
      <c r="I932" s="4"/>
      <c r="J932" s="4"/>
      <c r="K932" s="4"/>
      <c r="L932" s="4"/>
      <c r="M932" s="4"/>
      <c r="N932" s="4"/>
      <c r="O932" s="4"/>
      <c r="P932" s="4"/>
      <c r="Q932" s="4"/>
      <c r="R932" s="4"/>
      <c r="S932" s="4"/>
      <c r="T932" s="4"/>
      <c r="U932" s="4"/>
      <c r="V932" s="4"/>
      <c r="W932" s="4"/>
      <c r="X932" s="4"/>
      <c r="Y932" s="4"/>
      <c r="Z932" s="4"/>
    </row>
    <row r="933" spans="2:26" ht="15" x14ac:dyDescent="0.25">
      <c r="B933" s="4"/>
      <c r="C933" s="4"/>
      <c r="D933" s="5"/>
      <c r="E933" s="4"/>
      <c r="F933" s="4"/>
      <c r="G933" s="4"/>
      <c r="H933" s="4"/>
      <c r="I933" s="4"/>
      <c r="J933" s="4"/>
      <c r="K933" s="4"/>
      <c r="L933" s="4"/>
      <c r="M933" s="4"/>
      <c r="N933" s="4"/>
      <c r="O933" s="4"/>
      <c r="P933" s="4"/>
      <c r="Q933" s="4"/>
      <c r="R933" s="4"/>
      <c r="S933" s="4"/>
      <c r="T933" s="4"/>
      <c r="U933" s="4"/>
      <c r="V933" s="4"/>
      <c r="W933" s="4"/>
      <c r="X933" s="4"/>
      <c r="Y933" s="4"/>
      <c r="Z933" s="4"/>
    </row>
    <row r="934" spans="2:26" ht="15" x14ac:dyDescent="0.25">
      <c r="B934" s="4"/>
      <c r="C934" s="4"/>
      <c r="D934" s="5"/>
      <c r="E934" s="4"/>
      <c r="F934" s="4"/>
      <c r="G934" s="4"/>
      <c r="H934" s="4"/>
      <c r="I934" s="4"/>
      <c r="J934" s="4"/>
      <c r="K934" s="4"/>
      <c r="L934" s="4"/>
      <c r="M934" s="4"/>
      <c r="N934" s="4"/>
      <c r="O934" s="4"/>
      <c r="P934" s="4"/>
      <c r="Q934" s="4"/>
      <c r="R934" s="4"/>
      <c r="S934" s="4"/>
      <c r="T934" s="4"/>
      <c r="U934" s="4"/>
      <c r="V934" s="4"/>
      <c r="W934" s="4"/>
      <c r="X934" s="4"/>
      <c r="Y934" s="4"/>
      <c r="Z934" s="4"/>
    </row>
    <row r="935" spans="2:26" ht="15" x14ac:dyDescent="0.25">
      <c r="B935" s="4"/>
      <c r="C935" s="4"/>
      <c r="D935" s="5"/>
      <c r="E935" s="4"/>
      <c r="F935" s="4"/>
      <c r="G935" s="4"/>
      <c r="H935" s="4"/>
      <c r="I935" s="4"/>
      <c r="J935" s="4"/>
      <c r="K935" s="4"/>
      <c r="L935" s="4"/>
      <c r="M935" s="4"/>
      <c r="N935" s="4"/>
      <c r="O935" s="4"/>
      <c r="P935" s="4"/>
      <c r="Q935" s="4"/>
      <c r="R935" s="4"/>
      <c r="S935" s="4"/>
      <c r="T935" s="4"/>
      <c r="U935" s="4"/>
      <c r="V935" s="4"/>
      <c r="W935" s="4"/>
      <c r="X935" s="4"/>
      <c r="Y935" s="4"/>
      <c r="Z935" s="4"/>
    </row>
    <row r="936" spans="2:26" ht="15" x14ac:dyDescent="0.25">
      <c r="B936" s="4"/>
      <c r="C936" s="4"/>
      <c r="D936" s="5"/>
      <c r="E936" s="4"/>
      <c r="F936" s="4"/>
      <c r="G936" s="4"/>
      <c r="H936" s="4"/>
      <c r="I936" s="4"/>
      <c r="J936" s="4"/>
      <c r="K936" s="4"/>
      <c r="L936" s="4"/>
      <c r="M936" s="4"/>
      <c r="N936" s="4"/>
      <c r="O936" s="4"/>
      <c r="P936" s="4"/>
      <c r="Q936" s="4"/>
      <c r="R936" s="4"/>
      <c r="S936" s="4"/>
      <c r="T936" s="4"/>
      <c r="U936" s="4"/>
      <c r="V936" s="4"/>
      <c r="W936" s="4"/>
      <c r="X936" s="4"/>
      <c r="Y936" s="4"/>
      <c r="Z936" s="4"/>
    </row>
    <row r="937" spans="2:26" ht="15" x14ac:dyDescent="0.25">
      <c r="B937" s="4"/>
      <c r="C937" s="4"/>
      <c r="D937" s="5"/>
      <c r="E937" s="4"/>
      <c r="F937" s="4"/>
      <c r="G937" s="4"/>
      <c r="H937" s="4"/>
      <c r="I937" s="4"/>
      <c r="J937" s="4"/>
      <c r="K937" s="4"/>
      <c r="L937" s="4"/>
      <c r="M937" s="4"/>
      <c r="N937" s="4"/>
      <c r="O937" s="4"/>
      <c r="P937" s="4"/>
      <c r="Q937" s="4"/>
      <c r="R937" s="4"/>
      <c r="S937" s="4"/>
      <c r="T937" s="4"/>
      <c r="U937" s="4"/>
      <c r="V937" s="4"/>
      <c r="W937" s="4"/>
      <c r="X937" s="4"/>
      <c r="Y937" s="4"/>
      <c r="Z937" s="4"/>
    </row>
    <row r="938" spans="2:26" ht="15" x14ac:dyDescent="0.25">
      <c r="B938" s="4"/>
      <c r="C938" s="4"/>
      <c r="D938" s="5"/>
      <c r="E938" s="4"/>
      <c r="F938" s="4"/>
      <c r="G938" s="4"/>
      <c r="H938" s="4"/>
      <c r="I938" s="4"/>
      <c r="J938" s="4"/>
      <c r="K938" s="4"/>
      <c r="L938" s="4"/>
      <c r="M938" s="4"/>
      <c r="N938" s="4"/>
      <c r="O938" s="4"/>
      <c r="P938" s="4"/>
      <c r="Q938" s="4"/>
      <c r="R938" s="4"/>
      <c r="S938" s="4"/>
      <c r="T938" s="4"/>
      <c r="U938" s="4"/>
      <c r="V938" s="4"/>
      <c r="W938" s="4"/>
      <c r="X938" s="4"/>
      <c r="Y938" s="4"/>
      <c r="Z938" s="4"/>
    </row>
    <row r="939" spans="2:26" ht="15" x14ac:dyDescent="0.25">
      <c r="B939" s="4"/>
      <c r="C939" s="4"/>
      <c r="D939" s="5"/>
      <c r="E939" s="4"/>
      <c r="F939" s="4"/>
      <c r="G939" s="4"/>
      <c r="H939" s="4"/>
      <c r="I939" s="4"/>
      <c r="J939" s="4"/>
      <c r="K939" s="4"/>
      <c r="L939" s="4"/>
      <c r="M939" s="4"/>
      <c r="N939" s="4"/>
      <c r="O939" s="4"/>
      <c r="P939" s="4"/>
      <c r="Q939" s="4"/>
      <c r="R939" s="4"/>
      <c r="S939" s="4"/>
      <c r="T939" s="4"/>
      <c r="U939" s="4"/>
      <c r="V939" s="4"/>
      <c r="W939" s="4"/>
      <c r="X939" s="4"/>
      <c r="Y939" s="4"/>
      <c r="Z939" s="4"/>
    </row>
    <row r="940" spans="2:26" ht="15" x14ac:dyDescent="0.25">
      <c r="B940" s="4"/>
      <c r="C940" s="4"/>
      <c r="D940" s="5"/>
      <c r="E940" s="4"/>
      <c r="F940" s="4"/>
      <c r="G940" s="4"/>
      <c r="H940" s="4"/>
      <c r="I940" s="4"/>
      <c r="J940" s="4"/>
      <c r="K940" s="4"/>
      <c r="L940" s="4"/>
      <c r="M940" s="4"/>
      <c r="N940" s="4"/>
      <c r="O940" s="4"/>
      <c r="P940" s="4"/>
      <c r="Q940" s="4"/>
      <c r="R940" s="4"/>
      <c r="S940" s="4"/>
      <c r="T940" s="4"/>
      <c r="U940" s="4"/>
      <c r="V940" s="4"/>
      <c r="W940" s="4"/>
      <c r="X940" s="4"/>
      <c r="Y940" s="4"/>
      <c r="Z940" s="4"/>
    </row>
    <row r="941" spans="2:26" ht="15" x14ac:dyDescent="0.25">
      <c r="B941" s="4"/>
      <c r="C941" s="4"/>
      <c r="D941" s="5"/>
      <c r="E941" s="4"/>
      <c r="F941" s="4"/>
      <c r="G941" s="4"/>
      <c r="H941" s="4"/>
      <c r="I941" s="4"/>
      <c r="J941" s="4"/>
      <c r="K941" s="4"/>
      <c r="L941" s="4"/>
      <c r="M941" s="4"/>
      <c r="N941" s="4"/>
      <c r="O941" s="4"/>
      <c r="P941" s="4"/>
      <c r="Q941" s="4"/>
      <c r="R941" s="4"/>
      <c r="S941" s="4"/>
      <c r="T941" s="4"/>
      <c r="U941" s="4"/>
      <c r="V941" s="4"/>
      <c r="W941" s="4"/>
      <c r="X941" s="4"/>
      <c r="Y941" s="4"/>
      <c r="Z941" s="4"/>
    </row>
    <row r="942" spans="2:26" ht="15" x14ac:dyDescent="0.25">
      <c r="B942" s="4"/>
      <c r="C942" s="4"/>
      <c r="D942" s="5"/>
      <c r="E942" s="4"/>
      <c r="F942" s="4"/>
      <c r="G942" s="4"/>
      <c r="H942" s="4"/>
      <c r="I942" s="4"/>
      <c r="J942" s="4"/>
      <c r="K942" s="4"/>
      <c r="L942" s="4"/>
      <c r="M942" s="4"/>
      <c r="N942" s="4"/>
      <c r="O942" s="4"/>
      <c r="P942" s="4"/>
      <c r="Q942" s="4"/>
      <c r="R942" s="4"/>
      <c r="S942" s="4"/>
      <c r="T942" s="4"/>
      <c r="U942" s="4"/>
      <c r="V942" s="4"/>
      <c r="W942" s="4"/>
      <c r="X942" s="4"/>
      <c r="Y942" s="4"/>
      <c r="Z942" s="4"/>
    </row>
    <row r="943" spans="2:26" ht="15" x14ac:dyDescent="0.25">
      <c r="B943" s="4"/>
      <c r="C943" s="4"/>
      <c r="D943" s="5"/>
      <c r="E943" s="4"/>
      <c r="F943" s="4"/>
      <c r="G943" s="4"/>
      <c r="H943" s="4"/>
      <c r="I943" s="4"/>
      <c r="J943" s="4"/>
      <c r="K943" s="4"/>
      <c r="L943" s="4"/>
      <c r="M943" s="4"/>
      <c r="N943" s="4"/>
      <c r="O943" s="4"/>
      <c r="P943" s="4"/>
      <c r="Q943" s="4"/>
      <c r="R943" s="4"/>
      <c r="S943" s="4"/>
      <c r="T943" s="4"/>
      <c r="U943" s="4"/>
      <c r="V943" s="4"/>
      <c r="W943" s="4"/>
      <c r="X943" s="4"/>
      <c r="Y943" s="4"/>
      <c r="Z943" s="4"/>
    </row>
    <row r="944" spans="2:26" ht="15" x14ac:dyDescent="0.25">
      <c r="B944" s="4"/>
      <c r="C944" s="4"/>
      <c r="D944" s="5"/>
      <c r="E944" s="4"/>
      <c r="F944" s="4"/>
      <c r="G944" s="4"/>
      <c r="H944" s="4"/>
      <c r="I944" s="4"/>
      <c r="J944" s="4"/>
      <c r="K944" s="4"/>
      <c r="L944" s="4"/>
      <c r="M944" s="4"/>
      <c r="N944" s="4"/>
      <c r="O944" s="4"/>
      <c r="P944" s="4"/>
      <c r="Q944" s="4"/>
      <c r="R944" s="4"/>
      <c r="S944" s="4"/>
      <c r="T944" s="4"/>
      <c r="U944" s="4"/>
      <c r="V944" s="4"/>
      <c r="W944" s="4"/>
      <c r="X944" s="4"/>
      <c r="Y944" s="4"/>
      <c r="Z944" s="4"/>
    </row>
    <row r="945" spans="2:26" ht="15" x14ac:dyDescent="0.25">
      <c r="B945" s="4"/>
      <c r="C945" s="4"/>
      <c r="D945" s="5"/>
      <c r="E945" s="4"/>
      <c r="F945" s="4"/>
      <c r="G945" s="4"/>
      <c r="H945" s="4"/>
      <c r="I945" s="4"/>
      <c r="J945" s="4"/>
      <c r="K945" s="4"/>
      <c r="L945" s="4"/>
      <c r="M945" s="4"/>
      <c r="N945" s="4"/>
      <c r="O945" s="4"/>
      <c r="P945" s="4"/>
      <c r="Q945" s="4"/>
      <c r="R945" s="4"/>
      <c r="S945" s="4"/>
      <c r="T945" s="4"/>
      <c r="U945" s="4"/>
      <c r="V945" s="4"/>
      <c r="W945" s="4"/>
      <c r="X945" s="4"/>
      <c r="Y945" s="4"/>
      <c r="Z945" s="4"/>
    </row>
    <row r="946" spans="2:26" ht="15" x14ac:dyDescent="0.25">
      <c r="B946" s="4"/>
      <c r="C946" s="4"/>
      <c r="D946" s="5"/>
      <c r="E946" s="4"/>
      <c r="F946" s="4"/>
      <c r="G946" s="4"/>
      <c r="H946" s="4"/>
      <c r="I946" s="4"/>
      <c r="J946" s="4"/>
      <c r="K946" s="4"/>
      <c r="L946" s="4"/>
      <c r="M946" s="4"/>
      <c r="N946" s="4"/>
      <c r="O946" s="4"/>
      <c r="P946" s="4"/>
      <c r="Q946" s="4"/>
      <c r="R946" s="4"/>
      <c r="S946" s="4"/>
      <c r="T946" s="4"/>
      <c r="U946" s="4"/>
      <c r="V946" s="4"/>
      <c r="W946" s="4"/>
      <c r="X946" s="4"/>
      <c r="Y946" s="4"/>
      <c r="Z946" s="4"/>
    </row>
    <row r="947" spans="2:26" ht="15" x14ac:dyDescent="0.25">
      <c r="B947" s="4"/>
      <c r="C947" s="4"/>
      <c r="D947" s="5"/>
      <c r="E947" s="4"/>
      <c r="F947" s="4"/>
      <c r="G947" s="4"/>
      <c r="H947" s="4"/>
      <c r="I947" s="4"/>
      <c r="J947" s="4"/>
      <c r="K947" s="4"/>
      <c r="L947" s="4"/>
      <c r="M947" s="4"/>
      <c r="N947" s="4"/>
      <c r="O947" s="4"/>
      <c r="P947" s="4"/>
      <c r="Q947" s="4"/>
      <c r="R947" s="4"/>
      <c r="S947" s="4"/>
      <c r="T947" s="4"/>
      <c r="U947" s="4"/>
      <c r="V947" s="4"/>
      <c r="W947" s="4"/>
      <c r="X947" s="4"/>
      <c r="Y947" s="4"/>
      <c r="Z947" s="4"/>
    </row>
    <row r="948" spans="2:26" ht="15" x14ac:dyDescent="0.25">
      <c r="B948" s="4"/>
      <c r="C948" s="4"/>
      <c r="D948" s="5"/>
      <c r="E948" s="4"/>
      <c r="F948" s="4"/>
      <c r="G948" s="4"/>
      <c r="H948" s="4"/>
      <c r="I948" s="4"/>
      <c r="J948" s="4"/>
      <c r="K948" s="4"/>
      <c r="L948" s="4"/>
      <c r="M948" s="4"/>
      <c r="N948" s="4"/>
      <c r="O948" s="4"/>
      <c r="P948" s="4"/>
      <c r="Q948" s="4"/>
      <c r="R948" s="4"/>
      <c r="S948" s="4"/>
      <c r="T948" s="4"/>
      <c r="U948" s="4"/>
      <c r="V948" s="4"/>
      <c r="W948" s="4"/>
      <c r="X948" s="4"/>
      <c r="Y948" s="4"/>
      <c r="Z948" s="4"/>
    </row>
    <row r="949" spans="2:26" ht="15" x14ac:dyDescent="0.25">
      <c r="B949" s="4"/>
      <c r="C949" s="4"/>
      <c r="D949" s="5"/>
      <c r="E949" s="4"/>
      <c r="F949" s="4"/>
      <c r="G949" s="4"/>
      <c r="H949" s="4"/>
      <c r="I949" s="4"/>
      <c r="J949" s="4"/>
      <c r="K949" s="4"/>
      <c r="L949" s="4"/>
      <c r="M949" s="4"/>
      <c r="N949" s="4"/>
      <c r="O949" s="4"/>
      <c r="P949" s="4"/>
      <c r="Q949" s="4"/>
      <c r="R949" s="4"/>
      <c r="S949" s="4"/>
      <c r="T949" s="4"/>
      <c r="U949" s="4"/>
      <c r="V949" s="4"/>
      <c r="W949" s="4"/>
      <c r="X949" s="4"/>
      <c r="Y949" s="4"/>
      <c r="Z949" s="4"/>
    </row>
    <row r="950" spans="2:26" ht="15" x14ac:dyDescent="0.25">
      <c r="B950" s="4"/>
      <c r="C950" s="4"/>
      <c r="D950" s="5"/>
      <c r="E950" s="4"/>
      <c r="F950" s="4"/>
      <c r="G950" s="4"/>
      <c r="H950" s="4"/>
      <c r="I950" s="4"/>
      <c r="J950" s="4"/>
      <c r="K950" s="4"/>
      <c r="L950" s="4"/>
      <c r="M950" s="4"/>
      <c r="N950" s="4"/>
      <c r="O950" s="4"/>
      <c r="P950" s="4"/>
      <c r="Q950" s="4"/>
      <c r="R950" s="4"/>
      <c r="S950" s="4"/>
      <c r="T950" s="4"/>
      <c r="U950" s="4"/>
      <c r="V950" s="4"/>
      <c r="W950" s="4"/>
      <c r="X950" s="4"/>
      <c r="Y950" s="4"/>
      <c r="Z950" s="4"/>
    </row>
    <row r="951" spans="2:26" ht="15" x14ac:dyDescent="0.25">
      <c r="B951" s="4"/>
      <c r="C951" s="4"/>
      <c r="D951" s="5"/>
      <c r="E951" s="4"/>
      <c r="F951" s="4"/>
      <c r="G951" s="4"/>
      <c r="H951" s="4"/>
      <c r="I951" s="4"/>
      <c r="J951" s="4"/>
      <c r="K951" s="4"/>
      <c r="L951" s="4"/>
      <c r="M951" s="4"/>
      <c r="N951" s="4"/>
      <c r="O951" s="4"/>
      <c r="P951" s="4"/>
      <c r="Q951" s="4"/>
      <c r="R951" s="4"/>
      <c r="S951" s="4"/>
      <c r="T951" s="4"/>
      <c r="U951" s="4"/>
      <c r="V951" s="4"/>
      <c r="W951" s="4"/>
      <c r="X951" s="4"/>
      <c r="Y951" s="4"/>
      <c r="Z951" s="4"/>
    </row>
    <row r="952" spans="2:26" ht="15" x14ac:dyDescent="0.25">
      <c r="B952" s="4"/>
      <c r="C952" s="4"/>
      <c r="D952" s="5"/>
      <c r="E952" s="4"/>
      <c r="F952" s="4"/>
      <c r="G952" s="4"/>
      <c r="H952" s="4"/>
      <c r="I952" s="4"/>
      <c r="J952" s="4"/>
      <c r="K952" s="4"/>
      <c r="L952" s="4"/>
      <c r="M952" s="4"/>
      <c r="N952" s="4"/>
      <c r="O952" s="4"/>
      <c r="P952" s="4"/>
      <c r="Q952" s="4"/>
      <c r="R952" s="4"/>
      <c r="S952" s="4"/>
      <c r="T952" s="4"/>
      <c r="U952" s="4"/>
      <c r="V952" s="4"/>
      <c r="W952" s="4"/>
      <c r="X952" s="4"/>
      <c r="Y952" s="4"/>
      <c r="Z952" s="4"/>
    </row>
    <row r="953" spans="2:26" ht="15" x14ac:dyDescent="0.25">
      <c r="B953" s="4"/>
      <c r="C953" s="4"/>
      <c r="D953" s="5"/>
      <c r="E953" s="4"/>
      <c r="F953" s="4"/>
      <c r="G953" s="4"/>
      <c r="H953" s="4"/>
      <c r="I953" s="4"/>
      <c r="J953" s="4"/>
      <c r="K953" s="4"/>
      <c r="L953" s="4"/>
      <c r="M953" s="4"/>
      <c r="N953" s="4"/>
      <c r="O953" s="4"/>
      <c r="P953" s="4"/>
      <c r="Q953" s="4"/>
      <c r="R953" s="4"/>
      <c r="S953" s="4"/>
      <c r="T953" s="4"/>
      <c r="U953" s="4"/>
      <c r="V953" s="4"/>
      <c r="W953" s="4"/>
      <c r="X953" s="4"/>
      <c r="Y953" s="4"/>
      <c r="Z953" s="4"/>
    </row>
    <row r="954" spans="2:26" ht="15" x14ac:dyDescent="0.25">
      <c r="B954" s="4"/>
      <c r="C954" s="4"/>
      <c r="D954" s="5"/>
      <c r="E954" s="4"/>
      <c r="F954" s="4"/>
      <c r="G954" s="4"/>
      <c r="H954" s="4"/>
      <c r="I954" s="4"/>
      <c r="J954" s="4"/>
      <c r="K954" s="4"/>
      <c r="L954" s="4"/>
      <c r="M954" s="4"/>
      <c r="N954" s="4"/>
      <c r="O954" s="4"/>
      <c r="P954" s="4"/>
      <c r="Q954" s="4"/>
      <c r="R954" s="4"/>
      <c r="S954" s="4"/>
      <c r="T954" s="4"/>
      <c r="U954" s="4"/>
      <c r="V954" s="4"/>
      <c r="W954" s="4"/>
      <c r="X954" s="4"/>
      <c r="Y954" s="4"/>
      <c r="Z954" s="4"/>
    </row>
    <row r="955" spans="2:26" ht="15" x14ac:dyDescent="0.25">
      <c r="B955" s="4"/>
      <c r="C955" s="4"/>
      <c r="D955" s="5"/>
      <c r="E955" s="4"/>
      <c r="F955" s="4"/>
      <c r="G955" s="4"/>
      <c r="H955" s="4"/>
      <c r="I955" s="4"/>
      <c r="J955" s="4"/>
      <c r="K955" s="4"/>
      <c r="L955" s="4"/>
      <c r="M955" s="4"/>
      <c r="N955" s="4"/>
      <c r="O955" s="4"/>
      <c r="P955" s="4"/>
      <c r="Q955" s="4"/>
      <c r="R955" s="4"/>
      <c r="S955" s="4"/>
      <c r="T955" s="4"/>
      <c r="U955" s="4"/>
      <c r="V955" s="4"/>
      <c r="W955" s="4"/>
      <c r="X955" s="4"/>
      <c r="Y955" s="4"/>
      <c r="Z955" s="4"/>
    </row>
    <row r="956" spans="2:26" ht="15" x14ac:dyDescent="0.25">
      <c r="B956" s="4"/>
      <c r="C956" s="4"/>
      <c r="D956" s="5"/>
      <c r="E956" s="4"/>
      <c r="F956" s="4"/>
      <c r="G956" s="4"/>
      <c r="H956" s="4"/>
      <c r="I956" s="4"/>
      <c r="J956" s="4"/>
      <c r="K956" s="4"/>
      <c r="L956" s="4"/>
      <c r="M956" s="4"/>
      <c r="N956" s="4"/>
      <c r="O956" s="4"/>
      <c r="P956" s="4"/>
      <c r="Q956" s="4"/>
      <c r="R956" s="4"/>
      <c r="S956" s="4"/>
      <c r="T956" s="4"/>
      <c r="U956" s="4"/>
      <c r="V956" s="4"/>
      <c r="W956" s="4"/>
      <c r="X956" s="4"/>
      <c r="Y956" s="4"/>
      <c r="Z956" s="4"/>
    </row>
    <row r="957" spans="2:26" ht="15" x14ac:dyDescent="0.25">
      <c r="B957" s="4"/>
      <c r="C957" s="4"/>
      <c r="D957" s="5"/>
      <c r="E957" s="4"/>
      <c r="F957" s="4"/>
      <c r="G957" s="4"/>
      <c r="H957" s="4"/>
      <c r="I957" s="4"/>
      <c r="J957" s="4"/>
      <c r="K957" s="4"/>
      <c r="L957" s="4"/>
      <c r="M957" s="4"/>
      <c r="N957" s="4"/>
      <c r="O957" s="4"/>
      <c r="P957" s="4"/>
      <c r="Q957" s="4"/>
      <c r="R957" s="4"/>
      <c r="S957" s="4"/>
      <c r="T957" s="4"/>
      <c r="U957" s="4"/>
      <c r="V957" s="4"/>
      <c r="W957" s="4"/>
      <c r="X957" s="4"/>
      <c r="Y957" s="4"/>
      <c r="Z957" s="4"/>
    </row>
    <row r="958" spans="2:26" ht="15" x14ac:dyDescent="0.25">
      <c r="B958" s="4"/>
      <c r="C958" s="4"/>
      <c r="D958" s="5"/>
      <c r="E958" s="4"/>
      <c r="F958" s="4"/>
      <c r="G958" s="4"/>
      <c r="H958" s="4"/>
      <c r="I958" s="4"/>
      <c r="J958" s="4"/>
      <c r="K958" s="4"/>
      <c r="L958" s="4"/>
      <c r="M958" s="4"/>
      <c r="N958" s="4"/>
      <c r="O958" s="4"/>
      <c r="P958" s="4"/>
      <c r="Q958" s="4"/>
      <c r="R958" s="4"/>
      <c r="S958" s="4"/>
      <c r="T958" s="4"/>
      <c r="U958" s="4"/>
      <c r="V958" s="4"/>
      <c r="W958" s="4"/>
      <c r="X958" s="4"/>
      <c r="Y958" s="4"/>
      <c r="Z958" s="4"/>
    </row>
    <row r="959" spans="2:26" ht="15" x14ac:dyDescent="0.25">
      <c r="B959" s="4"/>
      <c r="C959" s="4"/>
      <c r="D959" s="5"/>
      <c r="E959" s="4"/>
      <c r="F959" s="4"/>
      <c r="G959" s="4"/>
      <c r="H959" s="4"/>
      <c r="I959" s="4"/>
      <c r="J959" s="4"/>
      <c r="K959" s="4"/>
      <c r="L959" s="4"/>
      <c r="M959" s="4"/>
      <c r="N959" s="4"/>
      <c r="O959" s="4"/>
      <c r="P959" s="4"/>
      <c r="Q959" s="4"/>
      <c r="R959" s="4"/>
      <c r="S959" s="4"/>
      <c r="T959" s="4"/>
      <c r="U959" s="4"/>
      <c r="V959" s="4"/>
      <c r="W959" s="4"/>
      <c r="X959" s="4"/>
      <c r="Y959" s="4"/>
      <c r="Z959" s="4"/>
    </row>
    <row r="960" spans="2:26" ht="15" x14ac:dyDescent="0.25">
      <c r="B960" s="4"/>
      <c r="C960" s="4"/>
      <c r="D960" s="5"/>
      <c r="E960" s="4"/>
      <c r="F960" s="4"/>
      <c r="G960" s="4"/>
      <c r="H960" s="4"/>
      <c r="I960" s="4"/>
      <c r="J960" s="4"/>
      <c r="K960" s="4"/>
      <c r="L960" s="4"/>
      <c r="M960" s="4"/>
      <c r="N960" s="4"/>
      <c r="O960" s="4"/>
      <c r="P960" s="4"/>
      <c r="Q960" s="4"/>
      <c r="R960" s="4"/>
      <c r="S960" s="4"/>
      <c r="T960" s="4"/>
      <c r="U960" s="4"/>
      <c r="V960" s="4"/>
      <c r="W960" s="4"/>
      <c r="X960" s="4"/>
      <c r="Y960" s="4"/>
      <c r="Z960" s="4"/>
    </row>
    <row r="961" spans="2:26" ht="15" x14ac:dyDescent="0.25">
      <c r="B961" s="4"/>
      <c r="C961" s="4"/>
      <c r="D961" s="5"/>
      <c r="E961" s="4"/>
      <c r="F961" s="4"/>
      <c r="G961" s="4"/>
      <c r="H961" s="4"/>
      <c r="I961" s="4"/>
      <c r="J961" s="4"/>
      <c r="K961" s="4"/>
      <c r="L961" s="4"/>
      <c r="M961" s="4"/>
      <c r="N961" s="4"/>
      <c r="O961" s="4"/>
      <c r="P961" s="4"/>
      <c r="Q961" s="4"/>
      <c r="R961" s="4"/>
      <c r="S961" s="4"/>
      <c r="T961" s="4"/>
      <c r="U961" s="4"/>
      <c r="V961" s="4"/>
      <c r="W961" s="4"/>
      <c r="X961" s="4"/>
      <c r="Y961" s="4"/>
      <c r="Z961" s="4"/>
    </row>
    <row r="962" spans="2:26" ht="15" x14ac:dyDescent="0.25">
      <c r="B962" s="4"/>
      <c r="C962" s="4"/>
      <c r="D962" s="5"/>
      <c r="E962" s="4"/>
      <c r="F962" s="4"/>
      <c r="G962" s="4"/>
      <c r="H962" s="4"/>
      <c r="I962" s="4"/>
      <c r="J962" s="4"/>
      <c r="K962" s="4"/>
      <c r="L962" s="4"/>
      <c r="M962" s="4"/>
      <c r="N962" s="4"/>
      <c r="O962" s="4"/>
      <c r="P962" s="4"/>
      <c r="Q962" s="4"/>
      <c r="R962" s="4"/>
      <c r="S962" s="4"/>
      <c r="T962" s="4"/>
      <c r="U962" s="4"/>
      <c r="V962" s="4"/>
      <c r="W962" s="4"/>
      <c r="X962" s="4"/>
      <c r="Y962" s="4"/>
      <c r="Z962" s="4"/>
    </row>
    <row r="963" spans="2:26" ht="15" x14ac:dyDescent="0.25">
      <c r="B963" s="4"/>
      <c r="C963" s="4"/>
      <c r="D963" s="5"/>
      <c r="E963" s="4"/>
      <c r="F963" s="4"/>
      <c r="G963" s="4"/>
      <c r="H963" s="4"/>
      <c r="I963" s="4"/>
      <c r="J963" s="4"/>
      <c r="K963" s="4"/>
      <c r="L963" s="4"/>
      <c r="M963" s="4"/>
      <c r="N963" s="4"/>
      <c r="O963" s="4"/>
      <c r="P963" s="4"/>
      <c r="Q963" s="4"/>
      <c r="R963" s="4"/>
      <c r="S963" s="4"/>
      <c r="T963" s="4"/>
      <c r="U963" s="4"/>
      <c r="V963" s="4"/>
      <c r="W963" s="4"/>
      <c r="X963" s="4"/>
      <c r="Y963" s="4"/>
      <c r="Z963" s="4"/>
    </row>
    <row r="964" spans="2:26" ht="15" x14ac:dyDescent="0.25">
      <c r="B964" s="4"/>
      <c r="C964" s="4"/>
      <c r="D964" s="5"/>
      <c r="E964" s="4"/>
      <c r="F964" s="4"/>
      <c r="G964" s="4"/>
      <c r="H964" s="4"/>
      <c r="I964" s="4"/>
      <c r="J964" s="4"/>
      <c r="K964" s="4"/>
      <c r="L964" s="4"/>
      <c r="M964" s="4"/>
      <c r="N964" s="4"/>
      <c r="O964" s="4"/>
      <c r="P964" s="4"/>
      <c r="Q964" s="4"/>
      <c r="R964" s="4"/>
      <c r="S964" s="4"/>
      <c r="T964" s="4"/>
      <c r="U964" s="4"/>
      <c r="V964" s="4"/>
      <c r="W964" s="4"/>
      <c r="X964" s="4"/>
      <c r="Y964" s="4"/>
      <c r="Z964" s="4"/>
    </row>
    <row r="965" spans="2:26" ht="15" x14ac:dyDescent="0.25">
      <c r="B965" s="4"/>
      <c r="C965" s="4"/>
      <c r="D965" s="5"/>
      <c r="E965" s="4"/>
      <c r="F965" s="4"/>
      <c r="G965" s="4"/>
      <c r="H965" s="4"/>
      <c r="I965" s="4"/>
      <c r="J965" s="4"/>
      <c r="K965" s="4"/>
      <c r="L965" s="4"/>
      <c r="M965" s="4"/>
      <c r="N965" s="4"/>
      <c r="O965" s="4"/>
      <c r="P965" s="4"/>
      <c r="Q965" s="4"/>
      <c r="R965" s="4"/>
      <c r="S965" s="4"/>
      <c r="T965" s="4"/>
      <c r="U965" s="4"/>
      <c r="V965" s="4"/>
      <c r="W965" s="4"/>
      <c r="X965" s="4"/>
      <c r="Y965" s="4"/>
      <c r="Z965" s="4"/>
    </row>
    <row r="966" spans="2:26" ht="15" x14ac:dyDescent="0.25">
      <c r="B966" s="4"/>
      <c r="C966" s="4"/>
      <c r="D966" s="5"/>
      <c r="E966" s="4"/>
      <c r="F966" s="4"/>
      <c r="G966" s="4"/>
      <c r="H966" s="4"/>
      <c r="I966" s="4"/>
      <c r="J966" s="4"/>
      <c r="K966" s="4"/>
      <c r="L966" s="4"/>
      <c r="M966" s="4"/>
      <c r="N966" s="4"/>
      <c r="O966" s="4"/>
      <c r="P966" s="4"/>
      <c r="Q966" s="4"/>
      <c r="R966" s="4"/>
      <c r="S966" s="4"/>
      <c r="T966" s="4"/>
      <c r="U966" s="4"/>
      <c r="V966" s="4"/>
      <c r="W966" s="4"/>
      <c r="X966" s="4"/>
      <c r="Y966" s="4"/>
      <c r="Z966" s="4"/>
    </row>
    <row r="967" spans="2:26" ht="15" x14ac:dyDescent="0.25">
      <c r="B967" s="4"/>
      <c r="C967" s="4"/>
      <c r="D967" s="5"/>
      <c r="E967" s="4"/>
      <c r="F967" s="4"/>
      <c r="G967" s="4"/>
      <c r="H967" s="4"/>
      <c r="I967" s="4"/>
      <c r="J967" s="4"/>
      <c r="K967" s="4"/>
      <c r="L967" s="4"/>
      <c r="M967" s="4"/>
      <c r="N967" s="4"/>
      <c r="O967" s="4"/>
      <c r="P967" s="4"/>
      <c r="Q967" s="4"/>
      <c r="R967" s="4"/>
      <c r="S967" s="4"/>
      <c r="T967" s="4"/>
      <c r="U967" s="4"/>
      <c r="V967" s="4"/>
      <c r="W967" s="4"/>
      <c r="X967" s="4"/>
      <c r="Y967" s="4"/>
      <c r="Z967" s="4"/>
    </row>
    <row r="968" spans="2:26" ht="15" x14ac:dyDescent="0.25">
      <c r="B968" s="4"/>
      <c r="C968" s="4"/>
      <c r="D968" s="5"/>
      <c r="E968" s="4"/>
      <c r="F968" s="4"/>
      <c r="G968" s="4"/>
      <c r="H968" s="4"/>
      <c r="I968" s="4"/>
      <c r="J968" s="4"/>
      <c r="K968" s="4"/>
      <c r="L968" s="4"/>
      <c r="M968" s="4"/>
      <c r="N968" s="4"/>
      <c r="O968" s="4"/>
      <c r="P968" s="4"/>
      <c r="Q968" s="4"/>
      <c r="R968" s="4"/>
      <c r="S968" s="4"/>
      <c r="T968" s="4"/>
      <c r="U968" s="4"/>
      <c r="V968" s="4"/>
      <c r="W968" s="4"/>
      <c r="X968" s="4"/>
      <c r="Y968" s="4"/>
      <c r="Z968" s="4"/>
    </row>
    <row r="969" spans="2:26" ht="15" x14ac:dyDescent="0.25">
      <c r="B969" s="4"/>
      <c r="C969" s="4"/>
      <c r="D969" s="5"/>
      <c r="E969" s="4"/>
      <c r="F969" s="4"/>
      <c r="G969" s="4"/>
      <c r="H969" s="4"/>
      <c r="I969" s="4"/>
      <c r="J969" s="4"/>
      <c r="K969" s="4"/>
      <c r="L969" s="4"/>
      <c r="M969" s="4"/>
      <c r="N969" s="4"/>
      <c r="O969" s="4"/>
      <c r="P969" s="4"/>
      <c r="Q969" s="4"/>
      <c r="R969" s="4"/>
      <c r="S969" s="4"/>
      <c r="T969" s="4"/>
      <c r="U969" s="4"/>
      <c r="V969" s="4"/>
      <c r="W969" s="4"/>
      <c r="X969" s="4"/>
      <c r="Y969" s="4"/>
      <c r="Z969" s="4"/>
    </row>
    <row r="970" spans="2:26" ht="15" x14ac:dyDescent="0.25">
      <c r="B970" s="4"/>
      <c r="C970" s="4"/>
      <c r="D970" s="5"/>
      <c r="E970" s="4"/>
      <c r="F970" s="4"/>
      <c r="G970" s="4"/>
      <c r="H970" s="4"/>
      <c r="I970" s="4"/>
      <c r="J970" s="4"/>
      <c r="K970" s="4"/>
      <c r="L970" s="4"/>
      <c r="M970" s="4"/>
      <c r="N970" s="4"/>
      <c r="O970" s="4"/>
      <c r="P970" s="4"/>
      <c r="Q970" s="4"/>
      <c r="R970" s="4"/>
      <c r="S970" s="4"/>
      <c r="T970" s="4"/>
      <c r="U970" s="4"/>
      <c r="V970" s="4"/>
      <c r="W970" s="4"/>
      <c r="X970" s="4"/>
      <c r="Y970" s="4"/>
      <c r="Z970" s="4"/>
    </row>
    <row r="971" spans="2:26" ht="15" x14ac:dyDescent="0.25">
      <c r="B971" s="4"/>
      <c r="C971" s="4"/>
      <c r="D971" s="5"/>
      <c r="E971" s="4"/>
      <c r="F971" s="4"/>
      <c r="G971" s="4"/>
      <c r="H971" s="4"/>
      <c r="I971" s="4"/>
      <c r="J971" s="4"/>
      <c r="K971" s="4"/>
      <c r="L971" s="4"/>
      <c r="M971" s="4"/>
      <c r="N971" s="4"/>
      <c r="O971" s="4"/>
      <c r="P971" s="4"/>
      <c r="Q971" s="4"/>
      <c r="R971" s="4"/>
      <c r="S971" s="4"/>
      <c r="T971" s="4"/>
      <c r="U971" s="4"/>
      <c r="V971" s="4"/>
      <c r="W971" s="4"/>
      <c r="X971" s="4"/>
      <c r="Y971" s="4"/>
      <c r="Z971" s="4"/>
    </row>
    <row r="972" spans="2:26" ht="15" x14ac:dyDescent="0.25">
      <c r="B972" s="4"/>
      <c r="C972" s="4"/>
      <c r="D972" s="5"/>
      <c r="E972" s="4"/>
      <c r="F972" s="4"/>
      <c r="G972" s="4"/>
      <c r="H972" s="4"/>
      <c r="I972" s="4"/>
      <c r="J972" s="4"/>
      <c r="K972" s="4"/>
      <c r="L972" s="4"/>
      <c r="M972" s="4"/>
      <c r="N972" s="4"/>
      <c r="O972" s="4"/>
      <c r="P972" s="4"/>
      <c r="Q972" s="4"/>
      <c r="R972" s="4"/>
      <c r="S972" s="4"/>
      <c r="T972" s="4"/>
      <c r="U972" s="4"/>
      <c r="V972" s="4"/>
      <c r="W972" s="4"/>
      <c r="X972" s="4"/>
      <c r="Y972" s="4"/>
      <c r="Z972" s="4"/>
    </row>
    <row r="973" spans="2:26" ht="15" x14ac:dyDescent="0.25">
      <c r="B973" s="4"/>
      <c r="C973" s="4"/>
      <c r="D973" s="5"/>
      <c r="E973" s="4"/>
      <c r="F973" s="4"/>
      <c r="G973" s="4"/>
      <c r="H973" s="4"/>
      <c r="I973" s="4"/>
      <c r="J973" s="4"/>
      <c r="K973" s="4"/>
      <c r="L973" s="4"/>
      <c r="M973" s="4"/>
      <c r="N973" s="4"/>
      <c r="O973" s="4"/>
      <c r="P973" s="4"/>
      <c r="Q973" s="4"/>
      <c r="R973" s="4"/>
      <c r="S973" s="4"/>
      <c r="T973" s="4"/>
      <c r="U973" s="4"/>
      <c r="V973" s="4"/>
      <c r="W973" s="4"/>
      <c r="X973" s="4"/>
      <c r="Y973" s="4"/>
      <c r="Z973" s="4"/>
    </row>
    <row r="974" spans="2:26" ht="15" x14ac:dyDescent="0.25">
      <c r="B974" s="4"/>
      <c r="C974" s="4"/>
      <c r="D974" s="5"/>
      <c r="E974" s="4"/>
      <c r="F974" s="4"/>
      <c r="G974" s="4"/>
      <c r="H974" s="4"/>
      <c r="I974" s="4"/>
      <c r="J974" s="4"/>
      <c r="K974" s="4"/>
      <c r="L974" s="4"/>
      <c r="M974" s="4"/>
      <c r="N974" s="4"/>
      <c r="O974" s="4"/>
      <c r="P974" s="4"/>
      <c r="Q974" s="4"/>
      <c r="R974" s="4"/>
      <c r="S974" s="4"/>
      <c r="T974" s="4"/>
      <c r="U974" s="4"/>
      <c r="V974" s="4"/>
      <c r="W974" s="4"/>
      <c r="X974" s="4"/>
      <c r="Y974" s="4"/>
      <c r="Z974" s="4"/>
    </row>
    <row r="975" spans="2:26" ht="15" x14ac:dyDescent="0.25">
      <c r="B975" s="4"/>
      <c r="C975" s="4"/>
      <c r="D975" s="5"/>
      <c r="E975" s="4"/>
      <c r="F975" s="4"/>
      <c r="G975" s="4"/>
      <c r="H975" s="4"/>
      <c r="I975" s="4"/>
      <c r="J975" s="4"/>
      <c r="K975" s="4"/>
      <c r="L975" s="4"/>
      <c r="M975" s="4"/>
      <c r="N975" s="4"/>
      <c r="O975" s="4"/>
      <c r="P975" s="4"/>
      <c r="Q975" s="4"/>
      <c r="R975" s="4"/>
      <c r="S975" s="4"/>
      <c r="T975" s="4"/>
      <c r="U975" s="4"/>
      <c r="V975" s="4"/>
      <c r="W975" s="4"/>
      <c r="X975" s="4"/>
      <c r="Y975" s="4"/>
      <c r="Z975" s="4"/>
    </row>
    <row r="976" spans="2:26" ht="15" x14ac:dyDescent="0.25">
      <c r="B976" s="4"/>
      <c r="C976" s="4"/>
      <c r="D976" s="5"/>
      <c r="E976" s="4"/>
      <c r="F976" s="4"/>
      <c r="G976" s="4"/>
      <c r="H976" s="4"/>
      <c r="I976" s="4"/>
      <c r="J976" s="4"/>
      <c r="K976" s="4"/>
      <c r="L976" s="4"/>
      <c r="M976" s="4"/>
      <c r="N976" s="4"/>
      <c r="O976" s="4"/>
      <c r="P976" s="4"/>
      <c r="Q976" s="4"/>
      <c r="R976" s="4"/>
      <c r="S976" s="4"/>
      <c r="T976" s="4"/>
      <c r="U976" s="4"/>
      <c r="V976" s="4"/>
      <c r="W976" s="4"/>
      <c r="X976" s="4"/>
      <c r="Y976" s="4"/>
      <c r="Z976" s="4"/>
    </row>
    <row r="977" spans="2:26" ht="15" x14ac:dyDescent="0.25">
      <c r="B977" s="4"/>
      <c r="C977" s="4"/>
      <c r="D977" s="5"/>
      <c r="E977" s="4"/>
      <c r="F977" s="4"/>
      <c r="G977" s="4"/>
      <c r="H977" s="4"/>
      <c r="I977" s="4"/>
      <c r="J977" s="4"/>
      <c r="K977" s="4"/>
      <c r="L977" s="4"/>
      <c r="M977" s="4"/>
      <c r="N977" s="4"/>
      <c r="O977" s="4"/>
      <c r="P977" s="4"/>
      <c r="Q977" s="4"/>
      <c r="R977" s="4"/>
      <c r="S977" s="4"/>
      <c r="T977" s="4"/>
      <c r="U977" s="4"/>
      <c r="V977" s="4"/>
      <c r="W977" s="4"/>
      <c r="X977" s="4"/>
      <c r="Y977" s="4"/>
      <c r="Z977" s="4"/>
    </row>
    <row r="978" spans="2:26" ht="15" x14ac:dyDescent="0.25">
      <c r="B978" s="4"/>
      <c r="C978" s="4"/>
      <c r="D978" s="5"/>
      <c r="E978" s="4"/>
      <c r="F978" s="4"/>
      <c r="G978" s="4"/>
      <c r="H978" s="4"/>
      <c r="I978" s="4"/>
      <c r="J978" s="4"/>
      <c r="K978" s="4"/>
      <c r="L978" s="4"/>
      <c r="M978" s="4"/>
      <c r="N978" s="4"/>
      <c r="O978" s="4"/>
      <c r="P978" s="4"/>
      <c r="Q978" s="4"/>
      <c r="R978" s="4"/>
      <c r="S978" s="4"/>
      <c r="T978" s="4"/>
      <c r="U978" s="4"/>
      <c r="V978" s="4"/>
      <c r="W978" s="4"/>
      <c r="X978" s="4"/>
      <c r="Y978" s="4"/>
      <c r="Z978" s="4"/>
    </row>
    <row r="979" spans="2:26" ht="15" x14ac:dyDescent="0.25">
      <c r="B979" s="4"/>
      <c r="C979" s="4"/>
      <c r="D979" s="5"/>
      <c r="E979" s="4"/>
      <c r="F979" s="4"/>
      <c r="G979" s="4"/>
      <c r="H979" s="4"/>
      <c r="I979" s="4"/>
      <c r="J979" s="4"/>
      <c r="K979" s="4"/>
      <c r="L979" s="4"/>
      <c r="M979" s="4"/>
      <c r="N979" s="4"/>
      <c r="O979" s="4"/>
      <c r="P979" s="4"/>
      <c r="Q979" s="4"/>
      <c r="R979" s="4"/>
      <c r="S979" s="4"/>
      <c r="T979" s="4"/>
      <c r="U979" s="4"/>
      <c r="V979" s="4"/>
      <c r="W979" s="4"/>
      <c r="X979" s="4"/>
      <c r="Y979" s="4"/>
      <c r="Z979" s="4"/>
    </row>
    <row r="980" spans="2:26" ht="15" x14ac:dyDescent="0.25">
      <c r="B980" s="4"/>
      <c r="C980" s="4"/>
      <c r="D980" s="5"/>
      <c r="E980" s="4"/>
      <c r="F980" s="4"/>
      <c r="G980" s="4"/>
      <c r="H980" s="4"/>
      <c r="I980" s="4"/>
      <c r="J980" s="4"/>
      <c r="K980" s="4"/>
      <c r="L980" s="4"/>
      <c r="M980" s="4"/>
      <c r="N980" s="4"/>
      <c r="O980" s="4"/>
      <c r="P980" s="4"/>
      <c r="Q980" s="4"/>
      <c r="R980" s="4"/>
      <c r="S980" s="4"/>
      <c r="T980" s="4"/>
      <c r="U980" s="4"/>
      <c r="V980" s="4"/>
      <c r="W980" s="4"/>
      <c r="X980" s="4"/>
      <c r="Y980" s="4"/>
      <c r="Z980" s="4"/>
    </row>
    <row r="981" spans="2:26" ht="15" x14ac:dyDescent="0.25">
      <c r="B981" s="4"/>
      <c r="C981" s="4"/>
      <c r="D981" s="5"/>
      <c r="E981" s="4"/>
      <c r="F981" s="4"/>
      <c r="G981" s="4"/>
      <c r="H981" s="4"/>
      <c r="I981" s="4"/>
      <c r="J981" s="4"/>
      <c r="K981" s="4"/>
      <c r="L981" s="4"/>
      <c r="M981" s="4"/>
      <c r="N981" s="4"/>
      <c r="O981" s="4"/>
      <c r="P981" s="4"/>
      <c r="Q981" s="4"/>
      <c r="R981" s="4"/>
      <c r="S981" s="4"/>
      <c r="T981" s="4"/>
      <c r="U981" s="4"/>
      <c r="V981" s="4"/>
      <c r="W981" s="4"/>
      <c r="X981" s="4"/>
      <c r="Y981" s="4"/>
      <c r="Z981" s="4"/>
    </row>
    <row r="982" spans="2:26" ht="15" x14ac:dyDescent="0.25">
      <c r="B982" s="4"/>
      <c r="C982" s="4"/>
      <c r="D982" s="5"/>
      <c r="E982" s="4"/>
      <c r="F982" s="4"/>
      <c r="G982" s="4"/>
      <c r="H982" s="4"/>
      <c r="I982" s="4"/>
      <c r="J982" s="4"/>
      <c r="K982" s="4"/>
      <c r="L982" s="4"/>
      <c r="M982" s="4"/>
      <c r="N982" s="4"/>
      <c r="O982" s="4"/>
      <c r="P982" s="4"/>
      <c r="Q982" s="4"/>
      <c r="R982" s="4"/>
      <c r="S982" s="4"/>
      <c r="T982" s="4"/>
      <c r="U982" s="4"/>
      <c r="V982" s="4"/>
      <c r="W982" s="4"/>
      <c r="X982" s="4"/>
      <c r="Y982" s="4"/>
      <c r="Z982" s="4"/>
    </row>
    <row r="983" spans="2:26" ht="15" x14ac:dyDescent="0.25">
      <c r="B983" s="4"/>
      <c r="C983" s="4"/>
      <c r="D983" s="5"/>
      <c r="E983" s="4"/>
      <c r="F983" s="4"/>
      <c r="G983" s="4"/>
      <c r="H983" s="4"/>
      <c r="I983" s="4"/>
      <c r="J983" s="4"/>
      <c r="K983" s="4"/>
      <c r="L983" s="4"/>
      <c r="M983" s="4"/>
      <c r="N983" s="4"/>
      <c r="O983" s="4"/>
      <c r="P983" s="4"/>
      <c r="Q983" s="4"/>
      <c r="R983" s="4"/>
      <c r="S983" s="4"/>
      <c r="T983" s="4"/>
      <c r="U983" s="4"/>
      <c r="V983" s="4"/>
      <c r="W983" s="4"/>
      <c r="X983" s="4"/>
      <c r="Y983" s="4"/>
      <c r="Z983" s="4"/>
    </row>
    <row r="984" spans="2:26" ht="15" x14ac:dyDescent="0.25">
      <c r="B984" s="4"/>
      <c r="C984" s="4"/>
      <c r="D984" s="5"/>
      <c r="E984" s="4"/>
      <c r="F984" s="4"/>
      <c r="G984" s="4"/>
      <c r="H984" s="4"/>
      <c r="I984" s="4"/>
      <c r="J984" s="4"/>
      <c r="K984" s="4"/>
      <c r="L984" s="4"/>
      <c r="M984" s="4"/>
      <c r="N984" s="4"/>
      <c r="O984" s="4"/>
      <c r="P984" s="4"/>
      <c r="Q984" s="4"/>
      <c r="R984" s="4"/>
      <c r="S984" s="4"/>
      <c r="T984" s="4"/>
      <c r="U984" s="4"/>
      <c r="V984" s="4"/>
      <c r="W984" s="4"/>
      <c r="X984" s="4"/>
      <c r="Y984" s="4"/>
      <c r="Z984" s="4"/>
    </row>
    <row r="985" spans="2:26" ht="15" x14ac:dyDescent="0.25">
      <c r="B985" s="4"/>
      <c r="C985" s="4"/>
      <c r="D985" s="5"/>
      <c r="E985" s="4"/>
      <c r="F985" s="4"/>
      <c r="G985" s="4"/>
      <c r="H985" s="4"/>
      <c r="I985" s="4"/>
      <c r="J985" s="4"/>
      <c r="K985" s="4"/>
      <c r="L985" s="4"/>
      <c r="M985" s="4"/>
      <c r="N985" s="4"/>
      <c r="O985" s="4"/>
      <c r="P985" s="4"/>
      <c r="Q985" s="4"/>
      <c r="R985" s="4"/>
      <c r="S985" s="4"/>
      <c r="T985" s="4"/>
      <c r="U985" s="4"/>
      <c r="V985" s="4"/>
      <c r="W985" s="4"/>
      <c r="X985" s="4"/>
      <c r="Y985" s="4"/>
      <c r="Z985" s="4"/>
    </row>
    <row r="986" spans="2:26" ht="15" x14ac:dyDescent="0.25">
      <c r="B986" s="4"/>
      <c r="C986" s="4"/>
      <c r="D986" s="5"/>
      <c r="E986" s="4"/>
      <c r="F986" s="4"/>
      <c r="G986" s="4"/>
      <c r="H986" s="4"/>
      <c r="I986" s="4"/>
      <c r="J986" s="4"/>
      <c r="K986" s="4"/>
      <c r="L986" s="4"/>
      <c r="M986" s="4"/>
      <c r="N986" s="4"/>
      <c r="O986" s="4"/>
      <c r="P986" s="4"/>
      <c r="Q986" s="4"/>
      <c r="R986" s="4"/>
      <c r="S986" s="4"/>
      <c r="T986" s="4"/>
      <c r="U986" s="4"/>
      <c r="V986" s="4"/>
      <c r="W986" s="4"/>
      <c r="X986" s="4"/>
      <c r="Y986" s="4"/>
      <c r="Z986" s="4"/>
    </row>
    <row r="987" spans="2:26" ht="15" x14ac:dyDescent="0.25">
      <c r="B987" s="4"/>
      <c r="C987" s="4"/>
      <c r="D987" s="5"/>
      <c r="E987" s="4"/>
      <c r="F987" s="4"/>
      <c r="G987" s="4"/>
      <c r="H987" s="4"/>
      <c r="I987" s="4"/>
      <c r="J987" s="4"/>
      <c r="K987" s="4"/>
      <c r="L987" s="4"/>
      <c r="M987" s="4"/>
      <c r="N987" s="4"/>
      <c r="O987" s="4"/>
      <c r="P987" s="4"/>
      <c r="Q987" s="4"/>
      <c r="R987" s="4"/>
      <c r="S987" s="4"/>
      <c r="T987" s="4"/>
      <c r="U987" s="4"/>
      <c r="V987" s="4"/>
      <c r="W987" s="4"/>
      <c r="X987" s="4"/>
      <c r="Y987" s="4"/>
      <c r="Z987" s="4"/>
    </row>
    <row r="988" spans="2:26" ht="15" x14ac:dyDescent="0.25">
      <c r="B988" s="4"/>
      <c r="C988" s="4"/>
      <c r="D988" s="5"/>
      <c r="E988" s="4"/>
      <c r="F988" s="4"/>
      <c r="G988" s="4"/>
      <c r="H988" s="4"/>
      <c r="I988" s="4"/>
      <c r="J988" s="4"/>
      <c r="K988" s="4"/>
      <c r="L988" s="4"/>
      <c r="M988" s="4"/>
      <c r="N988" s="4"/>
      <c r="O988" s="4"/>
      <c r="P988" s="4"/>
      <c r="Q988" s="4"/>
      <c r="R988" s="4"/>
      <c r="S988" s="4"/>
      <c r="T988" s="4"/>
      <c r="U988" s="4"/>
      <c r="V988" s="4"/>
      <c r="W988" s="4"/>
      <c r="X988" s="4"/>
      <c r="Y988" s="4"/>
      <c r="Z988" s="4"/>
    </row>
    <row r="989" spans="2:26" ht="15" x14ac:dyDescent="0.25">
      <c r="B989" s="4"/>
      <c r="C989" s="4"/>
      <c r="D989" s="5"/>
      <c r="E989" s="4"/>
      <c r="F989" s="4"/>
      <c r="G989" s="4"/>
      <c r="H989" s="4"/>
      <c r="I989" s="4"/>
      <c r="J989" s="4"/>
      <c r="K989" s="4"/>
      <c r="L989" s="4"/>
      <c r="M989" s="4"/>
      <c r="N989" s="4"/>
      <c r="O989" s="4"/>
      <c r="P989" s="4"/>
      <c r="Q989" s="4"/>
      <c r="R989" s="4"/>
      <c r="S989" s="4"/>
      <c r="T989" s="4"/>
      <c r="U989" s="4"/>
      <c r="V989" s="4"/>
      <c r="W989" s="4"/>
      <c r="X989" s="4"/>
      <c r="Y989" s="4"/>
      <c r="Z989" s="4"/>
    </row>
    <row r="990" spans="2:26" ht="15" x14ac:dyDescent="0.25">
      <c r="B990" s="4"/>
      <c r="C990" s="4"/>
      <c r="D990" s="5"/>
      <c r="E990" s="4"/>
      <c r="F990" s="4"/>
      <c r="G990" s="4"/>
      <c r="H990" s="4"/>
      <c r="I990" s="4"/>
      <c r="J990" s="4"/>
      <c r="K990" s="4"/>
      <c r="L990" s="4"/>
      <c r="M990" s="4"/>
      <c r="N990" s="4"/>
      <c r="O990" s="4"/>
      <c r="P990" s="4"/>
      <c r="Q990" s="4"/>
      <c r="R990" s="4"/>
      <c r="S990" s="4"/>
      <c r="T990" s="4"/>
      <c r="U990" s="4"/>
      <c r="V990" s="4"/>
      <c r="W990" s="4"/>
      <c r="X990" s="4"/>
      <c r="Y990" s="4"/>
      <c r="Z990" s="4"/>
    </row>
    <row r="991" spans="2:26" ht="15" x14ac:dyDescent="0.25">
      <c r="B991" s="4"/>
      <c r="C991" s="4"/>
      <c r="D991" s="5"/>
      <c r="E991" s="4"/>
      <c r="F991" s="4"/>
      <c r="G991" s="4"/>
      <c r="H991" s="4"/>
      <c r="I991" s="4"/>
      <c r="J991" s="4"/>
      <c r="K991" s="4"/>
      <c r="L991" s="4"/>
      <c r="M991" s="4"/>
      <c r="N991" s="4"/>
      <c r="O991" s="4"/>
      <c r="P991" s="4"/>
      <c r="Q991" s="4"/>
      <c r="R991" s="4"/>
      <c r="S991" s="4"/>
      <c r="T991" s="4"/>
      <c r="U991" s="4"/>
      <c r="V991" s="4"/>
      <c r="W991" s="4"/>
      <c r="X991" s="4"/>
      <c r="Y991" s="4"/>
      <c r="Z991" s="4"/>
    </row>
    <row r="992" spans="2:26" ht="15" x14ac:dyDescent="0.25">
      <c r="B992" s="4"/>
      <c r="C992" s="4"/>
      <c r="D992" s="5"/>
      <c r="E992" s="4"/>
      <c r="F992" s="4"/>
      <c r="G992" s="4"/>
      <c r="H992" s="4"/>
      <c r="I992" s="4"/>
      <c r="J992" s="4"/>
      <c r="K992" s="4"/>
      <c r="L992" s="4"/>
      <c r="M992" s="4"/>
      <c r="N992" s="4"/>
      <c r="O992" s="4"/>
      <c r="P992" s="4"/>
      <c r="Q992" s="4"/>
      <c r="R992" s="4"/>
      <c r="S992" s="4"/>
      <c r="T992" s="4"/>
      <c r="U992" s="4"/>
      <c r="V992" s="4"/>
      <c r="W992" s="4"/>
      <c r="X992" s="4"/>
      <c r="Y992" s="4"/>
      <c r="Z992" s="4"/>
    </row>
    <row r="993" spans="2:26" ht="15" x14ac:dyDescent="0.25">
      <c r="B993" s="4"/>
      <c r="C993" s="4"/>
      <c r="D993" s="5"/>
      <c r="E993" s="4"/>
      <c r="F993" s="4"/>
      <c r="G993" s="4"/>
      <c r="H993" s="4"/>
      <c r="I993" s="4"/>
      <c r="J993" s="4"/>
      <c r="K993" s="4"/>
      <c r="L993" s="4"/>
      <c r="M993" s="4"/>
      <c r="N993" s="4"/>
      <c r="O993" s="4"/>
      <c r="P993" s="4"/>
      <c r="Q993" s="4"/>
      <c r="R993" s="4"/>
      <c r="S993" s="4"/>
      <c r="T993" s="4"/>
      <c r="U993" s="4"/>
      <c r="V993" s="4"/>
      <c r="W993" s="4"/>
      <c r="X993" s="4"/>
      <c r="Y993" s="4"/>
      <c r="Z993" s="4"/>
    </row>
    <row r="994" spans="2:26" ht="15" x14ac:dyDescent="0.25">
      <c r="B994" s="4"/>
      <c r="C994" s="4"/>
      <c r="D994" s="5"/>
      <c r="E994" s="4"/>
      <c r="F994" s="4"/>
      <c r="G994" s="4"/>
      <c r="H994" s="4"/>
      <c r="I994" s="4"/>
      <c r="J994" s="4"/>
      <c r="K994" s="4"/>
      <c r="L994" s="4"/>
      <c r="M994" s="4"/>
      <c r="N994" s="4"/>
      <c r="O994" s="4"/>
      <c r="P994" s="4"/>
      <c r="Q994" s="4"/>
      <c r="R994" s="4"/>
      <c r="S994" s="4"/>
      <c r="T994" s="4"/>
      <c r="U994" s="4"/>
      <c r="V994" s="4"/>
      <c r="W994" s="4"/>
      <c r="X994" s="4"/>
      <c r="Y994" s="4"/>
      <c r="Z994" s="4"/>
    </row>
    <row r="995" spans="2:26" ht="15" x14ac:dyDescent="0.25">
      <c r="B995" s="4"/>
      <c r="C995" s="4"/>
      <c r="D995" s="5"/>
      <c r="E995" s="4"/>
      <c r="F995" s="4"/>
      <c r="G995" s="4"/>
      <c r="H995" s="4"/>
      <c r="I995" s="4"/>
      <c r="J995" s="4"/>
      <c r="K995" s="4"/>
      <c r="L995" s="4"/>
      <c r="M995" s="4"/>
      <c r="N995" s="4"/>
      <c r="O995" s="4"/>
      <c r="P995" s="4"/>
      <c r="Q995" s="4"/>
      <c r="R995" s="4"/>
      <c r="S995" s="4"/>
      <c r="T995" s="4"/>
      <c r="U995" s="4"/>
      <c r="V995" s="4"/>
      <c r="W995" s="4"/>
      <c r="X995" s="4"/>
      <c r="Y995" s="4"/>
      <c r="Z995" s="4"/>
    </row>
    <row r="996" spans="2:26" ht="15" x14ac:dyDescent="0.25">
      <c r="B996" s="4"/>
      <c r="C996" s="4"/>
      <c r="D996" s="5"/>
      <c r="E996" s="4"/>
      <c r="F996" s="4"/>
      <c r="G996" s="4"/>
      <c r="H996" s="4"/>
      <c r="I996" s="4"/>
      <c r="J996" s="4"/>
      <c r="K996" s="4"/>
      <c r="L996" s="4"/>
      <c r="M996" s="4"/>
      <c r="N996" s="4"/>
      <c r="O996" s="4"/>
      <c r="P996" s="4"/>
      <c r="Q996" s="4"/>
      <c r="R996" s="4"/>
      <c r="S996" s="4"/>
      <c r="T996" s="4"/>
      <c r="U996" s="4"/>
      <c r="V996" s="4"/>
      <c r="W996" s="4"/>
      <c r="X996" s="4"/>
      <c r="Y996" s="4"/>
      <c r="Z996" s="4"/>
    </row>
    <row r="997" spans="2:26" ht="15" x14ac:dyDescent="0.25">
      <c r="B997" s="4"/>
      <c r="C997" s="4"/>
      <c r="D997" s="5"/>
      <c r="E997" s="4"/>
      <c r="F997" s="4"/>
      <c r="G997" s="4"/>
      <c r="H997" s="4"/>
      <c r="I997" s="4"/>
      <c r="J997" s="4"/>
      <c r="K997" s="4"/>
      <c r="L997" s="4"/>
      <c r="M997" s="4"/>
      <c r="N997" s="4"/>
      <c r="O997" s="4"/>
      <c r="P997" s="4"/>
      <c r="Q997" s="4"/>
      <c r="R997" s="4"/>
      <c r="S997" s="4"/>
      <c r="T997" s="4"/>
      <c r="U997" s="4"/>
      <c r="V997" s="4"/>
      <c r="W997" s="4"/>
      <c r="X997" s="4"/>
      <c r="Y997" s="4"/>
      <c r="Z997" s="4"/>
    </row>
    <row r="998" spans="2:26" ht="15" x14ac:dyDescent="0.25">
      <c r="B998" s="4"/>
      <c r="C998" s="4"/>
      <c r="D998" s="5"/>
      <c r="E998" s="4"/>
      <c r="F998" s="4"/>
      <c r="G998" s="4"/>
      <c r="H998" s="4"/>
      <c r="I998" s="4"/>
      <c r="J998" s="4"/>
      <c r="K998" s="4"/>
      <c r="L998" s="4"/>
      <c r="M998" s="4"/>
      <c r="N998" s="4"/>
      <c r="O998" s="4"/>
      <c r="P998" s="4"/>
      <c r="Q998" s="4"/>
      <c r="R998" s="4"/>
      <c r="S998" s="4"/>
      <c r="T998" s="4"/>
      <c r="U998" s="4"/>
      <c r="V998" s="4"/>
      <c r="W998" s="4"/>
      <c r="X998" s="4"/>
      <c r="Y998" s="4"/>
      <c r="Z998" s="4"/>
    </row>
    <row r="999" spans="2:26" ht="15" x14ac:dyDescent="0.25">
      <c r="B999" s="4"/>
      <c r="C999" s="4"/>
      <c r="D999" s="5"/>
      <c r="E999" s="4"/>
      <c r="F999" s="4"/>
      <c r="G999" s="4"/>
      <c r="H999" s="4"/>
      <c r="I999" s="4"/>
      <c r="J999" s="4"/>
      <c r="K999" s="4"/>
      <c r="L999" s="4"/>
      <c r="M999" s="4"/>
      <c r="N999" s="4"/>
      <c r="O999" s="4"/>
      <c r="P999" s="4"/>
      <c r="Q999" s="4"/>
      <c r="R999" s="4"/>
      <c r="S999" s="4"/>
      <c r="T999" s="4"/>
      <c r="U999" s="4"/>
      <c r="V999" s="4"/>
      <c r="W999" s="4"/>
      <c r="X999" s="4"/>
      <c r="Y999" s="4"/>
      <c r="Z999" s="4"/>
    </row>
    <row r="1000" spans="2:26" ht="15" x14ac:dyDescent="0.25">
      <c r="B1000" s="4"/>
      <c r="C1000" s="4"/>
      <c r="D1000" s="5"/>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2:26" ht="15" x14ac:dyDescent="0.25">
      <c r="B1001" s="4"/>
      <c r="C1001" s="4"/>
      <c r="D1001" s="5"/>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2:26" ht="15" x14ac:dyDescent="0.25">
      <c r="B1002" s="4"/>
      <c r="C1002" s="4"/>
      <c r="D1002" s="5"/>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2:26" ht="15" x14ac:dyDescent="0.25">
      <c r="B1003" s="4"/>
      <c r="C1003" s="4"/>
      <c r="D1003" s="5"/>
      <c r="E1003" s="4"/>
      <c r="F1003" s="4"/>
      <c r="G1003" s="4"/>
      <c r="H1003" s="4"/>
      <c r="I1003" s="4"/>
      <c r="J1003" s="4"/>
      <c r="K1003" s="4"/>
      <c r="L1003" s="4"/>
      <c r="M1003" s="4"/>
      <c r="N1003" s="4"/>
      <c r="O1003" s="4"/>
      <c r="P1003" s="4"/>
      <c r="Q1003" s="4"/>
      <c r="R1003" s="4"/>
      <c r="S1003" s="4"/>
      <c r="T1003" s="4"/>
      <c r="U1003" s="4"/>
      <c r="V1003" s="4"/>
      <c r="W1003" s="4"/>
      <c r="X1003" s="4"/>
      <c r="Y1003" s="4"/>
      <c r="Z1003" s="4"/>
    </row>
    <row r="1004" spans="2:26" ht="15" x14ac:dyDescent="0.25">
      <c r="B1004" s="4"/>
      <c r="C1004" s="4"/>
      <c r="D1004" s="5"/>
      <c r="E1004" s="4"/>
      <c r="F1004" s="4"/>
      <c r="G1004" s="4"/>
      <c r="H1004" s="4"/>
      <c r="I1004" s="4"/>
      <c r="J1004" s="4"/>
      <c r="K1004" s="4"/>
      <c r="L1004" s="4"/>
      <c r="M1004" s="4"/>
      <c r="N1004" s="4"/>
      <c r="O1004" s="4"/>
      <c r="P1004" s="4"/>
      <c r="Q1004" s="4"/>
      <c r="R1004" s="4"/>
      <c r="S1004" s="4"/>
      <c r="T1004" s="4"/>
      <c r="U1004" s="4"/>
      <c r="V1004" s="4"/>
      <c r="W1004" s="4"/>
      <c r="X1004" s="4"/>
      <c r="Y1004" s="4"/>
      <c r="Z1004" s="4"/>
    </row>
    <row r="1005" spans="2:26" ht="15" x14ac:dyDescent="0.25">
      <c r="B1005" s="4"/>
      <c r="C1005" s="4"/>
      <c r="D1005" s="5"/>
      <c r="E1005" s="4"/>
      <c r="F1005" s="4"/>
      <c r="G1005" s="4"/>
      <c r="H1005" s="4"/>
      <c r="I1005" s="4"/>
      <c r="J1005" s="4"/>
      <c r="K1005" s="4"/>
      <c r="L1005" s="4"/>
      <c r="M1005" s="4"/>
      <c r="N1005" s="4"/>
      <c r="O1005" s="4"/>
      <c r="P1005" s="4"/>
      <c r="Q1005" s="4"/>
      <c r="R1005" s="4"/>
      <c r="S1005" s="4"/>
      <c r="T1005" s="4"/>
      <c r="U1005" s="4"/>
      <c r="V1005" s="4"/>
      <c r="W1005" s="4"/>
      <c r="X1005" s="4"/>
      <c r="Y1005" s="4"/>
      <c r="Z1005" s="4"/>
    </row>
    <row r="1006" spans="2:26" ht="15" x14ac:dyDescent="0.25">
      <c r="B1006" s="4"/>
      <c r="C1006" s="4"/>
      <c r="D1006" s="5"/>
      <c r="E1006" s="4"/>
      <c r="F1006" s="4"/>
      <c r="G1006" s="4"/>
      <c r="H1006" s="4"/>
      <c r="I1006" s="4"/>
      <c r="J1006" s="4"/>
      <c r="K1006" s="4"/>
      <c r="L1006" s="4"/>
      <c r="M1006" s="4"/>
      <c r="N1006" s="4"/>
      <c r="O1006" s="4"/>
      <c r="P1006" s="4"/>
      <c r="Q1006" s="4"/>
      <c r="R1006" s="4"/>
      <c r="S1006" s="4"/>
      <c r="T1006" s="4"/>
      <c r="U1006" s="4"/>
      <c r="V1006" s="4"/>
      <c r="W1006" s="4"/>
      <c r="X1006" s="4"/>
      <c r="Y1006" s="4"/>
      <c r="Z1006" s="4"/>
    </row>
  </sheetData>
  <sheetProtection algorithmName="SHA-512" hashValue="3wrgtU3EBqAi9tjAlnI7bKK/CtL5Kou7phYJ5gY7CXynG5Fq7ADKM741199SW6Dl877wRgng0J/piKZGepiPFA==" saltValue="DZAITSfAdtg1tqbAoNuwaA==" spinCount="100000" sheet="1" objects="1" scenarios="1"/>
  <mergeCells count="6">
    <mergeCell ref="B178:C178"/>
    <mergeCell ref="F2:I2"/>
    <mergeCell ref="B9:C9"/>
    <mergeCell ref="B10:C10"/>
    <mergeCell ref="B169:C169"/>
    <mergeCell ref="B171:C171"/>
  </mergeCell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6.83203125" defaultRowHeight="15" customHeight="1" x14ac:dyDescent="0.2"/>
  <cols>
    <col min="1" max="1" width="9.33203125" customWidth="1"/>
    <col min="2" max="2" width="22.5" customWidth="1"/>
    <col min="3" max="3" width="17.83203125" customWidth="1"/>
    <col min="4" max="4" width="19.33203125" customWidth="1"/>
    <col min="5" max="5" width="22" customWidth="1"/>
    <col min="6" max="6" width="17.83203125" customWidth="1"/>
    <col min="7" max="7" width="20.33203125" customWidth="1"/>
    <col min="8" max="8" width="15.1640625" customWidth="1"/>
    <col min="9" max="9" width="19.33203125" customWidth="1"/>
    <col min="10" max="10" width="17.1640625" customWidth="1"/>
    <col min="11" max="16" width="9.33203125" customWidth="1"/>
    <col min="17" max="26" width="8" customWidth="1"/>
  </cols>
  <sheetData>
    <row r="1" spans="1:26" ht="36" customHeight="1" x14ac:dyDescent="0.25">
      <c r="A1" s="4" t="s">
        <v>922</v>
      </c>
      <c r="B1" s="4"/>
      <c r="C1" s="261"/>
      <c r="D1" s="261"/>
      <c r="E1" s="261"/>
      <c r="F1" s="3" t="s">
        <v>268</v>
      </c>
      <c r="G1" s="261"/>
      <c r="H1" s="261"/>
      <c r="I1" s="261"/>
      <c r="J1" s="261"/>
      <c r="K1" s="261"/>
      <c r="L1" s="261"/>
      <c r="M1" s="261"/>
      <c r="N1" s="261"/>
      <c r="O1" s="261"/>
      <c r="P1" s="261"/>
      <c r="Q1" s="261"/>
      <c r="R1" s="261"/>
      <c r="S1" s="261"/>
      <c r="T1" s="261"/>
      <c r="U1" s="261"/>
      <c r="V1" s="261"/>
      <c r="W1" s="261"/>
      <c r="X1" s="261"/>
      <c r="Y1" s="261"/>
      <c r="Z1" s="261"/>
    </row>
    <row r="2" spans="1:26" ht="80.25" customHeight="1" x14ac:dyDescent="0.25">
      <c r="A2" s="2153"/>
      <c r="B2" s="2149"/>
      <c r="C2" s="2149"/>
      <c r="D2" s="2149"/>
      <c r="E2" s="2149"/>
      <c r="F2" s="2149"/>
      <c r="G2" s="2149"/>
      <c r="H2" s="2149"/>
      <c r="I2" s="2149"/>
      <c r="J2" s="2149"/>
      <c r="K2" s="261"/>
      <c r="L2" s="261"/>
      <c r="M2" s="261"/>
      <c r="N2" s="261"/>
      <c r="O2" s="261"/>
      <c r="P2" s="261"/>
      <c r="Q2" s="261"/>
      <c r="R2" s="261"/>
      <c r="S2" s="261"/>
      <c r="T2" s="261"/>
      <c r="U2" s="261"/>
      <c r="V2" s="261"/>
      <c r="W2" s="261"/>
      <c r="X2" s="261"/>
      <c r="Y2" s="261"/>
      <c r="Z2" s="261"/>
    </row>
    <row r="3" spans="1:26" x14ac:dyDescent="0.25">
      <c r="A3" s="4"/>
      <c r="B3" s="4"/>
      <c r="C3" s="4"/>
      <c r="D3" s="4"/>
      <c r="E3" s="4"/>
      <c r="F3" s="4"/>
      <c r="G3" s="4"/>
      <c r="H3" s="4"/>
      <c r="I3" s="4"/>
      <c r="J3" s="4"/>
      <c r="K3" s="4"/>
      <c r="L3" s="4"/>
      <c r="M3" s="4"/>
      <c r="N3" s="4"/>
      <c r="O3" s="4"/>
      <c r="P3" s="4"/>
      <c r="Q3" s="4"/>
      <c r="R3" s="4"/>
      <c r="S3" s="4"/>
      <c r="T3" s="4"/>
      <c r="U3" s="4"/>
      <c r="V3" s="4"/>
      <c r="W3" s="4"/>
      <c r="X3" s="4"/>
      <c r="Y3" s="4"/>
      <c r="Z3" s="4"/>
    </row>
    <row r="4" spans="1:26" ht="21" customHeight="1" x14ac:dyDescent="0.4">
      <c r="A4" s="4"/>
      <c r="B4" s="1033" t="s">
        <v>923</v>
      </c>
      <c r="C4" s="1033"/>
      <c r="D4" s="1033">
        <v>2011</v>
      </c>
      <c r="E4" s="261"/>
      <c r="F4" s="261"/>
      <c r="G4" s="261"/>
      <c r="H4" s="261"/>
      <c r="I4" s="261"/>
      <c r="J4" s="261"/>
      <c r="K4" s="261"/>
      <c r="L4" s="261"/>
      <c r="M4" s="261"/>
      <c r="N4" s="261"/>
      <c r="O4" s="261"/>
      <c r="P4" s="4"/>
      <c r="Q4" s="4"/>
      <c r="R4" s="4"/>
      <c r="S4" s="4"/>
      <c r="T4" s="4"/>
      <c r="U4" s="4"/>
      <c r="V4" s="4"/>
      <c r="W4" s="4"/>
      <c r="X4" s="4"/>
      <c r="Y4" s="4"/>
      <c r="Z4" s="4"/>
    </row>
    <row r="5" spans="1:26" x14ac:dyDescent="0.25">
      <c r="A5" s="4"/>
      <c r="B5" s="659"/>
      <c r="C5" s="660" t="s">
        <v>188</v>
      </c>
      <c r="D5" s="660" t="s">
        <v>850</v>
      </c>
      <c r="E5" s="1101"/>
      <c r="F5" s="660" t="s">
        <v>851</v>
      </c>
      <c r="G5" s="1101"/>
      <c r="H5" s="1101"/>
      <c r="I5" s="1101"/>
      <c r="J5" s="1102"/>
      <c r="K5" s="261"/>
      <c r="L5" s="2146" t="s">
        <v>0</v>
      </c>
      <c r="M5" s="2147"/>
      <c r="N5" s="261"/>
      <c r="O5" s="261"/>
      <c r="P5" s="4"/>
      <c r="Q5" s="4"/>
      <c r="R5" s="4"/>
      <c r="S5" s="4"/>
      <c r="T5" s="4"/>
      <c r="U5" s="4"/>
      <c r="V5" s="4"/>
      <c r="W5" s="4"/>
      <c r="X5" s="4"/>
      <c r="Y5" s="4"/>
      <c r="Z5" s="4"/>
    </row>
    <row r="6" spans="1:26" x14ac:dyDescent="0.25">
      <c r="A6" s="4"/>
      <c r="B6" s="1103"/>
      <c r="C6" s="1104" t="s">
        <v>627</v>
      </c>
      <c r="D6" s="1104" t="s">
        <v>627</v>
      </c>
      <c r="E6" s="1105"/>
      <c r="F6" s="1104" t="s">
        <v>627</v>
      </c>
      <c r="G6" s="1104" t="s">
        <v>814</v>
      </c>
      <c r="H6" s="1104" t="s">
        <v>815</v>
      </c>
      <c r="I6" s="1026" t="s">
        <v>628</v>
      </c>
      <c r="J6" s="1027" t="s">
        <v>628</v>
      </c>
      <c r="K6" s="261"/>
      <c r="L6" s="120"/>
      <c r="M6" s="120"/>
      <c r="N6" s="42"/>
      <c r="O6" s="261"/>
      <c r="P6" s="4"/>
      <c r="Q6" s="4"/>
      <c r="R6" s="4"/>
      <c r="S6" s="4"/>
      <c r="T6" s="4"/>
      <c r="U6" s="4"/>
      <c r="V6" s="4"/>
      <c r="W6" s="4"/>
      <c r="X6" s="4"/>
      <c r="Y6" s="4"/>
      <c r="Z6" s="4"/>
    </row>
    <row r="7" spans="1:26" x14ac:dyDescent="0.25">
      <c r="A7" s="4"/>
      <c r="B7" s="663" t="s">
        <v>277</v>
      </c>
      <c r="C7" s="664" t="s">
        <v>630</v>
      </c>
      <c r="D7" s="664" t="s">
        <v>630</v>
      </c>
      <c r="E7" s="664" t="s">
        <v>852</v>
      </c>
      <c r="F7" s="664" t="s">
        <v>630</v>
      </c>
      <c r="G7" s="664" t="s">
        <v>818</v>
      </c>
      <c r="H7" s="664" t="s">
        <v>819</v>
      </c>
      <c r="I7" s="664" t="s">
        <v>820</v>
      </c>
      <c r="J7" s="666" t="s">
        <v>924</v>
      </c>
      <c r="K7" s="923"/>
      <c r="L7" s="124" t="s">
        <v>4</v>
      </c>
      <c r="M7" s="125">
        <f>'Summ GHG Rpt Expanded'!G4</f>
        <v>1</v>
      </c>
      <c r="N7" s="923"/>
      <c r="O7" s="261"/>
      <c r="P7" s="4"/>
      <c r="Q7" s="4"/>
      <c r="R7" s="4"/>
      <c r="S7" s="4"/>
      <c r="T7" s="4"/>
      <c r="U7" s="4"/>
      <c r="V7" s="4"/>
      <c r="W7" s="4"/>
      <c r="X7" s="4"/>
      <c r="Y7" s="4"/>
      <c r="Z7" s="4"/>
    </row>
    <row r="8" spans="1:26" x14ac:dyDescent="0.25">
      <c r="A8" s="4"/>
      <c r="B8" s="667" t="s">
        <v>925</v>
      </c>
      <c r="C8" s="668">
        <v>0</v>
      </c>
      <c r="D8" s="668">
        <v>0</v>
      </c>
      <c r="E8" s="1106">
        <v>0.1</v>
      </c>
      <c r="F8" s="1107">
        <f t="shared" ref="F8:F29" si="0">C8-(D8*E8)</f>
        <v>0</v>
      </c>
      <c r="G8" s="1108">
        <v>56.195454545454538</v>
      </c>
      <c r="H8" s="1109">
        <v>1</v>
      </c>
      <c r="I8" s="253">
        <f t="shared" ref="I8:I10" si="1">(F8*1000*G8*H8)/2000</f>
        <v>0</v>
      </c>
      <c r="J8" s="1047">
        <f t="shared" ref="J8:J29" si="2">I8*(44/12)*0.90718474/1000000</f>
        <v>0</v>
      </c>
      <c r="K8" s="938"/>
      <c r="L8" s="124" t="s">
        <v>5</v>
      </c>
      <c r="M8" s="125">
        <f>'Summ GHG Rpt Expanded'!G5</f>
        <v>28</v>
      </c>
      <c r="N8" s="947"/>
      <c r="O8" s="1110"/>
      <c r="P8" s="4"/>
      <c r="Q8" s="4"/>
      <c r="R8" s="4"/>
      <c r="S8" s="4"/>
      <c r="T8" s="4"/>
      <c r="U8" s="4"/>
      <c r="V8" s="4"/>
      <c r="W8" s="4"/>
      <c r="X8" s="4"/>
      <c r="Y8" s="4"/>
      <c r="Z8" s="4"/>
    </row>
    <row r="9" spans="1:26" x14ac:dyDescent="0.25">
      <c r="A9" s="4"/>
      <c r="B9" s="667" t="s">
        <v>926</v>
      </c>
      <c r="C9" s="1111">
        <v>21655</v>
      </c>
      <c r="D9" s="668">
        <v>227</v>
      </c>
      <c r="E9" s="1106">
        <v>0</v>
      </c>
      <c r="F9" s="1107">
        <f t="shared" si="0"/>
        <v>21655</v>
      </c>
      <c r="G9" s="1108">
        <v>56.852727272727272</v>
      </c>
      <c r="H9" s="1109">
        <v>1</v>
      </c>
      <c r="I9" s="253">
        <f t="shared" si="1"/>
        <v>615572.90454545454</v>
      </c>
      <c r="J9" s="1047">
        <f t="shared" si="2"/>
        <v>2.0476072663240812</v>
      </c>
      <c r="K9" s="938"/>
      <c r="L9" s="124" t="s">
        <v>6</v>
      </c>
      <c r="M9" s="125">
        <f>'Summ GHG Rpt Expanded'!G6</f>
        <v>265</v>
      </c>
      <c r="N9" s="947"/>
      <c r="O9" s="1110"/>
      <c r="P9" s="4"/>
      <c r="Q9" s="4"/>
      <c r="R9" s="4"/>
      <c r="S9" s="4"/>
      <c r="T9" s="4"/>
      <c r="U9" s="4"/>
      <c r="V9" s="4"/>
      <c r="W9" s="4"/>
      <c r="X9" s="4"/>
      <c r="Y9" s="4"/>
      <c r="Z9" s="4"/>
    </row>
    <row r="10" spans="1:26" x14ac:dyDescent="0.25">
      <c r="A10" s="4"/>
      <c r="B10" s="667" t="s">
        <v>927</v>
      </c>
      <c r="C10" s="1111">
        <v>19835</v>
      </c>
      <c r="D10" s="668">
        <v>22046</v>
      </c>
      <c r="E10" s="1106">
        <v>1</v>
      </c>
      <c r="F10" s="1107">
        <f t="shared" si="0"/>
        <v>-2211</v>
      </c>
      <c r="G10" s="1108">
        <v>45.27</v>
      </c>
      <c r="H10" s="1109">
        <v>1</v>
      </c>
      <c r="I10" s="253">
        <f t="shared" si="1"/>
        <v>-50045.985000000001</v>
      </c>
      <c r="J10" s="1047">
        <f t="shared" si="2"/>
        <v>-0.16647016426431932</v>
      </c>
      <c r="K10" s="938"/>
      <c r="L10" s="124" t="s">
        <v>7</v>
      </c>
      <c r="M10" s="129">
        <f>'Summ GHG Rpt Expanded'!G7</f>
        <v>23500</v>
      </c>
      <c r="N10" s="947"/>
      <c r="O10" s="1110"/>
      <c r="P10" s="4"/>
      <c r="Q10" s="4"/>
      <c r="R10" s="4"/>
      <c r="S10" s="4"/>
      <c r="T10" s="4"/>
      <c r="U10" s="4"/>
      <c r="V10" s="4"/>
      <c r="W10" s="4"/>
      <c r="X10" s="4"/>
      <c r="Y10" s="4"/>
      <c r="Z10" s="4"/>
    </row>
    <row r="11" spans="1:26" ht="45" customHeight="1" x14ac:dyDescent="0.25">
      <c r="A11" s="4"/>
      <c r="B11" s="1112" t="s">
        <v>928</v>
      </c>
      <c r="C11" s="668">
        <v>0</v>
      </c>
      <c r="D11" s="668">
        <v>0</v>
      </c>
      <c r="E11" s="1106">
        <v>0</v>
      </c>
      <c r="F11" s="1107">
        <f t="shared" si="0"/>
        <v>0</v>
      </c>
      <c r="G11" s="1108">
        <v>41.56</v>
      </c>
      <c r="H11" s="1109">
        <v>1</v>
      </c>
      <c r="I11" s="253">
        <f t="shared" ref="I11:I12" si="3">F11*G11*H11/2000</f>
        <v>0</v>
      </c>
      <c r="J11" s="1047">
        <f t="shared" si="2"/>
        <v>0</v>
      </c>
      <c r="K11" s="938"/>
      <c r="L11" s="124" t="s">
        <v>8</v>
      </c>
      <c r="M11" s="129">
        <f>'Summ GHG Rpt Expanded'!G8</f>
        <v>11100</v>
      </c>
      <c r="N11" s="947"/>
      <c r="O11" s="1110"/>
      <c r="P11" s="4"/>
      <c r="Q11" s="4"/>
      <c r="R11" s="4"/>
      <c r="S11" s="4"/>
      <c r="T11" s="4"/>
      <c r="U11" s="4"/>
      <c r="V11" s="4"/>
      <c r="W11" s="4"/>
      <c r="X11" s="4"/>
      <c r="Y11" s="4"/>
      <c r="Z11" s="4"/>
    </row>
    <row r="12" spans="1:26" x14ac:dyDescent="0.25">
      <c r="A12" s="4"/>
      <c r="B12" s="1112" t="s">
        <v>929</v>
      </c>
      <c r="C12" s="668">
        <v>0</v>
      </c>
      <c r="D12" s="668">
        <v>0</v>
      </c>
      <c r="E12" s="1106">
        <v>0</v>
      </c>
      <c r="F12" s="1107">
        <f t="shared" si="0"/>
        <v>0</v>
      </c>
      <c r="G12" s="1113">
        <v>44.77366188659483</v>
      </c>
      <c r="H12" s="1109">
        <v>1</v>
      </c>
      <c r="I12" s="253">
        <f t="shared" si="3"/>
        <v>0</v>
      </c>
      <c r="J12" s="1047">
        <f t="shared" si="2"/>
        <v>0</v>
      </c>
      <c r="K12" s="938"/>
      <c r="L12" s="4"/>
      <c r="M12" s="1110"/>
      <c r="N12" s="947"/>
      <c r="O12" s="1110"/>
      <c r="P12" s="4"/>
      <c r="Q12" s="4"/>
      <c r="R12" s="4"/>
      <c r="S12" s="4"/>
      <c r="T12" s="4"/>
      <c r="U12" s="4"/>
      <c r="V12" s="4"/>
      <c r="W12" s="4"/>
      <c r="X12" s="4"/>
      <c r="Y12" s="4"/>
      <c r="Z12" s="4"/>
    </row>
    <row r="13" spans="1:26" x14ac:dyDescent="0.25">
      <c r="A13" s="4"/>
      <c r="B13" s="667" t="s">
        <v>634</v>
      </c>
      <c r="C13" s="1111">
        <v>7382</v>
      </c>
      <c r="D13" s="668">
        <v>96</v>
      </c>
      <c r="E13" s="1106">
        <v>0.5</v>
      </c>
      <c r="F13" s="1107">
        <f t="shared" si="0"/>
        <v>7334</v>
      </c>
      <c r="G13" s="1108">
        <v>44.43</v>
      </c>
      <c r="H13" s="1109">
        <v>1</v>
      </c>
      <c r="I13" s="253">
        <f t="shared" ref="I13:I19" si="4">(F13*1000*G13*H13)/2000</f>
        <v>162924.81</v>
      </c>
      <c r="J13" s="1047">
        <f t="shared" si="2"/>
        <v>0.54194397179779785</v>
      </c>
      <c r="K13" s="938"/>
      <c r="L13" s="4"/>
      <c r="M13" s="1110"/>
      <c r="N13" s="947"/>
      <c r="O13" s="1110"/>
      <c r="P13" s="4"/>
      <c r="Q13" s="4"/>
      <c r="R13" s="4"/>
      <c r="S13" s="4"/>
      <c r="T13" s="4"/>
      <c r="U13" s="4"/>
      <c r="V13" s="4"/>
      <c r="W13" s="4"/>
      <c r="X13" s="4"/>
      <c r="Y13" s="4"/>
      <c r="Z13" s="4"/>
    </row>
    <row r="14" spans="1:26" ht="45" customHeight="1" x14ac:dyDescent="0.25">
      <c r="A14" s="4"/>
      <c r="B14" s="1112" t="s">
        <v>930</v>
      </c>
      <c r="C14" s="1114">
        <v>0</v>
      </c>
      <c r="D14" s="668"/>
      <c r="E14" s="1106">
        <v>0.61918625610433442</v>
      </c>
      <c r="F14" s="1107">
        <f t="shared" si="0"/>
        <v>0</v>
      </c>
      <c r="G14" s="1108">
        <v>40.86</v>
      </c>
      <c r="H14" s="1109">
        <v>1</v>
      </c>
      <c r="I14" s="253">
        <f t="shared" si="4"/>
        <v>0</v>
      </c>
      <c r="J14" s="1047">
        <f t="shared" si="2"/>
        <v>0</v>
      </c>
      <c r="K14" s="938"/>
      <c r="L14" s="4"/>
      <c r="M14" s="1110"/>
      <c r="N14" s="947"/>
      <c r="O14" s="1110"/>
      <c r="P14" s="4"/>
      <c r="Q14" s="4"/>
      <c r="R14" s="4"/>
      <c r="S14" s="4"/>
      <c r="T14" s="4"/>
      <c r="U14" s="4"/>
      <c r="V14" s="4"/>
      <c r="W14" s="4"/>
      <c r="X14" s="4"/>
      <c r="Y14" s="4"/>
      <c r="Z14" s="4"/>
    </row>
    <row r="15" spans="1:26" ht="45" customHeight="1" x14ac:dyDescent="0.25">
      <c r="A15" s="4"/>
      <c r="B15" s="1112" t="s">
        <v>931</v>
      </c>
      <c r="C15" s="1114">
        <v>0</v>
      </c>
      <c r="D15" s="668"/>
      <c r="E15" s="1106">
        <v>0.61918625610433442</v>
      </c>
      <c r="F15" s="1107">
        <f t="shared" si="0"/>
        <v>0</v>
      </c>
      <c r="G15" s="1108">
        <v>44.43</v>
      </c>
      <c r="H15" s="1109">
        <v>1</v>
      </c>
      <c r="I15" s="253">
        <f t="shared" si="4"/>
        <v>0</v>
      </c>
      <c r="J15" s="1047">
        <f t="shared" si="2"/>
        <v>0</v>
      </c>
      <c r="K15" s="938"/>
      <c r="L15" s="4"/>
      <c r="M15" s="1110"/>
      <c r="N15" s="947"/>
      <c r="O15" s="1110"/>
      <c r="P15" s="4"/>
      <c r="Q15" s="4"/>
      <c r="R15" s="4"/>
      <c r="S15" s="4"/>
      <c r="T15" s="4"/>
      <c r="U15" s="4"/>
      <c r="V15" s="4"/>
      <c r="W15" s="4"/>
      <c r="X15" s="4"/>
      <c r="Y15" s="4"/>
      <c r="Z15" s="4"/>
    </row>
    <row r="16" spans="1:26" x14ac:dyDescent="0.25">
      <c r="A16" s="4"/>
      <c r="B16" s="667" t="s">
        <v>883</v>
      </c>
      <c r="C16" s="1111">
        <v>7</v>
      </c>
      <c r="D16" s="668">
        <v>0</v>
      </c>
      <c r="E16" s="1106">
        <v>0</v>
      </c>
      <c r="F16" s="1107">
        <f t="shared" si="0"/>
        <v>7</v>
      </c>
      <c r="G16" s="1108">
        <v>43.97</v>
      </c>
      <c r="H16" s="1109">
        <v>1</v>
      </c>
      <c r="I16" s="253">
        <f t="shared" si="4"/>
        <v>153.89500000000001</v>
      </c>
      <c r="J16" s="1047">
        <f t="shared" si="2"/>
        <v>5.1190771706176666E-4</v>
      </c>
      <c r="K16" s="938"/>
      <c r="L16" s="4"/>
      <c r="M16" s="1110"/>
      <c r="N16" s="947"/>
      <c r="O16" s="1110"/>
      <c r="P16" s="4"/>
      <c r="Q16" s="4"/>
      <c r="R16" s="4"/>
      <c r="S16" s="4"/>
      <c r="T16" s="4"/>
      <c r="U16" s="4"/>
      <c r="V16" s="4"/>
      <c r="W16" s="4"/>
      <c r="X16" s="4"/>
      <c r="Y16" s="4"/>
      <c r="Z16" s="4"/>
    </row>
    <row r="17" spans="1:26" x14ac:dyDescent="0.25">
      <c r="A17" s="4"/>
      <c r="B17" s="667" t="s">
        <v>844</v>
      </c>
      <c r="C17" s="1111">
        <v>1582</v>
      </c>
      <c r="D17" s="668">
        <v>1385</v>
      </c>
      <c r="E17" s="1106">
        <v>0.61918625610433442</v>
      </c>
      <c r="F17" s="1107">
        <f t="shared" si="0"/>
        <v>724.42703529549681</v>
      </c>
      <c r="G17" s="1113">
        <v>37.273236373298225</v>
      </c>
      <c r="H17" s="1109">
        <v>1</v>
      </c>
      <c r="I17" s="253">
        <f t="shared" si="4"/>
        <v>13500.870060888354</v>
      </c>
      <c r="J17" s="1047">
        <f t="shared" si="2"/>
        <v>4.4908538751856214E-2</v>
      </c>
      <c r="K17" s="938"/>
      <c r="L17" s="4"/>
      <c r="M17" s="1110"/>
      <c r="N17" s="947"/>
      <c r="O17" s="1110"/>
      <c r="P17" s="4"/>
      <c r="Q17" s="4"/>
      <c r="R17" s="4"/>
      <c r="S17" s="4"/>
      <c r="T17" s="4"/>
      <c r="U17" s="4"/>
      <c r="V17" s="4"/>
      <c r="W17" s="4"/>
      <c r="X17" s="4"/>
      <c r="Y17" s="4"/>
      <c r="Z17" s="4"/>
    </row>
    <row r="18" spans="1:26" x14ac:dyDescent="0.25">
      <c r="A18" s="4"/>
      <c r="B18" s="667" t="s">
        <v>854</v>
      </c>
      <c r="C18" s="1111">
        <v>1957</v>
      </c>
      <c r="D18" s="668">
        <v>2063</v>
      </c>
      <c r="E18" s="1106">
        <v>9.2393732597307904E-2</v>
      </c>
      <c r="F18" s="1107">
        <f t="shared" si="0"/>
        <v>1766.3917296517538</v>
      </c>
      <c r="G18" s="1108">
        <v>43.97</v>
      </c>
      <c r="H18" s="1109">
        <v>1</v>
      </c>
      <c r="I18" s="253">
        <f t="shared" si="4"/>
        <v>38834.122176393808</v>
      </c>
      <c r="J18" s="1047">
        <f t="shared" si="2"/>
        <v>0.12917565110897353</v>
      </c>
      <c r="K18" s="938"/>
      <c r="L18" s="4"/>
      <c r="M18" s="1110"/>
      <c r="N18" s="947"/>
      <c r="O18" s="1110"/>
      <c r="P18" s="4"/>
      <c r="Q18" s="4"/>
      <c r="R18" s="4"/>
      <c r="S18" s="4"/>
      <c r="T18" s="4"/>
      <c r="U18" s="4"/>
      <c r="V18" s="4"/>
      <c r="W18" s="4"/>
      <c r="X18" s="4"/>
      <c r="Y18" s="4"/>
      <c r="Z18" s="4"/>
    </row>
    <row r="19" spans="1:26" x14ac:dyDescent="0.25">
      <c r="A19" s="4"/>
      <c r="B19" s="667" t="s">
        <v>758</v>
      </c>
      <c r="C19" s="1111">
        <v>4129</v>
      </c>
      <c r="D19" s="668">
        <v>0</v>
      </c>
      <c r="E19" s="1106">
        <v>0</v>
      </c>
      <c r="F19" s="1107">
        <f t="shared" si="0"/>
        <v>4129</v>
      </c>
      <c r="G19" s="1113">
        <v>42.900741155457617</v>
      </c>
      <c r="H19" s="1109">
        <v>1</v>
      </c>
      <c r="I19" s="253">
        <f t="shared" si="4"/>
        <v>88568.580115442252</v>
      </c>
      <c r="J19" s="1047">
        <f t="shared" si="2"/>
        <v>0.294609569188721</v>
      </c>
      <c r="K19" s="938"/>
      <c r="L19" s="4"/>
      <c r="M19" s="1110"/>
      <c r="N19" s="947"/>
      <c r="O19" s="1110"/>
      <c r="P19" s="4"/>
      <c r="Q19" s="4"/>
      <c r="R19" s="4"/>
      <c r="S19" s="4"/>
      <c r="T19" s="4"/>
      <c r="U19" s="4"/>
      <c r="V19" s="4"/>
      <c r="W19" s="4"/>
      <c r="X19" s="4"/>
      <c r="Y19" s="4"/>
      <c r="Z19" s="4"/>
    </row>
    <row r="20" spans="1:26" ht="45" customHeight="1" x14ac:dyDescent="0.25">
      <c r="A20" s="4"/>
      <c r="B20" s="1112" t="s">
        <v>932</v>
      </c>
      <c r="C20" s="668">
        <v>0</v>
      </c>
      <c r="D20" s="668">
        <v>0</v>
      </c>
      <c r="E20" s="1106">
        <v>0</v>
      </c>
      <c r="F20" s="1107">
        <f t="shared" si="0"/>
        <v>0</v>
      </c>
      <c r="G20" s="1113">
        <v>42.900741155457617</v>
      </c>
      <c r="H20" s="1109">
        <v>1</v>
      </c>
      <c r="I20" s="253">
        <f>F20*G20*H20/2000</f>
        <v>0</v>
      </c>
      <c r="J20" s="1047">
        <f t="shared" si="2"/>
        <v>0</v>
      </c>
      <c r="K20" s="938"/>
      <c r="L20" s="4"/>
      <c r="M20" s="1110"/>
      <c r="N20" s="947"/>
      <c r="O20" s="1110"/>
      <c r="P20" s="4"/>
      <c r="Q20" s="4"/>
      <c r="R20" s="4"/>
      <c r="S20" s="4"/>
      <c r="T20" s="4"/>
      <c r="U20" s="4"/>
      <c r="V20" s="4"/>
      <c r="W20" s="4"/>
      <c r="X20" s="4"/>
      <c r="Y20" s="4"/>
      <c r="Z20" s="4"/>
    </row>
    <row r="21" spans="1:26" ht="15.75" customHeight="1" x14ac:dyDescent="0.25">
      <c r="A21" s="4"/>
      <c r="B21" s="667" t="s">
        <v>933</v>
      </c>
      <c r="C21" s="1111">
        <v>501</v>
      </c>
      <c r="D21" s="668">
        <v>483</v>
      </c>
      <c r="E21" s="1106">
        <v>0</v>
      </c>
      <c r="F21" s="1107">
        <f t="shared" si="0"/>
        <v>501</v>
      </c>
      <c r="G21" s="1113">
        <v>44.77366188659483</v>
      </c>
      <c r="H21" s="1109">
        <v>1</v>
      </c>
      <c r="I21" s="253">
        <f>(F21*1000*G21*H21)/2000</f>
        <v>11215.802302592005</v>
      </c>
      <c r="J21" s="1047">
        <f t="shared" si="2"/>
        <v>3.7307617217817203E-2</v>
      </c>
      <c r="K21" s="938"/>
      <c r="L21" s="4"/>
      <c r="M21" s="1110"/>
      <c r="N21" s="947"/>
      <c r="O21" s="1110"/>
      <c r="P21" s="4"/>
      <c r="Q21" s="4"/>
      <c r="R21" s="4"/>
      <c r="S21" s="4"/>
      <c r="T21" s="4"/>
      <c r="U21" s="4"/>
      <c r="V21" s="4"/>
      <c r="W21" s="4"/>
      <c r="X21" s="4"/>
      <c r="Y21" s="4"/>
      <c r="Z21" s="4"/>
    </row>
    <row r="22" spans="1:26" ht="15.75" customHeight="1" x14ac:dyDescent="0.25">
      <c r="A22" s="4"/>
      <c r="B22" s="667" t="s">
        <v>934</v>
      </c>
      <c r="C22" s="668">
        <v>0</v>
      </c>
      <c r="D22" s="668">
        <v>0</v>
      </c>
      <c r="E22" s="1106">
        <v>0.3</v>
      </c>
      <c r="F22" s="1107">
        <f t="shared" si="0"/>
        <v>0</v>
      </c>
      <c r="G22" s="1108">
        <v>61.34</v>
      </c>
      <c r="H22" s="1109">
        <v>1</v>
      </c>
      <c r="I22" s="253">
        <f>F22*G22*H22/2000</f>
        <v>0</v>
      </c>
      <c r="J22" s="1047">
        <f t="shared" si="2"/>
        <v>0</v>
      </c>
      <c r="K22" s="938"/>
      <c r="L22" s="4"/>
      <c r="M22" s="1110"/>
      <c r="N22" s="947"/>
      <c r="O22" s="1110"/>
      <c r="P22" s="4"/>
      <c r="Q22" s="4"/>
      <c r="R22" s="4"/>
      <c r="S22" s="4"/>
      <c r="T22" s="4"/>
      <c r="U22" s="4"/>
      <c r="V22" s="4"/>
      <c r="W22" s="4"/>
      <c r="X22" s="4"/>
      <c r="Y22" s="4"/>
      <c r="Z22" s="4"/>
    </row>
    <row r="23" spans="1:26" ht="15.75" customHeight="1" x14ac:dyDescent="0.25">
      <c r="A23" s="4"/>
      <c r="B23" s="667" t="s">
        <v>935</v>
      </c>
      <c r="C23" s="668"/>
      <c r="D23" s="668"/>
      <c r="E23" s="1106">
        <v>0.61918625610433442</v>
      </c>
      <c r="F23" s="1107">
        <f t="shared" si="0"/>
        <v>0</v>
      </c>
      <c r="G23" s="1108">
        <v>42.06</v>
      </c>
      <c r="H23" s="1109">
        <v>1</v>
      </c>
      <c r="I23" s="253">
        <f t="shared" ref="I23:I24" si="5">(F23*1000*G23*H23)/2000</f>
        <v>0</v>
      </c>
      <c r="J23" s="1047">
        <f t="shared" si="2"/>
        <v>0</v>
      </c>
      <c r="K23" s="938"/>
      <c r="L23" s="4"/>
      <c r="M23" s="1110"/>
      <c r="N23" s="947"/>
      <c r="O23" s="1110"/>
      <c r="P23" s="4"/>
      <c r="Q23" s="4"/>
      <c r="R23" s="4"/>
      <c r="S23" s="4"/>
      <c r="T23" s="4"/>
      <c r="U23" s="4"/>
      <c r="V23" s="4"/>
      <c r="W23" s="4"/>
      <c r="X23" s="4"/>
      <c r="Y23" s="4"/>
      <c r="Z23" s="4"/>
    </row>
    <row r="24" spans="1:26" ht="15.75" customHeight="1" x14ac:dyDescent="0.25">
      <c r="A24" s="4"/>
      <c r="B24" s="667" t="s">
        <v>635</v>
      </c>
      <c r="C24" s="1111">
        <v>1590</v>
      </c>
      <c r="D24" s="668">
        <v>0</v>
      </c>
      <c r="E24" s="1106">
        <v>0.5</v>
      </c>
      <c r="F24" s="1107">
        <f t="shared" si="0"/>
        <v>1590</v>
      </c>
      <c r="G24" s="1108">
        <v>45.11</v>
      </c>
      <c r="H24" s="1109">
        <v>1</v>
      </c>
      <c r="I24" s="253">
        <f t="shared" si="5"/>
        <v>35862.449999999997</v>
      </c>
      <c r="J24" s="1047">
        <f t="shared" si="2"/>
        <v>0.119290847056381</v>
      </c>
      <c r="K24" s="938"/>
      <c r="L24" s="4"/>
      <c r="M24" s="1110"/>
      <c r="N24" s="947"/>
      <c r="O24" s="1110"/>
      <c r="P24" s="4"/>
      <c r="Q24" s="4"/>
      <c r="R24" s="4"/>
      <c r="S24" s="4"/>
      <c r="T24" s="4"/>
      <c r="U24" s="4"/>
      <c r="V24" s="4"/>
      <c r="W24" s="4"/>
      <c r="X24" s="4"/>
      <c r="Y24" s="4"/>
      <c r="Z24" s="4"/>
    </row>
    <row r="25" spans="1:26" ht="15.75" customHeight="1" x14ac:dyDescent="0.25">
      <c r="A25" s="4"/>
      <c r="B25" s="667" t="s">
        <v>936</v>
      </c>
      <c r="C25" s="668">
        <v>0</v>
      </c>
      <c r="D25" s="668">
        <v>0</v>
      </c>
      <c r="E25" s="1106">
        <v>0.8</v>
      </c>
      <c r="F25" s="1107">
        <f t="shared" si="0"/>
        <v>0</v>
      </c>
      <c r="G25" s="1108">
        <v>40.08</v>
      </c>
      <c r="H25" s="1109">
        <v>1</v>
      </c>
      <c r="I25" s="253">
        <f>F25*G25*H25/2000</f>
        <v>0</v>
      </c>
      <c r="J25" s="1047">
        <f t="shared" si="2"/>
        <v>0</v>
      </c>
      <c r="K25" s="938"/>
      <c r="L25" s="4"/>
      <c r="M25" s="1110"/>
      <c r="N25" s="947"/>
      <c r="O25" s="1110"/>
      <c r="P25" s="4"/>
      <c r="Q25" s="4"/>
      <c r="R25" s="4"/>
      <c r="S25" s="4"/>
      <c r="T25" s="4"/>
      <c r="U25" s="4"/>
      <c r="V25" s="4"/>
      <c r="W25" s="4"/>
      <c r="X25" s="4"/>
      <c r="Y25" s="4"/>
      <c r="Z25" s="4"/>
    </row>
    <row r="26" spans="1:26" ht="15.75" customHeight="1" x14ac:dyDescent="0.25">
      <c r="A26" s="4"/>
      <c r="B26" s="667" t="s">
        <v>937</v>
      </c>
      <c r="C26" s="1111">
        <v>535</v>
      </c>
      <c r="D26" s="668">
        <v>596</v>
      </c>
      <c r="E26" s="1106">
        <v>0</v>
      </c>
      <c r="F26" s="1107">
        <f t="shared" si="0"/>
        <v>535</v>
      </c>
      <c r="G26" s="1108">
        <v>43.47</v>
      </c>
      <c r="H26" s="1109">
        <v>1</v>
      </c>
      <c r="I26" s="253">
        <f>(F26*1000*G26*H26)/2000</f>
        <v>11628.225</v>
      </c>
      <c r="J26" s="1047">
        <f t="shared" si="2"/>
        <v>3.8679477002050502E-2</v>
      </c>
      <c r="K26" s="938"/>
      <c r="L26" s="4"/>
      <c r="M26" s="1110"/>
      <c r="N26" s="947"/>
      <c r="O26" s="1110"/>
      <c r="P26" s="4"/>
      <c r="Q26" s="4"/>
      <c r="R26" s="4"/>
      <c r="S26" s="4"/>
      <c r="T26" s="4"/>
      <c r="U26" s="4"/>
      <c r="V26" s="4"/>
      <c r="W26" s="4"/>
      <c r="X26" s="4"/>
      <c r="Y26" s="4"/>
      <c r="Z26" s="4"/>
    </row>
    <row r="27" spans="1:26" ht="15.75" customHeight="1" x14ac:dyDescent="0.25">
      <c r="A27" s="4"/>
      <c r="B27" s="667" t="s">
        <v>938</v>
      </c>
      <c r="C27" s="668">
        <v>0</v>
      </c>
      <c r="D27" s="668">
        <v>0</v>
      </c>
      <c r="E27" s="1106">
        <v>0</v>
      </c>
      <c r="F27" s="1107">
        <f t="shared" si="0"/>
        <v>0</v>
      </c>
      <c r="G27" s="1113">
        <v>44.77366188659483</v>
      </c>
      <c r="H27" s="1109">
        <v>1</v>
      </c>
      <c r="I27" s="253">
        <f>F27*G27*H27/2000</f>
        <v>0</v>
      </c>
      <c r="J27" s="1047">
        <f t="shared" si="2"/>
        <v>0</v>
      </c>
      <c r="K27" s="938"/>
      <c r="L27" s="4"/>
      <c r="M27" s="1110"/>
      <c r="N27" s="947"/>
      <c r="O27" s="1110"/>
      <c r="P27" s="4"/>
      <c r="Q27" s="4"/>
      <c r="R27" s="4"/>
      <c r="S27" s="4"/>
      <c r="T27" s="4"/>
      <c r="U27" s="4"/>
      <c r="V27" s="4"/>
      <c r="W27" s="4"/>
      <c r="X27" s="4"/>
      <c r="Y27" s="4"/>
      <c r="Z27" s="4"/>
    </row>
    <row r="28" spans="1:26" ht="15.75" customHeight="1" x14ac:dyDescent="0.25">
      <c r="A28" s="4"/>
      <c r="B28" s="667" t="s">
        <v>939</v>
      </c>
      <c r="C28" s="1111">
        <v>106</v>
      </c>
      <c r="D28" s="668">
        <v>120</v>
      </c>
      <c r="E28" s="1106">
        <v>0.57999999999999996</v>
      </c>
      <c r="F28" s="1107">
        <f t="shared" si="0"/>
        <v>36.400000000000006</v>
      </c>
      <c r="G28" s="1108">
        <v>43.6</v>
      </c>
      <c r="H28" s="1109">
        <v>1</v>
      </c>
      <c r="I28" s="253">
        <f t="shared" ref="I28:I29" si="6">(F28*1000*G28*H28)/2000</f>
        <v>793.52000000000021</v>
      </c>
      <c r="J28" s="1047">
        <f t="shared" si="2"/>
        <v>2.639520527910934E-3</v>
      </c>
      <c r="K28" s="938"/>
      <c r="L28" s="4"/>
      <c r="M28" s="1110"/>
      <c r="N28" s="947"/>
      <c r="O28" s="1110"/>
      <c r="P28" s="4"/>
      <c r="Q28" s="4"/>
      <c r="R28" s="4"/>
      <c r="S28" s="4"/>
      <c r="T28" s="4"/>
      <c r="U28" s="4"/>
      <c r="V28" s="4"/>
      <c r="W28" s="4"/>
      <c r="X28" s="4"/>
      <c r="Y28" s="4"/>
      <c r="Z28" s="4"/>
    </row>
    <row r="29" spans="1:26" ht="15.75" customHeight="1" x14ac:dyDescent="0.25">
      <c r="A29" s="4"/>
      <c r="B29" s="667" t="s">
        <v>221</v>
      </c>
      <c r="C29" s="1111">
        <v>21808</v>
      </c>
      <c r="D29" s="668">
        <v>688</v>
      </c>
      <c r="E29" s="1106">
        <v>0.61918625610433442</v>
      </c>
      <c r="F29" s="1107">
        <f t="shared" si="0"/>
        <v>21381.999855800219</v>
      </c>
      <c r="G29" s="1108">
        <v>31.87</v>
      </c>
      <c r="H29" s="1109">
        <v>1</v>
      </c>
      <c r="I29" s="855">
        <f t="shared" si="6"/>
        <v>340722.16770217649</v>
      </c>
      <c r="J29" s="1115">
        <f t="shared" si="2"/>
        <v>1.1333591541034964</v>
      </c>
      <c r="K29" s="938"/>
      <c r="L29" s="4"/>
      <c r="M29" s="1110"/>
      <c r="N29" s="947"/>
      <c r="O29" s="1110"/>
      <c r="P29" s="4"/>
      <c r="Q29" s="4"/>
      <c r="R29" s="4"/>
      <c r="S29" s="4"/>
      <c r="T29" s="4"/>
      <c r="U29" s="4"/>
      <c r="V29" s="4"/>
      <c r="W29" s="4"/>
      <c r="X29" s="4"/>
      <c r="Y29" s="4"/>
      <c r="Z29" s="4"/>
    </row>
    <row r="30" spans="1:26" ht="15.75" customHeight="1" x14ac:dyDescent="0.25">
      <c r="A30" s="4"/>
      <c r="B30" s="667"/>
      <c r="C30" s="1116"/>
      <c r="D30" s="1116"/>
      <c r="E30" s="1116"/>
      <c r="F30" s="1116"/>
      <c r="G30" s="1116"/>
      <c r="H30" s="1117" t="s">
        <v>222</v>
      </c>
      <c r="I30" s="65">
        <f t="shared" ref="I30:J30" si="7">SUM(I8:I29)</f>
        <v>1269731.3619029475</v>
      </c>
      <c r="J30" s="1118">
        <f t="shared" si="7"/>
        <v>4.2235633565318285</v>
      </c>
      <c r="K30" s="261"/>
      <c r="L30" s="261"/>
      <c r="M30" s="261"/>
      <c r="N30" s="261"/>
      <c r="O30" s="261"/>
      <c r="P30" s="4"/>
      <c r="Q30" s="4"/>
      <c r="R30" s="4"/>
      <c r="S30" s="4"/>
      <c r="T30" s="4"/>
      <c r="U30" s="4"/>
      <c r="V30" s="4"/>
      <c r="W30" s="4"/>
      <c r="X30" s="4"/>
      <c r="Y30" s="4"/>
      <c r="Z30" s="4"/>
    </row>
    <row r="31" spans="1:26" ht="15.75" customHeight="1" x14ac:dyDescent="0.25">
      <c r="A31" s="4"/>
      <c r="B31" s="1119"/>
      <c r="C31" s="1120"/>
      <c r="D31" s="1120"/>
      <c r="E31" s="1120"/>
      <c r="F31" s="1120"/>
      <c r="G31" s="1120"/>
      <c r="H31" s="1120"/>
      <c r="I31" s="141"/>
      <c r="J31" s="142"/>
      <c r="K31" s="4"/>
      <c r="L31" s="4"/>
      <c r="M31" s="4"/>
      <c r="N31" s="4"/>
      <c r="O31" s="4"/>
      <c r="P31" s="4"/>
      <c r="Q31" s="4"/>
      <c r="R31" s="4"/>
      <c r="S31" s="4"/>
      <c r="T31" s="4"/>
      <c r="U31" s="4"/>
      <c r="V31" s="4"/>
      <c r="W31" s="4"/>
      <c r="X31" s="4"/>
      <c r="Y31" s="4"/>
      <c r="Z31" s="4"/>
    </row>
    <row r="32" spans="1:26"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21" customHeight="1" x14ac:dyDescent="0.4">
      <c r="A34" s="4"/>
      <c r="B34" s="1023" t="s">
        <v>940</v>
      </c>
      <c r="C34" s="1033"/>
      <c r="D34" s="1033">
        <v>2011</v>
      </c>
      <c r="E34" s="261"/>
      <c r="F34" s="261"/>
      <c r="G34" s="261"/>
      <c r="H34" s="261"/>
      <c r="I34" s="261"/>
      <c r="J34" s="261"/>
      <c r="K34" s="261"/>
      <c r="L34" s="261"/>
      <c r="M34" s="261"/>
      <c r="N34" s="4"/>
      <c r="O34" s="4"/>
      <c r="P34" s="4"/>
      <c r="Q34" s="4"/>
      <c r="R34" s="4"/>
      <c r="S34" s="4"/>
      <c r="T34" s="4"/>
      <c r="U34" s="4"/>
      <c r="V34" s="4"/>
      <c r="W34" s="4"/>
      <c r="X34" s="4"/>
      <c r="Y34" s="4"/>
      <c r="Z34" s="4"/>
    </row>
    <row r="35" spans="1:26" ht="15.75" customHeight="1" x14ac:dyDescent="0.25">
      <c r="A35" s="4"/>
      <c r="B35" s="1024"/>
      <c r="C35" s="660" t="s">
        <v>188</v>
      </c>
      <c r="D35" s="660" t="s">
        <v>850</v>
      </c>
      <c r="E35" s="1101"/>
      <c r="F35" s="1101"/>
      <c r="G35" s="1101"/>
      <c r="H35" s="1102"/>
      <c r="I35" s="261"/>
      <c r="J35" s="261"/>
      <c r="K35" s="261"/>
      <c r="L35" s="261"/>
      <c r="M35" s="261"/>
      <c r="N35" s="4"/>
      <c r="O35" s="4"/>
      <c r="P35" s="4"/>
      <c r="Q35" s="4"/>
      <c r="R35" s="4"/>
      <c r="S35" s="4"/>
      <c r="T35" s="4"/>
      <c r="U35" s="4"/>
      <c r="V35" s="4"/>
      <c r="W35" s="4"/>
      <c r="X35" s="4"/>
      <c r="Y35" s="4"/>
      <c r="Z35" s="4"/>
    </row>
    <row r="36" spans="1:26" ht="15.75" customHeight="1" x14ac:dyDescent="0.25">
      <c r="A36" s="4"/>
      <c r="B36" s="277"/>
      <c r="C36" s="1104" t="s">
        <v>627</v>
      </c>
      <c r="D36" s="1104" t="s">
        <v>627</v>
      </c>
      <c r="E36" s="1026" t="s">
        <v>814</v>
      </c>
      <c r="F36" s="1026" t="s">
        <v>184</v>
      </c>
      <c r="G36" s="1104" t="s">
        <v>629</v>
      </c>
      <c r="H36" s="1027" t="s">
        <v>628</v>
      </c>
      <c r="I36" s="261"/>
      <c r="J36" s="42"/>
      <c r="K36" s="261"/>
      <c r="L36" s="42"/>
      <c r="M36" s="261"/>
      <c r="N36" s="4"/>
      <c r="O36" s="4"/>
      <c r="P36" s="4"/>
      <c r="Q36" s="4"/>
      <c r="R36" s="4"/>
      <c r="S36" s="4"/>
      <c r="T36" s="4"/>
      <c r="U36" s="4"/>
      <c r="V36" s="4"/>
      <c r="W36" s="4"/>
      <c r="X36" s="4"/>
      <c r="Y36" s="4"/>
      <c r="Z36" s="4"/>
    </row>
    <row r="37" spans="1:26" ht="15.75" customHeight="1" x14ac:dyDescent="0.25">
      <c r="A37" s="4"/>
      <c r="B37" s="1121" t="s">
        <v>277</v>
      </c>
      <c r="C37" s="664" t="s">
        <v>630</v>
      </c>
      <c r="D37" s="664" t="s">
        <v>630</v>
      </c>
      <c r="E37" s="665" t="s">
        <v>941</v>
      </c>
      <c r="F37" s="665" t="s">
        <v>942</v>
      </c>
      <c r="G37" s="664"/>
      <c r="H37" s="666" t="s">
        <v>943</v>
      </c>
      <c r="I37" s="261"/>
      <c r="J37" s="923"/>
      <c r="K37" s="261"/>
      <c r="L37" s="42"/>
      <c r="M37" s="261"/>
      <c r="N37" s="4"/>
      <c r="O37" s="4"/>
      <c r="P37" s="4"/>
      <c r="Q37" s="4"/>
      <c r="R37" s="4"/>
      <c r="S37" s="4"/>
      <c r="T37" s="4"/>
      <c r="U37" s="4"/>
      <c r="V37" s="4"/>
      <c r="W37" s="4"/>
      <c r="X37" s="4"/>
      <c r="Y37" s="4"/>
      <c r="Z37" s="4"/>
    </row>
    <row r="38" spans="1:26" ht="15.75" customHeight="1" x14ac:dyDescent="0.25">
      <c r="A38" s="4"/>
      <c r="B38" s="667" t="s">
        <v>925</v>
      </c>
      <c r="C38" s="668">
        <v>0</v>
      </c>
      <c r="D38" s="668">
        <v>0</v>
      </c>
      <c r="E38" s="1122">
        <v>1.5034545899835E-3</v>
      </c>
      <c r="F38" s="1123">
        <f t="shared" ref="F38:F59" si="8">(C38-D38)*E38</f>
        <v>0</v>
      </c>
      <c r="G38" s="668">
        <f t="shared" ref="G38:G60" si="9">$M$9</f>
        <v>265</v>
      </c>
      <c r="H38" s="1047">
        <f t="shared" ref="H38:H60" si="10">F38*G38/1000000</f>
        <v>0</v>
      </c>
      <c r="I38" s="1110"/>
      <c r="J38" s="947"/>
      <c r="K38" s="1110"/>
      <c r="L38" s="947"/>
      <c r="M38" s="261"/>
      <c r="N38" s="4"/>
      <c r="O38" s="4"/>
      <c r="P38" s="4"/>
      <c r="Q38" s="4"/>
      <c r="R38" s="4"/>
      <c r="S38" s="4"/>
      <c r="T38" s="4"/>
      <c r="U38" s="4"/>
      <c r="V38" s="4"/>
      <c r="W38" s="4"/>
      <c r="X38" s="4"/>
      <c r="Y38" s="4"/>
      <c r="Z38" s="4"/>
    </row>
    <row r="39" spans="1:26" ht="15.75" customHeight="1" x14ac:dyDescent="0.25">
      <c r="A39" s="4"/>
      <c r="B39" s="667" t="s">
        <v>926</v>
      </c>
      <c r="C39" s="1111">
        <v>21655</v>
      </c>
      <c r="D39" s="668">
        <v>227</v>
      </c>
      <c r="E39" s="1122">
        <v>1.5034545899835E-3</v>
      </c>
      <c r="F39" s="1123">
        <f t="shared" si="8"/>
        <v>32.216024954166436</v>
      </c>
      <c r="G39" s="668">
        <f t="shared" si="9"/>
        <v>265</v>
      </c>
      <c r="H39" s="1047">
        <f t="shared" si="10"/>
        <v>8.5372466128541061E-3</v>
      </c>
      <c r="I39" s="1110"/>
      <c r="J39" s="947"/>
      <c r="K39" s="1110"/>
      <c r="L39" s="947"/>
      <c r="M39" s="261"/>
      <c r="N39" s="4"/>
      <c r="O39" s="4"/>
      <c r="P39" s="4"/>
      <c r="Q39" s="4"/>
      <c r="R39" s="4"/>
      <c r="S39" s="4"/>
      <c r="T39" s="4"/>
      <c r="U39" s="4"/>
      <c r="V39" s="4"/>
      <c r="W39" s="4"/>
      <c r="X39" s="4"/>
      <c r="Y39" s="4"/>
      <c r="Z39" s="4"/>
    </row>
    <row r="40" spans="1:26" ht="15.75" customHeight="1" x14ac:dyDescent="0.25">
      <c r="A40" s="4"/>
      <c r="B40" s="667" t="s">
        <v>927</v>
      </c>
      <c r="C40" s="1111">
        <v>19835</v>
      </c>
      <c r="D40" s="668">
        <v>22046</v>
      </c>
      <c r="E40" s="1122">
        <v>6.0138183599339984E-4</v>
      </c>
      <c r="F40" s="1123">
        <f t="shared" si="8"/>
        <v>-1.329655239381407</v>
      </c>
      <c r="G40" s="668">
        <f t="shared" si="9"/>
        <v>265</v>
      </c>
      <c r="H40" s="1047">
        <f t="shared" si="10"/>
        <v>-3.5235863843607288E-4</v>
      </c>
      <c r="I40" s="1110"/>
      <c r="J40" s="947"/>
      <c r="K40" s="1110"/>
      <c r="L40" s="947"/>
      <c r="M40" s="261"/>
      <c r="N40" s="4"/>
      <c r="O40" s="4"/>
      <c r="P40" s="4"/>
      <c r="Q40" s="4"/>
      <c r="R40" s="4"/>
      <c r="S40" s="4"/>
      <c r="T40" s="4"/>
      <c r="U40" s="4"/>
      <c r="V40" s="4"/>
      <c r="W40" s="4"/>
      <c r="X40" s="4"/>
      <c r="Y40" s="4"/>
      <c r="Z40" s="4"/>
    </row>
    <row r="41" spans="1:26" ht="45" customHeight="1" x14ac:dyDescent="0.25">
      <c r="A41" s="4"/>
      <c r="B41" s="1112" t="s">
        <v>928</v>
      </c>
      <c r="C41" s="668">
        <v>0</v>
      </c>
      <c r="D41" s="668">
        <v>0</v>
      </c>
      <c r="E41" s="1122">
        <v>6.0138183599339984E-4</v>
      </c>
      <c r="F41" s="1123">
        <f t="shared" si="8"/>
        <v>0</v>
      </c>
      <c r="G41" s="668">
        <f t="shared" si="9"/>
        <v>265</v>
      </c>
      <c r="H41" s="1047">
        <f t="shared" si="10"/>
        <v>0</v>
      </c>
      <c r="I41" s="1110"/>
      <c r="J41" s="947"/>
      <c r="K41" s="1110"/>
      <c r="L41" s="947"/>
      <c r="M41" s="261"/>
      <c r="N41" s="4"/>
      <c r="O41" s="4"/>
      <c r="P41" s="4"/>
      <c r="Q41" s="4"/>
      <c r="R41" s="4"/>
      <c r="S41" s="4"/>
      <c r="T41" s="4"/>
      <c r="U41" s="4"/>
      <c r="V41" s="4"/>
      <c r="W41" s="4"/>
      <c r="X41" s="4"/>
      <c r="Y41" s="4"/>
      <c r="Z41" s="4"/>
    </row>
    <row r="42" spans="1:26" ht="15.75" customHeight="1" x14ac:dyDescent="0.25">
      <c r="A42" s="4"/>
      <c r="B42" s="1112" t="s">
        <v>929</v>
      </c>
      <c r="C42" s="668">
        <v>0</v>
      </c>
      <c r="D42" s="668">
        <v>0</v>
      </c>
      <c r="E42" s="1122">
        <v>6.0138183599339984E-4</v>
      </c>
      <c r="F42" s="1123">
        <f t="shared" si="8"/>
        <v>0</v>
      </c>
      <c r="G42" s="668">
        <f t="shared" si="9"/>
        <v>265</v>
      </c>
      <c r="H42" s="1047">
        <f t="shared" si="10"/>
        <v>0</v>
      </c>
      <c r="I42" s="1110"/>
      <c r="J42" s="947"/>
      <c r="K42" s="1110"/>
      <c r="L42" s="947"/>
      <c r="M42" s="261"/>
      <c r="N42" s="4"/>
      <c r="O42" s="4"/>
      <c r="P42" s="4"/>
      <c r="Q42" s="4"/>
      <c r="R42" s="4"/>
      <c r="S42" s="4"/>
      <c r="T42" s="4"/>
      <c r="U42" s="4"/>
      <c r="V42" s="4"/>
      <c r="W42" s="4"/>
      <c r="X42" s="4"/>
      <c r="Y42" s="4"/>
      <c r="Z42" s="4"/>
    </row>
    <row r="43" spans="1:26" ht="15.75" customHeight="1" x14ac:dyDescent="0.25">
      <c r="A43" s="4"/>
      <c r="B43" s="667" t="s">
        <v>634</v>
      </c>
      <c r="C43" s="1111">
        <v>7382</v>
      </c>
      <c r="D43" s="668">
        <v>96</v>
      </c>
      <c r="E43" s="1122">
        <v>6.0138183599339984E-4</v>
      </c>
      <c r="F43" s="1123">
        <f t="shared" si="8"/>
        <v>4.3816680570479116</v>
      </c>
      <c r="G43" s="668">
        <f t="shared" si="9"/>
        <v>265</v>
      </c>
      <c r="H43" s="1047">
        <f t="shared" si="10"/>
        <v>1.1611420351176967E-3</v>
      </c>
      <c r="I43" s="1110"/>
      <c r="J43" s="947"/>
      <c r="K43" s="1110"/>
      <c r="L43" s="947"/>
      <c r="M43" s="261"/>
      <c r="N43" s="4"/>
      <c r="O43" s="4"/>
      <c r="P43" s="4"/>
      <c r="Q43" s="4"/>
      <c r="R43" s="4"/>
      <c r="S43" s="4"/>
      <c r="T43" s="4"/>
      <c r="U43" s="4"/>
      <c r="V43" s="4"/>
      <c r="W43" s="4"/>
      <c r="X43" s="4"/>
      <c r="Y43" s="4"/>
      <c r="Z43" s="4"/>
    </row>
    <row r="44" spans="1:26" ht="45" customHeight="1" x14ac:dyDescent="0.25">
      <c r="A44" s="4"/>
      <c r="B44" s="1112" t="s">
        <v>930</v>
      </c>
      <c r="C44" s="1114">
        <v>0</v>
      </c>
      <c r="D44" s="668"/>
      <c r="E44" s="1122">
        <v>6.0138183599339984E-4</v>
      </c>
      <c r="F44" s="1123">
        <f t="shared" si="8"/>
        <v>0</v>
      </c>
      <c r="G44" s="668">
        <f t="shared" si="9"/>
        <v>265</v>
      </c>
      <c r="H44" s="1047">
        <f t="shared" si="10"/>
        <v>0</v>
      </c>
      <c r="I44" s="1110"/>
      <c r="J44" s="947"/>
      <c r="K44" s="1110"/>
      <c r="L44" s="947"/>
      <c r="M44" s="261"/>
      <c r="N44" s="4"/>
      <c r="O44" s="4"/>
      <c r="P44" s="4"/>
      <c r="Q44" s="4"/>
      <c r="R44" s="4"/>
      <c r="S44" s="4"/>
      <c r="T44" s="4"/>
      <c r="U44" s="4"/>
      <c r="V44" s="4"/>
      <c r="W44" s="4"/>
      <c r="X44" s="4"/>
      <c r="Y44" s="4"/>
      <c r="Z44" s="4"/>
    </row>
    <row r="45" spans="1:26" ht="45" customHeight="1" x14ac:dyDescent="0.25">
      <c r="A45" s="4"/>
      <c r="B45" s="1112" t="s">
        <v>931</v>
      </c>
      <c r="C45" s="1114">
        <v>0</v>
      </c>
      <c r="D45" s="668"/>
      <c r="E45" s="1122">
        <v>6.0138183599339984E-4</v>
      </c>
      <c r="F45" s="1123">
        <f t="shared" si="8"/>
        <v>0</v>
      </c>
      <c r="G45" s="668">
        <f t="shared" si="9"/>
        <v>265</v>
      </c>
      <c r="H45" s="1047">
        <f t="shared" si="10"/>
        <v>0</v>
      </c>
      <c r="I45" s="1110"/>
      <c r="J45" s="947"/>
      <c r="K45" s="1110"/>
      <c r="L45" s="947"/>
      <c r="M45" s="261"/>
      <c r="N45" s="4"/>
      <c r="O45" s="4"/>
      <c r="P45" s="4"/>
      <c r="Q45" s="4"/>
      <c r="R45" s="4"/>
      <c r="S45" s="4"/>
      <c r="T45" s="4"/>
      <c r="U45" s="4"/>
      <c r="V45" s="4"/>
      <c r="W45" s="4"/>
      <c r="X45" s="4"/>
      <c r="Y45" s="4"/>
      <c r="Z45" s="4"/>
    </row>
    <row r="46" spans="1:26" ht="15.75" customHeight="1" x14ac:dyDescent="0.25">
      <c r="A46" s="4"/>
      <c r="B46" s="667" t="s">
        <v>883</v>
      </c>
      <c r="C46" s="1111">
        <v>7</v>
      </c>
      <c r="D46" s="668">
        <v>0</v>
      </c>
      <c r="E46" s="1122">
        <v>6.0138183599339984E-4</v>
      </c>
      <c r="F46" s="1123">
        <f t="shared" si="8"/>
        <v>4.2096728519537985E-3</v>
      </c>
      <c r="G46" s="668">
        <f t="shared" si="9"/>
        <v>265</v>
      </c>
      <c r="H46" s="1047">
        <f t="shared" si="10"/>
        <v>1.1155633057677565E-6</v>
      </c>
      <c r="I46" s="1110"/>
      <c r="J46" s="947"/>
      <c r="K46" s="1110"/>
      <c r="L46" s="947"/>
      <c r="M46" s="261"/>
      <c r="N46" s="4"/>
      <c r="O46" s="4"/>
      <c r="P46" s="4"/>
      <c r="Q46" s="4"/>
      <c r="R46" s="4"/>
      <c r="S46" s="4"/>
      <c r="T46" s="4"/>
      <c r="U46" s="4"/>
      <c r="V46" s="4"/>
      <c r="W46" s="4"/>
      <c r="X46" s="4"/>
      <c r="Y46" s="4"/>
      <c r="Z46" s="4"/>
    </row>
    <row r="47" spans="1:26" ht="15.75" customHeight="1" x14ac:dyDescent="0.25">
      <c r="A47" s="4"/>
      <c r="B47" s="667" t="s">
        <v>844</v>
      </c>
      <c r="C47" s="1111">
        <v>1582</v>
      </c>
      <c r="D47" s="668">
        <v>1385</v>
      </c>
      <c r="E47" s="1122">
        <v>6.0138183599339984E-4</v>
      </c>
      <c r="F47" s="1123">
        <f t="shared" si="8"/>
        <v>0.11847222169069976</v>
      </c>
      <c r="G47" s="668">
        <f t="shared" si="9"/>
        <v>265</v>
      </c>
      <c r="H47" s="1047">
        <f t="shared" si="10"/>
        <v>3.1395138748035441E-5</v>
      </c>
      <c r="I47" s="1110"/>
      <c r="J47" s="947"/>
      <c r="K47" s="1110"/>
      <c r="L47" s="947"/>
      <c r="M47" s="261"/>
      <c r="N47" s="4"/>
      <c r="O47" s="4"/>
      <c r="P47" s="4"/>
      <c r="Q47" s="4"/>
      <c r="R47" s="4"/>
      <c r="S47" s="4"/>
      <c r="T47" s="4"/>
      <c r="U47" s="4"/>
      <c r="V47" s="4"/>
      <c r="W47" s="4"/>
      <c r="X47" s="4"/>
      <c r="Y47" s="4"/>
      <c r="Z47" s="4"/>
    </row>
    <row r="48" spans="1:26" ht="15.75" customHeight="1" x14ac:dyDescent="0.25">
      <c r="A48" s="4"/>
      <c r="B48" s="667" t="s">
        <v>854</v>
      </c>
      <c r="C48" s="1111">
        <v>1957</v>
      </c>
      <c r="D48" s="668">
        <v>2063</v>
      </c>
      <c r="E48" s="1122">
        <v>6.0138183599339984E-4</v>
      </c>
      <c r="F48" s="1123">
        <f t="shared" si="8"/>
        <v>-6.3746474615300378E-2</v>
      </c>
      <c r="G48" s="668">
        <f t="shared" si="9"/>
        <v>265</v>
      </c>
      <c r="H48" s="1047">
        <f t="shared" si="10"/>
        <v>-1.68928157730546E-5</v>
      </c>
      <c r="I48" s="1110"/>
      <c r="J48" s="947"/>
      <c r="K48" s="1110"/>
      <c r="L48" s="947"/>
      <c r="M48" s="261"/>
      <c r="N48" s="4"/>
      <c r="O48" s="4"/>
      <c r="P48" s="4"/>
      <c r="Q48" s="4"/>
      <c r="R48" s="4"/>
      <c r="S48" s="4"/>
      <c r="T48" s="4"/>
      <c r="U48" s="4"/>
      <c r="V48" s="4"/>
      <c r="W48" s="4"/>
      <c r="X48" s="4"/>
      <c r="Y48" s="4"/>
      <c r="Z48" s="4"/>
    </row>
    <row r="49" spans="1:26" ht="15.75" customHeight="1" x14ac:dyDescent="0.25">
      <c r="A49" s="4"/>
      <c r="B49" s="667" t="s">
        <v>758</v>
      </c>
      <c r="C49" s="1111">
        <v>4129</v>
      </c>
      <c r="D49" s="668">
        <v>0</v>
      </c>
      <c r="E49" s="1122">
        <v>6.0138183599339984E-4</v>
      </c>
      <c r="F49" s="1123">
        <f t="shared" si="8"/>
        <v>2.483105600816748</v>
      </c>
      <c r="G49" s="668">
        <f t="shared" si="9"/>
        <v>265</v>
      </c>
      <c r="H49" s="1047">
        <f t="shared" si="10"/>
        <v>6.5802298421643824E-4</v>
      </c>
      <c r="I49" s="1110"/>
      <c r="J49" s="947"/>
      <c r="K49" s="1110"/>
      <c r="L49" s="947"/>
      <c r="M49" s="261"/>
      <c r="N49" s="4"/>
      <c r="O49" s="4"/>
      <c r="P49" s="4"/>
      <c r="Q49" s="4"/>
      <c r="R49" s="4"/>
      <c r="S49" s="4"/>
      <c r="T49" s="4"/>
      <c r="U49" s="4"/>
      <c r="V49" s="4"/>
      <c r="W49" s="4"/>
      <c r="X49" s="4"/>
      <c r="Y49" s="4"/>
      <c r="Z49" s="4"/>
    </row>
    <row r="50" spans="1:26" ht="45" customHeight="1" x14ac:dyDescent="0.25">
      <c r="A50" s="4"/>
      <c r="B50" s="1112" t="s">
        <v>932</v>
      </c>
      <c r="C50" s="668">
        <v>0</v>
      </c>
      <c r="D50" s="668">
        <v>0</v>
      </c>
      <c r="E50" s="1122">
        <v>6.0138183599339984E-4</v>
      </c>
      <c r="F50" s="1123">
        <f t="shared" si="8"/>
        <v>0</v>
      </c>
      <c r="G50" s="668">
        <f t="shared" si="9"/>
        <v>265</v>
      </c>
      <c r="H50" s="1047">
        <f t="shared" si="10"/>
        <v>0</v>
      </c>
      <c r="I50" s="1110"/>
      <c r="J50" s="947"/>
      <c r="K50" s="1110"/>
      <c r="L50" s="947"/>
      <c r="M50" s="261"/>
      <c r="N50" s="4"/>
      <c r="O50" s="4"/>
      <c r="P50" s="4"/>
      <c r="Q50" s="4"/>
      <c r="R50" s="4"/>
      <c r="S50" s="4"/>
      <c r="T50" s="4"/>
      <c r="U50" s="4"/>
      <c r="V50" s="4"/>
      <c r="W50" s="4"/>
      <c r="X50" s="4"/>
      <c r="Y50" s="4"/>
      <c r="Z50" s="4"/>
    </row>
    <row r="51" spans="1:26" ht="15.75" customHeight="1" x14ac:dyDescent="0.25">
      <c r="A51" s="4"/>
      <c r="B51" s="667" t="s">
        <v>933</v>
      </c>
      <c r="C51" s="1111">
        <v>501</v>
      </c>
      <c r="D51" s="668">
        <v>483</v>
      </c>
      <c r="E51" s="1122">
        <v>6.0138183599339984E-4</v>
      </c>
      <c r="F51" s="1123">
        <f t="shared" si="8"/>
        <v>1.0824873047881198E-2</v>
      </c>
      <c r="G51" s="668">
        <f t="shared" si="9"/>
        <v>265</v>
      </c>
      <c r="H51" s="1047">
        <f t="shared" si="10"/>
        <v>2.8685913576885173E-6</v>
      </c>
      <c r="I51" s="1110"/>
      <c r="J51" s="947"/>
      <c r="K51" s="1110"/>
      <c r="L51" s="947"/>
      <c r="M51" s="261"/>
      <c r="N51" s="4"/>
      <c r="O51" s="4"/>
      <c r="P51" s="4"/>
      <c r="Q51" s="4"/>
      <c r="R51" s="4"/>
      <c r="S51" s="4"/>
      <c r="T51" s="4"/>
      <c r="U51" s="4"/>
      <c r="V51" s="4"/>
      <c r="W51" s="4"/>
      <c r="X51" s="4"/>
      <c r="Y51" s="4"/>
      <c r="Z51" s="4"/>
    </row>
    <row r="52" spans="1:26" ht="15.75" customHeight="1" x14ac:dyDescent="0.25">
      <c r="A52" s="4"/>
      <c r="B52" s="667" t="s">
        <v>934</v>
      </c>
      <c r="C52" s="668">
        <v>0</v>
      </c>
      <c r="D52" s="668">
        <v>0</v>
      </c>
      <c r="E52" s="1122">
        <v>6.0138183599339984E-4</v>
      </c>
      <c r="F52" s="1123">
        <f t="shared" si="8"/>
        <v>0</v>
      </c>
      <c r="G52" s="668">
        <f t="shared" si="9"/>
        <v>265</v>
      </c>
      <c r="H52" s="1047">
        <f t="shared" si="10"/>
        <v>0</v>
      </c>
      <c r="I52" s="1110"/>
      <c r="J52" s="947"/>
      <c r="K52" s="1110"/>
      <c r="L52" s="947"/>
      <c r="M52" s="261"/>
      <c r="N52" s="4"/>
      <c r="O52" s="4"/>
      <c r="P52" s="4"/>
      <c r="Q52" s="4"/>
      <c r="R52" s="4"/>
      <c r="S52" s="4"/>
      <c r="T52" s="4"/>
      <c r="U52" s="4"/>
      <c r="V52" s="4"/>
      <c r="W52" s="4"/>
      <c r="X52" s="4"/>
      <c r="Y52" s="4"/>
      <c r="Z52" s="4"/>
    </row>
    <row r="53" spans="1:26" ht="15.75" customHeight="1" x14ac:dyDescent="0.25">
      <c r="A53" s="4"/>
      <c r="B53" s="667" t="s">
        <v>935</v>
      </c>
      <c r="C53" s="668"/>
      <c r="D53" s="668"/>
      <c r="E53" s="1122">
        <v>6.0138183599339984E-4</v>
      </c>
      <c r="F53" s="1123">
        <f t="shared" si="8"/>
        <v>0</v>
      </c>
      <c r="G53" s="668">
        <f t="shared" si="9"/>
        <v>265</v>
      </c>
      <c r="H53" s="1047">
        <f t="shared" si="10"/>
        <v>0</v>
      </c>
      <c r="I53" s="1110"/>
      <c r="J53" s="947"/>
      <c r="K53" s="1110"/>
      <c r="L53" s="947"/>
      <c r="M53" s="261"/>
      <c r="N53" s="4"/>
      <c r="O53" s="4"/>
      <c r="P53" s="4"/>
      <c r="Q53" s="4"/>
      <c r="R53" s="4"/>
      <c r="S53" s="4"/>
      <c r="T53" s="4"/>
      <c r="U53" s="4"/>
      <c r="V53" s="4"/>
      <c r="W53" s="4"/>
      <c r="X53" s="4"/>
      <c r="Y53" s="4"/>
      <c r="Z53" s="4"/>
    </row>
    <row r="54" spans="1:26" ht="15.75" customHeight="1" x14ac:dyDescent="0.25">
      <c r="A54" s="4"/>
      <c r="B54" s="667" t="s">
        <v>635</v>
      </c>
      <c r="C54" s="1111">
        <v>1590</v>
      </c>
      <c r="D54" s="668">
        <v>0</v>
      </c>
      <c r="E54" s="1122">
        <v>6.0138183599339984E-4</v>
      </c>
      <c r="F54" s="1123">
        <f t="shared" si="8"/>
        <v>0.95619711922950579</v>
      </c>
      <c r="G54" s="668">
        <f t="shared" si="9"/>
        <v>265</v>
      </c>
      <c r="H54" s="1047">
        <f t="shared" si="10"/>
        <v>2.5339223659581902E-4</v>
      </c>
      <c r="I54" s="1110"/>
      <c r="J54" s="947"/>
      <c r="K54" s="1110"/>
      <c r="L54" s="947"/>
      <c r="M54" s="261"/>
      <c r="N54" s="4"/>
      <c r="O54" s="4"/>
      <c r="P54" s="4"/>
      <c r="Q54" s="4"/>
      <c r="R54" s="4"/>
      <c r="S54" s="4"/>
      <c r="T54" s="4"/>
      <c r="U54" s="4"/>
      <c r="V54" s="4"/>
      <c r="W54" s="4"/>
      <c r="X54" s="4"/>
      <c r="Y54" s="4"/>
      <c r="Z54" s="4"/>
    </row>
    <row r="55" spans="1:26" ht="15.75" customHeight="1" x14ac:dyDescent="0.25">
      <c r="A55" s="4"/>
      <c r="B55" s="667" t="s">
        <v>936</v>
      </c>
      <c r="C55" s="668">
        <v>0</v>
      </c>
      <c r="D55" s="668">
        <v>0</v>
      </c>
      <c r="E55" s="1122">
        <v>6.0138183599339984E-4</v>
      </c>
      <c r="F55" s="1123">
        <f t="shared" si="8"/>
        <v>0</v>
      </c>
      <c r="G55" s="668">
        <f t="shared" si="9"/>
        <v>265</v>
      </c>
      <c r="H55" s="1047">
        <f t="shared" si="10"/>
        <v>0</v>
      </c>
      <c r="I55" s="1110"/>
      <c r="J55" s="947"/>
      <c r="K55" s="1110"/>
      <c r="L55" s="947"/>
      <c r="M55" s="261"/>
      <c r="N55" s="4"/>
      <c r="O55" s="4"/>
      <c r="P55" s="4"/>
      <c r="Q55" s="4"/>
      <c r="R55" s="4"/>
      <c r="S55" s="4"/>
      <c r="T55" s="4"/>
      <c r="U55" s="4"/>
      <c r="V55" s="4"/>
      <c r="W55" s="4"/>
      <c r="X55" s="4"/>
      <c r="Y55" s="4"/>
      <c r="Z55" s="4"/>
    </row>
    <row r="56" spans="1:26" ht="15.75" customHeight="1" x14ac:dyDescent="0.25">
      <c r="A56" s="4"/>
      <c r="B56" s="667" t="s">
        <v>937</v>
      </c>
      <c r="C56" s="1111">
        <v>535</v>
      </c>
      <c r="D56" s="668">
        <v>596</v>
      </c>
      <c r="E56" s="1122">
        <v>6.0138183599339984E-4</v>
      </c>
      <c r="F56" s="1123">
        <f t="shared" si="8"/>
        <v>-3.668429199559739E-2</v>
      </c>
      <c r="G56" s="668">
        <f t="shared" si="9"/>
        <v>265</v>
      </c>
      <c r="H56" s="1047">
        <f t="shared" si="10"/>
        <v>-9.7213373788333079E-6</v>
      </c>
      <c r="I56" s="1110"/>
      <c r="J56" s="947"/>
      <c r="K56" s="1110"/>
      <c r="L56" s="947"/>
      <c r="M56" s="261"/>
      <c r="N56" s="4"/>
      <c r="O56" s="4"/>
      <c r="P56" s="4"/>
      <c r="Q56" s="4"/>
      <c r="R56" s="4"/>
      <c r="S56" s="4"/>
      <c r="T56" s="4"/>
      <c r="U56" s="4"/>
      <c r="V56" s="4"/>
      <c r="W56" s="4"/>
      <c r="X56" s="4"/>
      <c r="Y56" s="4"/>
      <c r="Z56" s="4"/>
    </row>
    <row r="57" spans="1:26" ht="15.75" customHeight="1" x14ac:dyDescent="0.25">
      <c r="A57" s="4"/>
      <c r="B57" s="667" t="s">
        <v>938</v>
      </c>
      <c r="C57" s="668">
        <v>0</v>
      </c>
      <c r="D57" s="668">
        <v>0</v>
      </c>
      <c r="E57" s="1122">
        <v>6.0138183599339984E-4</v>
      </c>
      <c r="F57" s="1123">
        <f t="shared" si="8"/>
        <v>0</v>
      </c>
      <c r="G57" s="668">
        <f t="shared" si="9"/>
        <v>265</v>
      </c>
      <c r="H57" s="1047">
        <f t="shared" si="10"/>
        <v>0</v>
      </c>
      <c r="I57" s="1110"/>
      <c r="J57" s="947"/>
      <c r="K57" s="1110"/>
      <c r="L57" s="947"/>
      <c r="M57" s="261"/>
      <c r="N57" s="4"/>
      <c r="O57" s="4"/>
      <c r="P57" s="4"/>
      <c r="Q57" s="4"/>
      <c r="R57" s="4"/>
      <c r="S57" s="4"/>
      <c r="T57" s="4"/>
      <c r="U57" s="4"/>
      <c r="V57" s="4"/>
      <c r="W57" s="4"/>
      <c r="X57" s="4"/>
      <c r="Y57" s="4"/>
      <c r="Z57" s="4"/>
    </row>
    <row r="58" spans="1:26" ht="15.75" customHeight="1" x14ac:dyDescent="0.25">
      <c r="A58" s="4"/>
      <c r="B58" s="667" t="s">
        <v>939</v>
      </c>
      <c r="C58" s="1111">
        <v>106</v>
      </c>
      <c r="D58" s="668">
        <v>120</v>
      </c>
      <c r="E58" s="1122">
        <v>6.0138183599339984E-4</v>
      </c>
      <c r="F58" s="1123">
        <f t="shared" si="8"/>
        <v>-8.4193457039075971E-3</v>
      </c>
      <c r="G58" s="668">
        <f t="shared" si="9"/>
        <v>265</v>
      </c>
      <c r="H58" s="1047">
        <f t="shared" si="10"/>
        <v>-2.2311266115355131E-6</v>
      </c>
      <c r="I58" s="1110"/>
      <c r="J58" s="947"/>
      <c r="K58" s="1110"/>
      <c r="L58" s="947"/>
      <c r="M58" s="261"/>
      <c r="N58" s="4"/>
      <c r="O58" s="4"/>
      <c r="P58" s="4"/>
      <c r="Q58" s="4"/>
      <c r="R58" s="4"/>
      <c r="S58" s="4"/>
      <c r="T58" s="4"/>
      <c r="U58" s="4"/>
      <c r="V58" s="4"/>
      <c r="W58" s="4"/>
      <c r="X58" s="4"/>
      <c r="Y58" s="4"/>
      <c r="Z58" s="4"/>
    </row>
    <row r="59" spans="1:26" ht="15.75" customHeight="1" x14ac:dyDescent="0.25">
      <c r="A59" s="4"/>
      <c r="B59" s="667" t="s">
        <v>221</v>
      </c>
      <c r="C59" s="1111">
        <v>21808</v>
      </c>
      <c r="D59" s="668">
        <v>688</v>
      </c>
      <c r="E59" s="1122">
        <v>9.4955026735800017E-5</v>
      </c>
      <c r="F59" s="1123">
        <f t="shared" si="8"/>
        <v>2.0054501646600964</v>
      </c>
      <c r="G59" s="668">
        <f t="shared" si="9"/>
        <v>265</v>
      </c>
      <c r="H59" s="1047">
        <f t="shared" si="10"/>
        <v>5.3144429363492557E-4</v>
      </c>
      <c r="I59" s="1110"/>
      <c r="J59" s="947"/>
      <c r="K59" s="1110"/>
      <c r="L59" s="947"/>
      <c r="M59" s="261"/>
      <c r="N59" s="4"/>
      <c r="O59" s="4"/>
      <c r="P59" s="4"/>
      <c r="Q59" s="4"/>
      <c r="R59" s="4"/>
      <c r="S59" s="4"/>
      <c r="T59" s="4"/>
      <c r="U59" s="4"/>
      <c r="V59" s="4"/>
      <c r="W59" s="4"/>
      <c r="X59" s="4"/>
      <c r="Y59" s="4"/>
      <c r="Z59" s="4"/>
    </row>
    <row r="60" spans="1:26" ht="15.75" customHeight="1" x14ac:dyDescent="0.25">
      <c r="A60" s="4"/>
      <c r="B60" s="231" t="s">
        <v>739</v>
      </c>
      <c r="C60" s="668">
        <v>9240</v>
      </c>
      <c r="D60" s="1107" t="s">
        <v>944</v>
      </c>
      <c r="E60" s="1122">
        <v>3.7982010694320003E-3</v>
      </c>
      <c r="F60" s="1123">
        <f>C60*E60</f>
        <v>35.095377881551684</v>
      </c>
      <c r="G60" s="668">
        <f t="shared" si="9"/>
        <v>265</v>
      </c>
      <c r="H60" s="1047">
        <f t="shared" si="10"/>
        <v>9.3002751386111956E-3</v>
      </c>
      <c r="I60" s="1110"/>
      <c r="J60" s="947"/>
      <c r="K60" s="1110"/>
      <c r="L60" s="947"/>
      <c r="M60" s="261"/>
      <c r="N60" s="4"/>
      <c r="O60" s="4"/>
      <c r="P60" s="4"/>
      <c r="Q60" s="4"/>
      <c r="R60" s="4"/>
      <c r="S60" s="4"/>
      <c r="T60" s="4"/>
      <c r="U60" s="4"/>
      <c r="V60" s="4"/>
      <c r="W60" s="4"/>
      <c r="X60" s="4"/>
      <c r="Y60" s="4"/>
      <c r="Z60" s="4"/>
    </row>
    <row r="61" spans="1:26" ht="15.75" customHeight="1" x14ac:dyDescent="0.25">
      <c r="A61" s="4"/>
      <c r="B61" s="231"/>
      <c r="C61" s="1116"/>
      <c r="D61" s="1116"/>
      <c r="E61" s="1116"/>
      <c r="F61" s="1116"/>
      <c r="G61" s="1124" t="s">
        <v>222</v>
      </c>
      <c r="H61" s="1125">
        <f>SUM(H38:H60)</f>
        <v>2.0095698676242175E-2</v>
      </c>
      <c r="I61" s="1030"/>
      <c r="J61" s="1045"/>
      <c r="K61" s="1030"/>
      <c r="L61" s="1045"/>
      <c r="M61" s="261"/>
      <c r="N61" s="4"/>
      <c r="O61" s="4"/>
      <c r="P61" s="4"/>
      <c r="Q61" s="4"/>
      <c r="R61" s="4"/>
      <c r="S61" s="4"/>
      <c r="T61" s="4"/>
      <c r="U61" s="4"/>
      <c r="V61" s="4"/>
      <c r="W61" s="4"/>
      <c r="X61" s="4"/>
      <c r="Y61" s="4"/>
      <c r="Z61" s="4"/>
    </row>
    <row r="62" spans="1:26" ht="15.75" customHeight="1" x14ac:dyDescent="0.25">
      <c r="A62" s="4"/>
      <c r="B62" s="1119"/>
      <c r="C62" s="1120"/>
      <c r="D62" s="1120"/>
      <c r="E62" s="1120"/>
      <c r="F62" s="1120"/>
      <c r="G62" s="1120"/>
      <c r="H62" s="1126"/>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21" customHeight="1" x14ac:dyDescent="0.4">
      <c r="A65" s="4"/>
      <c r="B65" s="1033" t="s">
        <v>945</v>
      </c>
      <c r="C65" s="1033"/>
      <c r="D65" s="1033">
        <v>2011</v>
      </c>
      <c r="E65" s="261"/>
      <c r="F65" s="261"/>
      <c r="G65" s="261"/>
      <c r="H65" s="261"/>
      <c r="I65" s="261"/>
      <c r="J65" s="261"/>
      <c r="K65" s="261"/>
      <c r="L65" s="261"/>
      <c r="M65" s="261"/>
      <c r="N65" s="4"/>
      <c r="O65" s="4"/>
      <c r="P65" s="4"/>
      <c r="Q65" s="4"/>
      <c r="R65" s="4"/>
      <c r="S65" s="4"/>
      <c r="T65" s="4"/>
      <c r="U65" s="4"/>
      <c r="V65" s="4"/>
      <c r="W65" s="4"/>
      <c r="X65" s="4"/>
      <c r="Y65" s="4"/>
      <c r="Z65" s="4"/>
    </row>
    <row r="66" spans="1:26" ht="15.75" customHeight="1" x14ac:dyDescent="0.25">
      <c r="A66" s="4"/>
      <c r="B66" s="1127"/>
      <c r="C66" s="677" t="s">
        <v>188</v>
      </c>
      <c r="D66" s="677" t="s">
        <v>850</v>
      </c>
      <c r="E66" s="1128"/>
      <c r="F66" s="1128"/>
      <c r="G66" s="1128"/>
      <c r="H66" s="1129"/>
      <c r="I66" s="261"/>
      <c r="J66" s="261"/>
      <c r="K66" s="261"/>
      <c r="L66" s="261"/>
      <c r="M66" s="261"/>
      <c r="N66" s="4"/>
      <c r="O66" s="4"/>
      <c r="P66" s="4"/>
      <c r="Q66" s="4"/>
      <c r="R66" s="4"/>
      <c r="S66" s="4"/>
      <c r="T66" s="4"/>
      <c r="U66" s="4"/>
      <c r="V66" s="4"/>
      <c r="W66" s="4"/>
      <c r="X66" s="4"/>
      <c r="Y66" s="4"/>
      <c r="Z66" s="4"/>
    </row>
    <row r="67" spans="1:26" ht="15.75" customHeight="1" x14ac:dyDescent="0.25">
      <c r="A67" s="4"/>
      <c r="B67" s="1130"/>
      <c r="C67" s="923" t="s">
        <v>627</v>
      </c>
      <c r="D67" s="923" t="s">
        <v>627</v>
      </c>
      <c r="E67" s="42" t="s">
        <v>814</v>
      </c>
      <c r="F67" s="42" t="s">
        <v>628</v>
      </c>
      <c r="G67" s="923" t="s">
        <v>629</v>
      </c>
      <c r="H67" s="1034" t="s">
        <v>628</v>
      </c>
      <c r="I67" s="261"/>
      <c r="J67" s="42"/>
      <c r="K67" s="261"/>
      <c r="L67" s="42"/>
      <c r="M67" s="261"/>
      <c r="N67" s="4"/>
      <c r="O67" s="4"/>
      <c r="P67" s="4"/>
      <c r="Q67" s="4"/>
      <c r="R67" s="4"/>
      <c r="S67" s="4"/>
      <c r="T67" s="4"/>
      <c r="U67" s="4"/>
      <c r="V67" s="4"/>
      <c r="W67" s="4"/>
      <c r="X67" s="4"/>
      <c r="Y67" s="4"/>
      <c r="Z67" s="4"/>
    </row>
    <row r="68" spans="1:26" ht="15.75" customHeight="1" x14ac:dyDescent="0.25">
      <c r="A68" s="4"/>
      <c r="B68" s="1131" t="s">
        <v>277</v>
      </c>
      <c r="C68" s="1132" t="s">
        <v>630</v>
      </c>
      <c r="D68" s="1132" t="s">
        <v>630</v>
      </c>
      <c r="E68" s="1133" t="s">
        <v>889</v>
      </c>
      <c r="F68" s="1133" t="s">
        <v>946</v>
      </c>
      <c r="G68" s="1132"/>
      <c r="H68" s="1134" t="s">
        <v>891</v>
      </c>
      <c r="I68" s="261"/>
      <c r="J68" s="923"/>
      <c r="K68" s="261"/>
      <c r="L68" s="42"/>
      <c r="M68" s="261"/>
      <c r="N68" s="4"/>
      <c r="O68" s="4"/>
      <c r="P68" s="4"/>
      <c r="Q68" s="4"/>
      <c r="R68" s="4"/>
      <c r="S68" s="4"/>
      <c r="T68" s="4"/>
      <c r="U68" s="4"/>
      <c r="V68" s="4"/>
      <c r="W68" s="4"/>
      <c r="X68" s="4"/>
      <c r="Y68" s="4"/>
      <c r="Z68" s="4"/>
    </row>
    <row r="69" spans="1:26" ht="15.75" customHeight="1" x14ac:dyDescent="0.25">
      <c r="A69" s="4"/>
      <c r="B69" s="1135" t="s">
        <v>925</v>
      </c>
      <c r="C69" s="668">
        <v>0</v>
      </c>
      <c r="D69" s="1136">
        <v>0</v>
      </c>
      <c r="E69" s="1137">
        <v>1.0023030599889999E-2</v>
      </c>
      <c r="F69" s="1138">
        <f t="shared" ref="F69:F90" si="11">(C69-D69)*E69</f>
        <v>0</v>
      </c>
      <c r="G69" s="700">
        <f t="shared" ref="G69:G91" si="12">$M$8</f>
        <v>28</v>
      </c>
      <c r="H69" s="1139">
        <f t="shared" ref="H69:H91" si="13">F69*G69/1000000</f>
        <v>0</v>
      </c>
      <c r="I69" s="1110"/>
      <c r="J69" s="947"/>
      <c r="K69" s="1110"/>
      <c r="L69" s="947"/>
      <c r="M69" s="261"/>
      <c r="N69" s="4"/>
      <c r="O69" s="4"/>
      <c r="P69" s="4"/>
      <c r="Q69" s="4"/>
      <c r="R69" s="4"/>
      <c r="S69" s="4"/>
      <c r="T69" s="4"/>
      <c r="U69" s="4"/>
      <c r="V69" s="4"/>
      <c r="W69" s="4"/>
      <c r="X69" s="4"/>
      <c r="Y69" s="4"/>
      <c r="Z69" s="4"/>
    </row>
    <row r="70" spans="1:26" ht="15.75" customHeight="1" x14ac:dyDescent="0.25">
      <c r="A70" s="4"/>
      <c r="B70" s="1140" t="s">
        <v>926</v>
      </c>
      <c r="C70" s="1111">
        <v>21655</v>
      </c>
      <c r="D70" s="1141">
        <v>227</v>
      </c>
      <c r="E70" s="1122">
        <v>1.0023030599889999E-2</v>
      </c>
      <c r="F70" s="1142">
        <f t="shared" si="11"/>
        <v>214.7734996944429</v>
      </c>
      <c r="G70" s="668">
        <f t="shared" si="12"/>
        <v>28</v>
      </c>
      <c r="H70" s="1143">
        <f t="shared" si="13"/>
        <v>6.0136579914444009E-3</v>
      </c>
      <c r="I70" s="1110"/>
      <c r="J70" s="947"/>
      <c r="K70" s="1110"/>
      <c r="L70" s="947"/>
      <c r="M70" s="261"/>
      <c r="N70" s="4"/>
      <c r="O70" s="4"/>
      <c r="P70" s="4"/>
      <c r="Q70" s="4"/>
      <c r="R70" s="4"/>
      <c r="S70" s="4"/>
      <c r="T70" s="4"/>
      <c r="U70" s="4"/>
      <c r="V70" s="4"/>
      <c r="W70" s="4"/>
      <c r="X70" s="4"/>
      <c r="Y70" s="4"/>
      <c r="Z70" s="4"/>
    </row>
    <row r="71" spans="1:26" ht="15.75" customHeight="1" x14ac:dyDescent="0.25">
      <c r="A71" s="4"/>
      <c r="B71" s="1140" t="s">
        <v>927</v>
      </c>
      <c r="C71" s="1111">
        <v>19835</v>
      </c>
      <c r="D71" s="1141">
        <v>22046</v>
      </c>
      <c r="E71" s="1122">
        <v>3.006909179967E-3</v>
      </c>
      <c r="F71" s="1142">
        <f t="shared" si="11"/>
        <v>-6.6482761969070365</v>
      </c>
      <c r="G71" s="668">
        <f t="shared" si="12"/>
        <v>28</v>
      </c>
      <c r="H71" s="1143">
        <f t="shared" si="13"/>
        <v>-1.8615173351339704E-4</v>
      </c>
      <c r="I71" s="1110"/>
      <c r="J71" s="947"/>
      <c r="K71" s="1110"/>
      <c r="L71" s="947"/>
      <c r="M71" s="261"/>
      <c r="N71" s="4"/>
      <c r="O71" s="4"/>
      <c r="P71" s="4"/>
      <c r="Q71" s="4"/>
      <c r="R71" s="4"/>
      <c r="S71" s="4"/>
      <c r="T71" s="4"/>
      <c r="U71" s="4"/>
      <c r="V71" s="4"/>
      <c r="W71" s="4"/>
      <c r="X71" s="4"/>
      <c r="Y71" s="4"/>
      <c r="Z71" s="4"/>
    </row>
    <row r="72" spans="1:26" ht="45" customHeight="1" x14ac:dyDescent="0.25">
      <c r="A72" s="4"/>
      <c r="B72" s="1144" t="s">
        <v>928</v>
      </c>
      <c r="C72" s="668">
        <v>0</v>
      </c>
      <c r="D72" s="1141">
        <v>0</v>
      </c>
      <c r="E72" s="1122">
        <v>3.006909179967E-3</v>
      </c>
      <c r="F72" s="1142">
        <f t="shared" si="11"/>
        <v>0</v>
      </c>
      <c r="G72" s="668">
        <f t="shared" si="12"/>
        <v>28</v>
      </c>
      <c r="H72" s="1143">
        <f t="shared" si="13"/>
        <v>0</v>
      </c>
      <c r="I72" s="1110"/>
      <c r="J72" s="947"/>
      <c r="K72" s="1110"/>
      <c r="L72" s="947"/>
      <c r="M72" s="261"/>
      <c r="N72" s="4"/>
      <c r="O72" s="4"/>
      <c r="P72" s="4"/>
      <c r="Q72" s="4"/>
      <c r="R72" s="4"/>
      <c r="S72" s="4"/>
      <c r="T72" s="4"/>
      <c r="U72" s="4"/>
      <c r="V72" s="4"/>
      <c r="W72" s="4"/>
      <c r="X72" s="4"/>
      <c r="Y72" s="4"/>
      <c r="Z72" s="4"/>
    </row>
    <row r="73" spans="1:26" ht="15.75" customHeight="1" x14ac:dyDescent="0.25">
      <c r="A73" s="4"/>
      <c r="B73" s="1144" t="s">
        <v>929</v>
      </c>
      <c r="C73" s="668">
        <v>0</v>
      </c>
      <c r="D73" s="1141">
        <v>0</v>
      </c>
      <c r="E73" s="1122">
        <v>3.006909179967E-3</v>
      </c>
      <c r="F73" s="1142">
        <f t="shared" si="11"/>
        <v>0</v>
      </c>
      <c r="G73" s="668">
        <f t="shared" si="12"/>
        <v>28</v>
      </c>
      <c r="H73" s="1143">
        <f t="shared" si="13"/>
        <v>0</v>
      </c>
      <c r="I73" s="1110"/>
      <c r="J73" s="947"/>
      <c r="K73" s="1110"/>
      <c r="L73" s="947"/>
      <c r="M73" s="261"/>
      <c r="N73" s="4"/>
      <c r="O73" s="4"/>
      <c r="P73" s="4"/>
      <c r="Q73" s="4"/>
      <c r="R73" s="4"/>
      <c r="S73" s="4"/>
      <c r="T73" s="4"/>
      <c r="U73" s="4"/>
      <c r="V73" s="4"/>
      <c r="W73" s="4"/>
      <c r="X73" s="4"/>
      <c r="Y73" s="4"/>
      <c r="Z73" s="4"/>
    </row>
    <row r="74" spans="1:26" ht="15.75" customHeight="1" x14ac:dyDescent="0.25">
      <c r="A74" s="4"/>
      <c r="B74" s="1140" t="s">
        <v>634</v>
      </c>
      <c r="C74" s="1111">
        <v>7382</v>
      </c>
      <c r="D74" s="1141">
        <v>96</v>
      </c>
      <c r="E74" s="1122">
        <v>3.006909179967E-3</v>
      </c>
      <c r="F74" s="1142">
        <f t="shared" si="11"/>
        <v>21.908340285239561</v>
      </c>
      <c r="G74" s="668">
        <f t="shared" si="12"/>
        <v>28</v>
      </c>
      <c r="H74" s="1143">
        <f t="shared" si="13"/>
        <v>6.1343352798670777E-4</v>
      </c>
      <c r="I74" s="1110"/>
      <c r="J74" s="947"/>
      <c r="K74" s="1110"/>
      <c r="L74" s="947"/>
      <c r="M74" s="261"/>
      <c r="N74" s="4"/>
      <c r="O74" s="4"/>
      <c r="P74" s="4"/>
      <c r="Q74" s="4"/>
      <c r="R74" s="4"/>
      <c r="S74" s="4"/>
      <c r="T74" s="4"/>
      <c r="U74" s="4"/>
      <c r="V74" s="4"/>
      <c r="W74" s="4"/>
      <c r="X74" s="4"/>
      <c r="Y74" s="4"/>
      <c r="Z74" s="4"/>
    </row>
    <row r="75" spans="1:26" ht="45" customHeight="1" x14ac:dyDescent="0.25">
      <c r="A75" s="4"/>
      <c r="B75" s="1144" t="s">
        <v>930</v>
      </c>
      <c r="C75" s="1114">
        <v>0</v>
      </c>
      <c r="D75" s="1141"/>
      <c r="E75" s="1122">
        <v>3.006909179967E-3</v>
      </c>
      <c r="F75" s="1142">
        <f t="shared" si="11"/>
        <v>0</v>
      </c>
      <c r="G75" s="668">
        <f t="shared" si="12"/>
        <v>28</v>
      </c>
      <c r="H75" s="1143">
        <f t="shared" si="13"/>
        <v>0</v>
      </c>
      <c r="I75" s="1110"/>
      <c r="J75" s="947"/>
      <c r="K75" s="1110"/>
      <c r="L75" s="947"/>
      <c r="M75" s="261"/>
      <c r="N75" s="4"/>
      <c r="O75" s="4"/>
      <c r="P75" s="4"/>
      <c r="Q75" s="4"/>
      <c r="R75" s="4"/>
      <c r="S75" s="4"/>
      <c r="T75" s="4"/>
      <c r="U75" s="4"/>
      <c r="V75" s="4"/>
      <c r="W75" s="4"/>
      <c r="X75" s="4"/>
      <c r="Y75" s="4"/>
      <c r="Z75" s="4"/>
    </row>
    <row r="76" spans="1:26" ht="45" customHeight="1" x14ac:dyDescent="0.25">
      <c r="A76" s="4"/>
      <c r="B76" s="1144" t="s">
        <v>931</v>
      </c>
      <c r="C76" s="1114">
        <v>0</v>
      </c>
      <c r="D76" s="1141"/>
      <c r="E76" s="1122">
        <v>3.006909179967E-3</v>
      </c>
      <c r="F76" s="1142">
        <f t="shared" si="11"/>
        <v>0</v>
      </c>
      <c r="G76" s="668">
        <f t="shared" si="12"/>
        <v>28</v>
      </c>
      <c r="H76" s="1143">
        <f t="shared" si="13"/>
        <v>0</v>
      </c>
      <c r="I76" s="1110"/>
      <c r="J76" s="947"/>
      <c r="K76" s="1110"/>
      <c r="L76" s="947"/>
      <c r="M76" s="261"/>
      <c r="N76" s="4"/>
      <c r="O76" s="4"/>
      <c r="P76" s="4"/>
      <c r="Q76" s="4"/>
      <c r="R76" s="4"/>
      <c r="S76" s="4"/>
      <c r="T76" s="4"/>
      <c r="U76" s="4"/>
      <c r="V76" s="4"/>
      <c r="W76" s="4"/>
      <c r="X76" s="4"/>
      <c r="Y76" s="4"/>
      <c r="Z76" s="4"/>
    </row>
    <row r="77" spans="1:26" ht="15.75" customHeight="1" x14ac:dyDescent="0.25">
      <c r="A77" s="4"/>
      <c r="B77" s="1140" t="s">
        <v>883</v>
      </c>
      <c r="C77" s="1111">
        <v>7</v>
      </c>
      <c r="D77" s="1141">
        <v>0</v>
      </c>
      <c r="E77" s="1122">
        <v>3.006909179967E-3</v>
      </c>
      <c r="F77" s="1142">
        <f t="shared" si="11"/>
        <v>2.1048364259768998E-2</v>
      </c>
      <c r="G77" s="668">
        <f t="shared" si="12"/>
        <v>28</v>
      </c>
      <c r="H77" s="1143">
        <f t="shared" si="13"/>
        <v>5.8935419927353193E-7</v>
      </c>
      <c r="I77" s="1110"/>
      <c r="J77" s="947"/>
      <c r="K77" s="1110"/>
      <c r="L77" s="947"/>
      <c r="M77" s="261"/>
      <c r="N77" s="4"/>
      <c r="O77" s="4"/>
      <c r="P77" s="4"/>
      <c r="Q77" s="4"/>
      <c r="R77" s="4"/>
      <c r="S77" s="4"/>
      <c r="T77" s="4"/>
      <c r="U77" s="4"/>
      <c r="V77" s="4"/>
      <c r="W77" s="4"/>
      <c r="X77" s="4"/>
      <c r="Y77" s="4"/>
      <c r="Z77" s="4"/>
    </row>
    <row r="78" spans="1:26" ht="15.75" customHeight="1" x14ac:dyDescent="0.25">
      <c r="A78" s="4"/>
      <c r="B78" s="1140" t="s">
        <v>844</v>
      </c>
      <c r="C78" s="1111">
        <v>1582</v>
      </c>
      <c r="D78" s="1141">
        <v>1385</v>
      </c>
      <c r="E78" s="1122">
        <v>3.006909179967E-3</v>
      </c>
      <c r="F78" s="1142">
        <f t="shared" si="11"/>
        <v>0.59236110845349899</v>
      </c>
      <c r="G78" s="668">
        <f t="shared" si="12"/>
        <v>28</v>
      </c>
      <c r="H78" s="1143">
        <f t="shared" si="13"/>
        <v>1.6586111036697971E-5</v>
      </c>
      <c r="I78" s="1110"/>
      <c r="J78" s="947"/>
      <c r="K78" s="1110"/>
      <c r="L78" s="947"/>
      <c r="M78" s="261"/>
      <c r="N78" s="4"/>
      <c r="O78" s="4"/>
      <c r="P78" s="4"/>
      <c r="Q78" s="4"/>
      <c r="R78" s="4"/>
      <c r="S78" s="4"/>
      <c r="T78" s="4"/>
      <c r="U78" s="4"/>
      <c r="V78" s="4"/>
      <c r="W78" s="4"/>
      <c r="X78" s="4"/>
      <c r="Y78" s="4"/>
      <c r="Z78" s="4"/>
    </row>
    <row r="79" spans="1:26" ht="15.75" customHeight="1" x14ac:dyDescent="0.25">
      <c r="A79" s="4"/>
      <c r="B79" s="1140" t="s">
        <v>854</v>
      </c>
      <c r="C79" s="1111">
        <v>1957</v>
      </c>
      <c r="D79" s="1141">
        <v>2063</v>
      </c>
      <c r="E79" s="1122">
        <v>3.006909179967E-3</v>
      </c>
      <c r="F79" s="1142">
        <f t="shared" si="11"/>
        <v>-0.31873237307650198</v>
      </c>
      <c r="G79" s="668">
        <f t="shared" si="12"/>
        <v>28</v>
      </c>
      <c r="H79" s="1143">
        <f t="shared" si="13"/>
        <v>-8.9245064461420556E-6</v>
      </c>
      <c r="I79" s="1110"/>
      <c r="J79" s="947"/>
      <c r="K79" s="1110"/>
      <c r="L79" s="947"/>
      <c r="M79" s="261"/>
      <c r="N79" s="4"/>
      <c r="O79" s="4"/>
      <c r="P79" s="4"/>
      <c r="Q79" s="4"/>
      <c r="R79" s="4"/>
      <c r="S79" s="4"/>
      <c r="T79" s="4"/>
      <c r="U79" s="4"/>
      <c r="V79" s="4"/>
      <c r="W79" s="4"/>
      <c r="X79" s="4"/>
      <c r="Y79" s="4"/>
      <c r="Z79" s="4"/>
    </row>
    <row r="80" spans="1:26" ht="15.75" customHeight="1" x14ac:dyDescent="0.25">
      <c r="A80" s="4"/>
      <c r="B80" s="1140" t="s">
        <v>758</v>
      </c>
      <c r="C80" s="1111">
        <v>4129</v>
      </c>
      <c r="D80" s="1141">
        <v>0</v>
      </c>
      <c r="E80" s="1122">
        <v>3.006909179967E-3</v>
      </c>
      <c r="F80" s="1142">
        <f t="shared" si="11"/>
        <v>12.415528004083743</v>
      </c>
      <c r="G80" s="668">
        <f t="shared" si="12"/>
        <v>28</v>
      </c>
      <c r="H80" s="1143">
        <f t="shared" si="13"/>
        <v>3.4763478411434484E-4</v>
      </c>
      <c r="I80" s="1110"/>
      <c r="J80" s="947"/>
      <c r="K80" s="1110"/>
      <c r="L80" s="947"/>
      <c r="M80" s="261"/>
      <c r="N80" s="4"/>
      <c r="O80" s="4"/>
      <c r="P80" s="4"/>
      <c r="Q80" s="4"/>
      <c r="R80" s="4"/>
      <c r="S80" s="4"/>
      <c r="T80" s="4"/>
      <c r="U80" s="4"/>
      <c r="V80" s="4"/>
      <c r="W80" s="4"/>
      <c r="X80" s="4"/>
      <c r="Y80" s="4"/>
      <c r="Z80" s="4"/>
    </row>
    <row r="81" spans="1:26" ht="45" customHeight="1" x14ac:dyDescent="0.25">
      <c r="A81" s="4"/>
      <c r="B81" s="1144" t="s">
        <v>932</v>
      </c>
      <c r="C81" s="668">
        <v>0</v>
      </c>
      <c r="D81" s="1141">
        <v>0</v>
      </c>
      <c r="E81" s="1122">
        <v>3.006909179967E-3</v>
      </c>
      <c r="F81" s="1142">
        <f t="shared" si="11"/>
        <v>0</v>
      </c>
      <c r="G81" s="668">
        <f t="shared" si="12"/>
        <v>28</v>
      </c>
      <c r="H81" s="1143">
        <f t="shared" si="13"/>
        <v>0</v>
      </c>
      <c r="I81" s="1110"/>
      <c r="J81" s="947"/>
      <c r="K81" s="1110"/>
      <c r="L81" s="947"/>
      <c r="M81" s="261"/>
      <c r="N81" s="4"/>
      <c r="O81" s="4"/>
      <c r="P81" s="4"/>
      <c r="Q81" s="4"/>
      <c r="R81" s="4"/>
      <c r="S81" s="4"/>
      <c r="T81" s="4"/>
      <c r="U81" s="4"/>
      <c r="V81" s="4"/>
      <c r="W81" s="4"/>
      <c r="X81" s="4"/>
      <c r="Y81" s="4"/>
      <c r="Z81" s="4"/>
    </row>
    <row r="82" spans="1:26" ht="15.75" customHeight="1" x14ac:dyDescent="0.25">
      <c r="A82" s="4"/>
      <c r="B82" s="1140" t="s">
        <v>933</v>
      </c>
      <c r="C82" s="1111">
        <v>501</v>
      </c>
      <c r="D82" s="1141">
        <v>483</v>
      </c>
      <c r="E82" s="1122">
        <v>3.006909179967E-3</v>
      </c>
      <c r="F82" s="1142">
        <f t="shared" si="11"/>
        <v>5.4124365239406003E-2</v>
      </c>
      <c r="G82" s="668">
        <f t="shared" si="12"/>
        <v>28</v>
      </c>
      <c r="H82" s="1143">
        <f t="shared" si="13"/>
        <v>1.5154822267033682E-6</v>
      </c>
      <c r="I82" s="1110"/>
      <c r="J82" s="947"/>
      <c r="K82" s="1110"/>
      <c r="L82" s="947"/>
      <c r="M82" s="261"/>
      <c r="N82" s="4"/>
      <c r="O82" s="4"/>
      <c r="P82" s="4"/>
      <c r="Q82" s="4"/>
      <c r="R82" s="4"/>
      <c r="S82" s="4"/>
      <c r="T82" s="4"/>
      <c r="U82" s="4"/>
      <c r="V82" s="4"/>
      <c r="W82" s="4"/>
      <c r="X82" s="4"/>
      <c r="Y82" s="4"/>
      <c r="Z82" s="4"/>
    </row>
    <row r="83" spans="1:26" ht="15.75" customHeight="1" x14ac:dyDescent="0.25">
      <c r="A83" s="4"/>
      <c r="B83" s="1140" t="s">
        <v>934</v>
      </c>
      <c r="C83" s="668">
        <v>0</v>
      </c>
      <c r="D83" s="1141">
        <v>0</v>
      </c>
      <c r="E83" s="1122">
        <v>3.006909179967E-3</v>
      </c>
      <c r="F83" s="1142">
        <f t="shared" si="11"/>
        <v>0</v>
      </c>
      <c r="G83" s="668">
        <f t="shared" si="12"/>
        <v>28</v>
      </c>
      <c r="H83" s="1143">
        <f t="shared" si="13"/>
        <v>0</v>
      </c>
      <c r="I83" s="1110"/>
      <c r="J83" s="947"/>
      <c r="K83" s="1110"/>
      <c r="L83" s="947"/>
      <c r="M83" s="261"/>
      <c r="N83" s="4"/>
      <c r="O83" s="4"/>
      <c r="P83" s="4"/>
      <c r="Q83" s="4"/>
      <c r="R83" s="4"/>
      <c r="S83" s="4"/>
      <c r="T83" s="4"/>
      <c r="U83" s="4"/>
      <c r="V83" s="4"/>
      <c r="W83" s="4"/>
      <c r="X83" s="4"/>
      <c r="Y83" s="4"/>
      <c r="Z83" s="4"/>
    </row>
    <row r="84" spans="1:26" ht="15.75" customHeight="1" x14ac:dyDescent="0.25">
      <c r="A84" s="4"/>
      <c r="B84" s="1140" t="s">
        <v>935</v>
      </c>
      <c r="C84" s="668"/>
      <c r="D84" s="1141"/>
      <c r="E84" s="1122">
        <v>3.006909179967E-3</v>
      </c>
      <c r="F84" s="1142">
        <f t="shared" si="11"/>
        <v>0</v>
      </c>
      <c r="G84" s="668">
        <f t="shared" si="12"/>
        <v>28</v>
      </c>
      <c r="H84" s="1143">
        <f t="shared" si="13"/>
        <v>0</v>
      </c>
      <c r="I84" s="1110"/>
      <c r="J84" s="947"/>
      <c r="K84" s="1110"/>
      <c r="L84" s="947"/>
      <c r="M84" s="261"/>
      <c r="N84" s="4"/>
      <c r="O84" s="4"/>
      <c r="P84" s="4"/>
      <c r="Q84" s="4"/>
      <c r="R84" s="4"/>
      <c r="S84" s="4"/>
      <c r="T84" s="4"/>
      <c r="U84" s="4"/>
      <c r="V84" s="4"/>
      <c r="W84" s="4"/>
      <c r="X84" s="4"/>
      <c r="Y84" s="4"/>
      <c r="Z84" s="4"/>
    </row>
    <row r="85" spans="1:26" ht="15.75" customHeight="1" x14ac:dyDescent="0.25">
      <c r="A85" s="4"/>
      <c r="B85" s="1140" t="s">
        <v>635</v>
      </c>
      <c r="C85" s="1111">
        <v>1590</v>
      </c>
      <c r="D85" s="1141">
        <v>0</v>
      </c>
      <c r="E85" s="1122">
        <v>3.006909179967E-3</v>
      </c>
      <c r="F85" s="1142">
        <f t="shared" si="11"/>
        <v>4.7809855961475298</v>
      </c>
      <c r="G85" s="668">
        <f t="shared" si="12"/>
        <v>28</v>
      </c>
      <c r="H85" s="1143">
        <f t="shared" si="13"/>
        <v>1.3386759669213084E-4</v>
      </c>
      <c r="I85" s="1110"/>
      <c r="J85" s="947"/>
      <c r="K85" s="1110"/>
      <c r="L85" s="947"/>
      <c r="M85" s="261"/>
      <c r="N85" s="4"/>
      <c r="O85" s="4"/>
      <c r="P85" s="4"/>
      <c r="Q85" s="4"/>
      <c r="R85" s="4"/>
      <c r="S85" s="4"/>
      <c r="T85" s="4"/>
      <c r="U85" s="4"/>
      <c r="V85" s="4"/>
      <c r="W85" s="4"/>
      <c r="X85" s="4"/>
      <c r="Y85" s="4"/>
      <c r="Z85" s="4"/>
    </row>
    <row r="86" spans="1:26" ht="15.75" customHeight="1" x14ac:dyDescent="0.25">
      <c r="A86" s="4"/>
      <c r="B86" s="1140" t="s">
        <v>936</v>
      </c>
      <c r="C86" s="668">
        <v>0</v>
      </c>
      <c r="D86" s="1141">
        <v>0</v>
      </c>
      <c r="E86" s="1122">
        <v>3.006909179967E-3</v>
      </c>
      <c r="F86" s="1142">
        <f t="shared" si="11"/>
        <v>0</v>
      </c>
      <c r="G86" s="668">
        <f t="shared" si="12"/>
        <v>28</v>
      </c>
      <c r="H86" s="1143">
        <f t="shared" si="13"/>
        <v>0</v>
      </c>
      <c r="I86" s="1110"/>
      <c r="J86" s="947"/>
      <c r="K86" s="1110"/>
      <c r="L86" s="947"/>
      <c r="M86" s="261"/>
      <c r="N86" s="4"/>
      <c r="O86" s="4"/>
      <c r="P86" s="4"/>
      <c r="Q86" s="4"/>
      <c r="R86" s="4"/>
      <c r="S86" s="4"/>
      <c r="T86" s="4"/>
      <c r="U86" s="4"/>
      <c r="V86" s="4"/>
      <c r="W86" s="4"/>
      <c r="X86" s="4"/>
      <c r="Y86" s="4"/>
      <c r="Z86" s="4"/>
    </row>
    <row r="87" spans="1:26" ht="15.75" customHeight="1" x14ac:dyDescent="0.25">
      <c r="A87" s="4"/>
      <c r="B87" s="1140" t="s">
        <v>937</v>
      </c>
      <c r="C87" s="1111">
        <v>535</v>
      </c>
      <c r="D87" s="1141">
        <v>596</v>
      </c>
      <c r="E87" s="1122">
        <v>3.006909179967E-3</v>
      </c>
      <c r="F87" s="1142">
        <f t="shared" si="11"/>
        <v>-0.18342145997798701</v>
      </c>
      <c r="G87" s="668">
        <f t="shared" si="12"/>
        <v>28</v>
      </c>
      <c r="H87" s="1143">
        <f t="shared" si="13"/>
        <v>-5.135800879383636E-6</v>
      </c>
      <c r="I87" s="1110"/>
      <c r="J87" s="947"/>
      <c r="K87" s="1110"/>
      <c r="L87" s="947"/>
      <c r="M87" s="261"/>
      <c r="N87" s="4"/>
      <c r="O87" s="4"/>
      <c r="P87" s="4"/>
      <c r="Q87" s="4"/>
      <c r="R87" s="4"/>
      <c r="S87" s="4"/>
      <c r="T87" s="4"/>
      <c r="U87" s="4"/>
      <c r="V87" s="4"/>
      <c r="W87" s="4"/>
      <c r="X87" s="4"/>
      <c r="Y87" s="4"/>
      <c r="Z87" s="4"/>
    </row>
    <row r="88" spans="1:26" ht="15.75" customHeight="1" x14ac:dyDescent="0.25">
      <c r="A88" s="4"/>
      <c r="B88" s="1140" t="s">
        <v>938</v>
      </c>
      <c r="C88" s="668">
        <v>0</v>
      </c>
      <c r="D88" s="1141">
        <v>0</v>
      </c>
      <c r="E88" s="1122">
        <v>3.006909179967E-3</v>
      </c>
      <c r="F88" s="1142">
        <f t="shared" si="11"/>
        <v>0</v>
      </c>
      <c r="G88" s="668">
        <f t="shared" si="12"/>
        <v>28</v>
      </c>
      <c r="H88" s="1143">
        <f t="shared" si="13"/>
        <v>0</v>
      </c>
      <c r="I88" s="1110"/>
      <c r="J88" s="947"/>
      <c r="K88" s="1110"/>
      <c r="L88" s="947"/>
      <c r="M88" s="261"/>
      <c r="N88" s="4"/>
      <c r="O88" s="4"/>
      <c r="P88" s="4"/>
      <c r="Q88" s="4"/>
      <c r="R88" s="4"/>
      <c r="S88" s="4"/>
      <c r="T88" s="4"/>
      <c r="U88" s="4"/>
      <c r="V88" s="4"/>
      <c r="W88" s="4"/>
      <c r="X88" s="4"/>
      <c r="Y88" s="4"/>
      <c r="Z88" s="4"/>
    </row>
    <row r="89" spans="1:26" ht="15.75" customHeight="1" x14ac:dyDescent="0.25">
      <c r="A89" s="4"/>
      <c r="B89" s="1140" t="s">
        <v>939</v>
      </c>
      <c r="C89" s="1111">
        <v>106</v>
      </c>
      <c r="D89" s="1141">
        <v>120</v>
      </c>
      <c r="E89" s="1122">
        <v>3.006909179967E-3</v>
      </c>
      <c r="F89" s="1142">
        <f t="shared" si="11"/>
        <v>-4.2096728519537996E-2</v>
      </c>
      <c r="G89" s="668">
        <f t="shared" si="12"/>
        <v>28</v>
      </c>
      <c r="H89" s="1143">
        <f t="shared" si="13"/>
        <v>-1.1787083985470639E-6</v>
      </c>
      <c r="I89" s="1110"/>
      <c r="J89" s="947"/>
      <c r="K89" s="1110"/>
      <c r="L89" s="947"/>
      <c r="M89" s="261"/>
      <c r="N89" s="4"/>
      <c r="O89" s="4"/>
      <c r="P89" s="4"/>
      <c r="Q89" s="4"/>
      <c r="R89" s="4"/>
      <c r="S89" s="4"/>
      <c r="T89" s="4"/>
      <c r="U89" s="4"/>
      <c r="V89" s="4"/>
      <c r="W89" s="4"/>
      <c r="X89" s="4"/>
      <c r="Y89" s="4"/>
      <c r="Z89" s="4"/>
    </row>
    <row r="90" spans="1:26" ht="15.75" customHeight="1" x14ac:dyDescent="0.25">
      <c r="A90" s="4"/>
      <c r="B90" s="1140" t="s">
        <v>221</v>
      </c>
      <c r="C90" s="1111">
        <v>21808</v>
      </c>
      <c r="D90" s="1141">
        <v>688</v>
      </c>
      <c r="E90" s="1122">
        <v>9.4955026735800007E-4</v>
      </c>
      <c r="F90" s="1142">
        <f t="shared" si="11"/>
        <v>20.054501646600961</v>
      </c>
      <c r="G90" s="668">
        <f t="shared" si="12"/>
        <v>28</v>
      </c>
      <c r="H90" s="1143">
        <f t="shared" si="13"/>
        <v>5.615260461048269E-4</v>
      </c>
      <c r="I90" s="1110"/>
      <c r="J90" s="947"/>
      <c r="K90" s="1110"/>
      <c r="L90" s="947"/>
      <c r="M90" s="261"/>
      <c r="N90" s="4"/>
      <c r="O90" s="4"/>
      <c r="P90" s="4"/>
      <c r="Q90" s="4"/>
      <c r="R90" s="4"/>
      <c r="S90" s="4"/>
      <c r="T90" s="4"/>
      <c r="U90" s="4"/>
      <c r="V90" s="4"/>
      <c r="W90" s="4"/>
      <c r="X90" s="4"/>
      <c r="Y90" s="4"/>
      <c r="Z90" s="4"/>
    </row>
    <row r="91" spans="1:26" ht="15.75" customHeight="1" x14ac:dyDescent="0.25">
      <c r="A91" s="4"/>
      <c r="B91" s="126" t="s">
        <v>739</v>
      </c>
      <c r="C91" s="668">
        <v>9240</v>
      </c>
      <c r="D91" s="1141" t="s">
        <v>944</v>
      </c>
      <c r="E91" s="1122">
        <v>2.8486508020740004E-2</v>
      </c>
      <c r="F91" s="1142">
        <f>C91*E91</f>
        <v>263.21533411163762</v>
      </c>
      <c r="G91" s="668">
        <f t="shared" si="12"/>
        <v>28</v>
      </c>
      <c r="H91" s="1143">
        <f t="shared" si="13"/>
        <v>7.3700293551258525E-3</v>
      </c>
      <c r="I91" s="1110"/>
      <c r="J91" s="947"/>
      <c r="K91" s="1110"/>
      <c r="L91" s="947"/>
      <c r="M91" s="261"/>
      <c r="N91" s="4"/>
      <c r="O91" s="4"/>
      <c r="P91" s="4"/>
      <c r="Q91" s="4"/>
      <c r="R91" s="4"/>
      <c r="S91" s="4"/>
      <c r="T91" s="4"/>
      <c r="U91" s="4"/>
      <c r="V91" s="4"/>
      <c r="W91" s="4"/>
      <c r="X91" s="4"/>
      <c r="Y91" s="4"/>
      <c r="Z91" s="4"/>
    </row>
    <row r="92" spans="1:26" ht="15.75" customHeight="1" x14ac:dyDescent="0.25">
      <c r="A92" s="4"/>
      <c r="B92" s="1140"/>
      <c r="C92" s="1116"/>
      <c r="D92" s="1145"/>
      <c r="E92" s="1145"/>
      <c r="F92" s="1145"/>
      <c r="G92" s="1094" t="s">
        <v>222</v>
      </c>
      <c r="H92" s="1146">
        <f>SUM(H69:H91)</f>
        <v>1.4857449499693469E-2</v>
      </c>
      <c r="I92" s="1030"/>
      <c r="J92" s="1045"/>
      <c r="K92" s="1030"/>
      <c r="L92" s="1045"/>
      <c r="M92" s="261"/>
      <c r="N92" s="4"/>
      <c r="O92" s="4"/>
      <c r="P92" s="4"/>
      <c r="Q92" s="4"/>
      <c r="R92" s="4"/>
      <c r="S92" s="4"/>
      <c r="T92" s="4"/>
      <c r="U92" s="4"/>
      <c r="V92" s="4"/>
      <c r="W92" s="4"/>
      <c r="X92" s="4"/>
      <c r="Y92" s="4"/>
      <c r="Z92" s="4"/>
    </row>
    <row r="93" spans="1:26" ht="15.75" customHeight="1" x14ac:dyDescent="0.25">
      <c r="A93" s="4"/>
      <c r="B93" s="1147"/>
      <c r="C93" s="1148"/>
      <c r="D93" s="1148"/>
      <c r="E93" s="1148"/>
      <c r="F93" s="1148"/>
      <c r="G93" s="1148"/>
      <c r="H93" s="1149"/>
      <c r="I93" s="261"/>
      <c r="J93" s="261"/>
      <c r="K93" s="261"/>
      <c r="L93" s="261"/>
      <c r="M93" s="261"/>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1050" t="s">
        <v>947</v>
      </c>
      <c r="C96" s="1050"/>
      <c r="D96" s="1050">
        <v>2011</v>
      </c>
      <c r="E96" s="261"/>
      <c r="F96" s="261"/>
      <c r="G96" s="261"/>
      <c r="H96" s="261"/>
      <c r="I96" s="4"/>
      <c r="J96" s="4"/>
      <c r="K96" s="4"/>
      <c r="L96" s="4"/>
      <c r="M96" s="4"/>
      <c r="N96" s="4"/>
      <c r="O96" s="4"/>
      <c r="P96" s="4"/>
      <c r="Q96" s="4"/>
      <c r="R96" s="4"/>
      <c r="S96" s="4"/>
      <c r="T96" s="4"/>
      <c r="U96" s="4"/>
      <c r="V96" s="4"/>
      <c r="W96" s="4"/>
      <c r="X96" s="4"/>
      <c r="Y96" s="4"/>
      <c r="Z96" s="4"/>
    </row>
    <row r="97" spans="1:26" ht="15.75" customHeight="1" x14ac:dyDescent="0.25">
      <c r="A97" s="4"/>
      <c r="B97" s="1127"/>
      <c r="C97" s="677" t="s">
        <v>188</v>
      </c>
      <c r="D97" s="677" t="s">
        <v>850</v>
      </c>
      <c r="E97" s="1150" t="s">
        <v>948</v>
      </c>
      <c r="F97" s="1151" t="s">
        <v>949</v>
      </c>
      <c r="G97" s="1151" t="s">
        <v>950</v>
      </c>
      <c r="H97" s="1152" t="s">
        <v>916</v>
      </c>
      <c r="I97" s="4"/>
      <c r="J97" s="4"/>
      <c r="K97" s="4"/>
      <c r="L97" s="4"/>
      <c r="M97" s="4"/>
      <c r="N97" s="4"/>
      <c r="O97" s="4"/>
      <c r="P97" s="4"/>
      <c r="Q97" s="4"/>
      <c r="R97" s="4"/>
      <c r="S97" s="4"/>
      <c r="T97" s="4"/>
      <c r="U97" s="4"/>
      <c r="V97" s="4"/>
      <c r="W97" s="4"/>
      <c r="X97" s="4"/>
      <c r="Y97" s="4"/>
      <c r="Z97" s="4"/>
    </row>
    <row r="98" spans="1:26" ht="15.75" customHeight="1" x14ac:dyDescent="0.25">
      <c r="A98" s="4"/>
      <c r="B98" s="1130"/>
      <c r="C98" s="923" t="s">
        <v>627</v>
      </c>
      <c r="D98" s="923" t="s">
        <v>627</v>
      </c>
      <c r="E98" s="695" t="s">
        <v>628</v>
      </c>
      <c r="F98" s="696" t="s">
        <v>628</v>
      </c>
      <c r="G98" s="696" t="s">
        <v>628</v>
      </c>
      <c r="H98" s="697" t="s">
        <v>628</v>
      </c>
      <c r="I98" s="4"/>
      <c r="J98" s="4"/>
      <c r="K98" s="4"/>
      <c r="L98" s="4"/>
      <c r="M98" s="4"/>
      <c r="N98" s="4"/>
      <c r="O98" s="4"/>
      <c r="P98" s="4"/>
      <c r="Q98" s="4"/>
      <c r="R98" s="4"/>
      <c r="S98" s="4"/>
      <c r="T98" s="4"/>
      <c r="U98" s="4"/>
      <c r="V98" s="4"/>
      <c r="W98" s="4"/>
      <c r="X98" s="4"/>
      <c r="Y98" s="4"/>
      <c r="Z98" s="4"/>
    </row>
    <row r="99" spans="1:26" ht="15.75" customHeight="1" x14ac:dyDescent="0.25">
      <c r="A99" s="4"/>
      <c r="B99" s="1131" t="s">
        <v>277</v>
      </c>
      <c r="C99" s="1132" t="s">
        <v>630</v>
      </c>
      <c r="D99" s="1132" t="s">
        <v>630</v>
      </c>
      <c r="E99" s="1153" t="s">
        <v>951</v>
      </c>
      <c r="F99" s="1080" t="s">
        <v>952</v>
      </c>
      <c r="G99" s="1080" t="s">
        <v>953</v>
      </c>
      <c r="H99" s="1081" t="s">
        <v>954</v>
      </c>
      <c r="I99" s="4"/>
      <c r="J99" s="4"/>
      <c r="K99" s="4"/>
      <c r="L99" s="4"/>
      <c r="M99" s="4"/>
      <c r="N99" s="4"/>
      <c r="O99" s="4"/>
      <c r="P99" s="4"/>
      <c r="Q99" s="4"/>
      <c r="R99" s="4"/>
      <c r="S99" s="4"/>
      <c r="T99" s="4"/>
      <c r="U99" s="4"/>
      <c r="V99" s="4"/>
      <c r="W99" s="4"/>
      <c r="X99" s="4"/>
      <c r="Y99" s="4"/>
      <c r="Z99" s="4"/>
    </row>
    <row r="100" spans="1:26" ht="15.75" customHeight="1" x14ac:dyDescent="0.25">
      <c r="A100" s="4"/>
      <c r="B100" s="1135" t="s">
        <v>925</v>
      </c>
      <c r="C100" s="668">
        <v>0</v>
      </c>
      <c r="D100" s="1136">
        <v>0</v>
      </c>
      <c r="E100" s="1154">
        <v>0</v>
      </c>
      <c r="F100" s="1138">
        <v>0</v>
      </c>
      <c r="G100" s="1155">
        <v>0</v>
      </c>
      <c r="H100" s="1139">
        <f t="shared" ref="H100:H122" si="14">SUM(E100:G100)</f>
        <v>0</v>
      </c>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1140" t="s">
        <v>926</v>
      </c>
      <c r="C101" s="1111">
        <v>21655</v>
      </c>
      <c r="D101" s="1141">
        <v>227</v>
      </c>
      <c r="E101" s="1156">
        <v>2.8774465306035415</v>
      </c>
      <c r="F101" s="1157">
        <f>0.00634048585598958*($M$8/21)</f>
        <v>8.4539811413194398E-3</v>
      </c>
      <c r="G101" s="1158">
        <f>0.0140396472525484*($M$9/310)</f>
        <v>1.20016339416946E-2</v>
      </c>
      <c r="H101" s="1143">
        <f t="shared" si="14"/>
        <v>2.8979021456865555</v>
      </c>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1140" t="s">
        <v>927</v>
      </c>
      <c r="C102" s="1111">
        <v>19835</v>
      </c>
      <c r="D102" s="1141">
        <v>22046</v>
      </c>
      <c r="E102" s="1156">
        <v>0</v>
      </c>
      <c r="F102" s="1157">
        <f t="shared" ref="F102:F103" si="15">0*($M$8/21)</f>
        <v>0</v>
      </c>
      <c r="G102" s="1158">
        <v>0</v>
      </c>
      <c r="H102" s="1143">
        <f t="shared" si="14"/>
        <v>0</v>
      </c>
      <c r="I102" s="4"/>
      <c r="J102" s="4"/>
      <c r="K102" s="4"/>
      <c r="L102" s="4"/>
      <c r="M102" s="4"/>
      <c r="N102" s="4"/>
      <c r="O102" s="4"/>
      <c r="P102" s="4"/>
      <c r="Q102" s="4"/>
      <c r="R102" s="4"/>
      <c r="S102" s="4"/>
      <c r="T102" s="4"/>
      <c r="U102" s="4"/>
      <c r="V102" s="4"/>
      <c r="W102" s="4"/>
      <c r="X102" s="4"/>
      <c r="Y102" s="4"/>
      <c r="Z102" s="4"/>
    </row>
    <row r="103" spans="1:26" ht="45" customHeight="1" x14ac:dyDescent="0.25">
      <c r="A103" s="4"/>
      <c r="B103" s="1144" t="s">
        <v>928</v>
      </c>
      <c r="C103" s="668">
        <v>0</v>
      </c>
      <c r="D103" s="1141">
        <v>0</v>
      </c>
      <c r="E103" s="1156">
        <v>0</v>
      </c>
      <c r="F103" s="1142">
        <f t="shared" si="15"/>
        <v>0</v>
      </c>
      <c r="G103" s="1158">
        <v>0</v>
      </c>
      <c r="H103" s="1143">
        <f t="shared" si="14"/>
        <v>0</v>
      </c>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1144" t="s">
        <v>929</v>
      </c>
      <c r="C104" s="668">
        <v>0</v>
      </c>
      <c r="D104" s="1141">
        <v>0</v>
      </c>
      <c r="E104" s="1156">
        <v>0</v>
      </c>
      <c r="F104" s="1142">
        <v>0</v>
      </c>
      <c r="G104" s="1158">
        <v>0</v>
      </c>
      <c r="H104" s="1143">
        <f t="shared" si="14"/>
        <v>0</v>
      </c>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1140" t="s">
        <v>634</v>
      </c>
      <c r="C105" s="1111">
        <v>7382</v>
      </c>
      <c r="D105" s="1141">
        <v>96</v>
      </c>
      <c r="E105" s="1156">
        <v>0.90528582025581705</v>
      </c>
      <c r="F105" s="1142">
        <f>0.000778405072319559*($M$8/21)</f>
        <v>1.037873429759412E-3</v>
      </c>
      <c r="G105" s="1158">
        <f>0.00229814830875298*($M$9/310)</f>
        <v>1.964546134901741E-3</v>
      </c>
      <c r="H105" s="1143">
        <f t="shared" si="14"/>
        <v>0.90828823982047813</v>
      </c>
      <c r="I105" s="4"/>
      <c r="J105" s="4"/>
      <c r="K105" s="4"/>
      <c r="L105" s="4"/>
      <c r="M105" s="4"/>
      <c r="N105" s="4"/>
      <c r="O105" s="4"/>
      <c r="P105" s="4"/>
      <c r="Q105" s="4"/>
      <c r="R105" s="4"/>
      <c r="S105" s="4"/>
      <c r="T105" s="4"/>
      <c r="U105" s="4"/>
      <c r="V105" s="4"/>
      <c r="W105" s="4"/>
      <c r="X105" s="4"/>
      <c r="Y105" s="4"/>
      <c r="Z105" s="4"/>
    </row>
    <row r="106" spans="1:26" ht="45" customHeight="1" x14ac:dyDescent="0.25">
      <c r="A106" s="4"/>
      <c r="B106" s="1144" t="s">
        <v>930</v>
      </c>
      <c r="C106" s="1114">
        <v>0</v>
      </c>
      <c r="D106" s="1141"/>
      <c r="E106" s="1156">
        <v>1.8826954130366155E-2</v>
      </c>
      <c r="F106" s="1142">
        <f>6.92530067534525E-07*($M$8/21)</f>
        <v>9.2337342337936654E-7</v>
      </c>
      <c r="G106" s="1158">
        <f>2.04461258034003E-06*($M$9/310)</f>
        <v>1.7478139799680903E-6</v>
      </c>
      <c r="H106" s="1143">
        <f t="shared" si="14"/>
        <v>1.8829625317769501E-2</v>
      </c>
      <c r="I106" s="4"/>
      <c r="J106" s="4"/>
      <c r="K106" s="4"/>
      <c r="L106" s="4"/>
      <c r="M106" s="4"/>
      <c r="N106" s="4"/>
      <c r="O106" s="4"/>
      <c r="P106" s="4"/>
      <c r="Q106" s="4"/>
      <c r="R106" s="4"/>
      <c r="S106" s="4"/>
      <c r="T106" s="4"/>
      <c r="U106" s="4"/>
      <c r="V106" s="4"/>
      <c r="W106" s="4"/>
      <c r="X106" s="4"/>
      <c r="Y106" s="4"/>
      <c r="Z106" s="4"/>
    </row>
    <row r="107" spans="1:26" ht="45" customHeight="1" x14ac:dyDescent="0.25">
      <c r="A107" s="4"/>
      <c r="B107" s="1144" t="s">
        <v>931</v>
      </c>
      <c r="C107" s="1114">
        <v>0</v>
      </c>
      <c r="D107" s="1141"/>
      <c r="E107" s="1156">
        <v>3.678759822586071E-2</v>
      </c>
      <c r="F107" s="1142">
        <f>0.0000158779945318073*($M$8/21)</f>
        <v>2.1170659375743068E-5</v>
      </c>
      <c r="G107" s="1158">
        <f>0.0000468778886177167*($M$9/310)</f>
        <v>4.0073033818370732E-5</v>
      </c>
      <c r="H107" s="1143">
        <f t="shared" si="14"/>
        <v>3.6848841919054826E-2</v>
      </c>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1140" t="s">
        <v>883</v>
      </c>
      <c r="C108" s="1111">
        <v>7</v>
      </c>
      <c r="D108" s="1141">
        <v>0</v>
      </c>
      <c r="E108" s="1156">
        <v>1.2443526994672069E-2</v>
      </c>
      <c r="F108" s="1142">
        <f>0.0000108764599726709*($M$8/21)</f>
        <v>1.4501946630227865E-5</v>
      </c>
      <c r="G108" s="1158">
        <f>0.0000321114532526474*($M$9/310)</f>
        <v>2.7450113264359876E-5</v>
      </c>
      <c r="H108" s="1143">
        <f t="shared" si="14"/>
        <v>1.2485479054566656E-2</v>
      </c>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1140" t="s">
        <v>844</v>
      </c>
      <c r="C109" s="1111">
        <v>1582</v>
      </c>
      <c r="D109" s="1141">
        <v>1385</v>
      </c>
      <c r="E109" s="1156">
        <v>0.11457970244057047</v>
      </c>
      <c r="F109" s="1142">
        <f>0.0000617117718515766*($M$8/21)</f>
        <v>8.2282362468768795E-5</v>
      </c>
      <c r="G109" s="1158">
        <f>0.000182196659752274*($M$9/310)</f>
        <v>1.5574875753016971E-4</v>
      </c>
      <c r="H109" s="1143">
        <f t="shared" si="14"/>
        <v>0.11481773356056942</v>
      </c>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1140" t="s">
        <v>854</v>
      </c>
      <c r="C110" s="1111">
        <v>1957</v>
      </c>
      <c r="D110" s="1141">
        <v>2063</v>
      </c>
      <c r="E110" s="1156">
        <v>0.14496809369703922</v>
      </c>
      <c r="F110" s="1142">
        <v>0</v>
      </c>
      <c r="G110" s="1158">
        <v>0</v>
      </c>
      <c r="H110" s="1143">
        <f t="shared" si="14"/>
        <v>0.14496809369703922</v>
      </c>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1140" t="s">
        <v>758</v>
      </c>
      <c r="C111" s="1111">
        <v>4129</v>
      </c>
      <c r="D111" s="1141">
        <v>0</v>
      </c>
      <c r="E111" s="1156">
        <v>0.36680007782378576</v>
      </c>
      <c r="F111" s="1142">
        <f>0.000340646918088765*($M$8/21)</f>
        <v>4.5419589078501998E-4</v>
      </c>
      <c r="G111" s="1158">
        <f>0.00100571947245255*($M$9/310)</f>
        <v>8.5972793612879266E-4</v>
      </c>
      <c r="H111" s="1143">
        <f t="shared" si="14"/>
        <v>0.36811400165069963</v>
      </c>
      <c r="I111" s="4"/>
      <c r="J111" s="4"/>
      <c r="K111" s="4"/>
      <c r="L111" s="4"/>
      <c r="M111" s="4"/>
      <c r="N111" s="4"/>
      <c r="O111" s="4"/>
      <c r="P111" s="4"/>
      <c r="Q111" s="4"/>
      <c r="R111" s="4"/>
      <c r="S111" s="4"/>
      <c r="T111" s="4"/>
      <c r="U111" s="4"/>
      <c r="V111" s="4"/>
      <c r="W111" s="4"/>
      <c r="X111" s="4"/>
      <c r="Y111" s="4"/>
      <c r="Z111" s="4"/>
    </row>
    <row r="112" spans="1:26" ht="45" customHeight="1" x14ac:dyDescent="0.25">
      <c r="A112" s="4"/>
      <c r="B112" s="1144" t="s">
        <v>932</v>
      </c>
      <c r="C112" s="668">
        <v>0</v>
      </c>
      <c r="D112" s="1141">
        <v>0</v>
      </c>
      <c r="E112" s="1156">
        <v>0</v>
      </c>
      <c r="F112" s="1142">
        <v>0</v>
      </c>
      <c r="G112" s="1158">
        <v>0</v>
      </c>
      <c r="H112" s="1143">
        <f t="shared" si="14"/>
        <v>0</v>
      </c>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1140" t="s">
        <v>933</v>
      </c>
      <c r="C113" s="1111">
        <v>483</v>
      </c>
      <c r="D113" s="1141">
        <v>483</v>
      </c>
      <c r="E113" s="1156">
        <v>1.1709745490760357E-2</v>
      </c>
      <c r="F113" s="1142">
        <v>0</v>
      </c>
      <c r="G113" s="1158">
        <v>0</v>
      </c>
      <c r="H113" s="1143">
        <f t="shared" si="14"/>
        <v>1.1709745490760357E-2</v>
      </c>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1140" t="s">
        <v>934</v>
      </c>
      <c r="C114" s="668">
        <v>0</v>
      </c>
      <c r="D114" s="1141">
        <v>0</v>
      </c>
      <c r="E114" s="1156">
        <v>0</v>
      </c>
      <c r="F114" s="1142">
        <v>0</v>
      </c>
      <c r="G114" s="1158">
        <v>0</v>
      </c>
      <c r="H114" s="1143">
        <f t="shared" si="14"/>
        <v>0</v>
      </c>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1140" t="s">
        <v>935</v>
      </c>
      <c r="C115" s="668"/>
      <c r="D115" s="1141">
        <v>122.04430006839266</v>
      </c>
      <c r="E115" s="1156">
        <v>5.7604822746620491E-3</v>
      </c>
      <c r="F115" s="1142">
        <f>2.50884419783495E-06*($M$8/21)</f>
        <v>3.3451255971132669E-6</v>
      </c>
      <c r="G115" s="1158">
        <f>7.40706382217939E-06*($M$9/310)</f>
        <v>6.331844880250124E-6</v>
      </c>
      <c r="H115" s="1143">
        <f t="shared" si="14"/>
        <v>5.7701592451394126E-3</v>
      </c>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1140" t="s">
        <v>635</v>
      </c>
      <c r="C116" s="1111">
        <v>1590</v>
      </c>
      <c r="D116" s="1141">
        <v>0</v>
      </c>
      <c r="E116" s="1156">
        <v>0.37528548251736049</v>
      </c>
      <c r="F116" s="1142">
        <f>0.000301006816989325*($M$8/21)</f>
        <v>4.0134242265243335E-4</v>
      </c>
      <c r="G116" s="1158">
        <f>0.000888686793016103*($M$9/310)</f>
        <v>7.5968387144924928E-4</v>
      </c>
      <c r="H116" s="1143">
        <f t="shared" si="14"/>
        <v>0.37644650881146219</v>
      </c>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1140" t="s">
        <v>936</v>
      </c>
      <c r="C117" s="668">
        <v>0</v>
      </c>
      <c r="D117" s="1141">
        <v>0</v>
      </c>
      <c r="E117" s="1156">
        <v>0</v>
      </c>
      <c r="F117" s="1142">
        <v>0</v>
      </c>
      <c r="G117" s="1158">
        <v>0</v>
      </c>
      <c r="H117" s="1143">
        <f t="shared" si="14"/>
        <v>0</v>
      </c>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1140" t="s">
        <v>937</v>
      </c>
      <c r="C118" s="1111">
        <v>617</v>
      </c>
      <c r="D118" s="1141">
        <v>596</v>
      </c>
      <c r="E118" s="1156">
        <v>0.22386534557108512</v>
      </c>
      <c r="F118" s="1142">
        <f>2.68046979768962E-06*($M$8/21)</f>
        <v>3.5739597302528265E-6</v>
      </c>
      <c r="G118" s="1158">
        <f>7.91376797413124E-06*($M$9/310)</f>
        <v>6.7649952036928349E-6</v>
      </c>
      <c r="H118" s="1143">
        <f t="shared" si="14"/>
        <v>0.22387568452601905</v>
      </c>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1140" t="s">
        <v>938</v>
      </c>
      <c r="C119" s="668">
        <v>0</v>
      </c>
      <c r="D119" s="1141">
        <v>0</v>
      </c>
      <c r="E119" s="1156">
        <v>0</v>
      </c>
      <c r="F119" s="1142">
        <v>0</v>
      </c>
      <c r="G119" s="1158">
        <v>0</v>
      </c>
      <c r="H119" s="1143">
        <f t="shared" si="14"/>
        <v>0</v>
      </c>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1140" t="s">
        <v>939</v>
      </c>
      <c r="C120" s="1111">
        <v>120</v>
      </c>
      <c r="D120" s="1141">
        <v>120</v>
      </c>
      <c r="E120" s="1156">
        <v>7.3510720417274437E-3</v>
      </c>
      <c r="F120" s="1142">
        <v>0</v>
      </c>
      <c r="G120" s="1158">
        <v>0</v>
      </c>
      <c r="H120" s="1143">
        <f t="shared" si="14"/>
        <v>7.3510720417274437E-3</v>
      </c>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1140" t="s">
        <v>221</v>
      </c>
      <c r="C121" s="1111">
        <v>21808</v>
      </c>
      <c r="D121" s="1141">
        <v>688</v>
      </c>
      <c r="E121" s="1156">
        <v>1.2202052241509489</v>
      </c>
      <c r="F121" s="1142">
        <f>0.000449282361389517*($M$8/21)</f>
        <v>5.9904314851935594E-4</v>
      </c>
      <c r="G121" s="1158">
        <f>0.000663226343003573*($M$9/310)</f>
        <v>5.6695155127724792E-4</v>
      </c>
      <c r="H121" s="1143">
        <f t="shared" si="14"/>
        <v>1.2213712188507455</v>
      </c>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126" t="s">
        <v>739</v>
      </c>
      <c r="C122" s="668">
        <v>9240</v>
      </c>
      <c r="D122" s="1141" t="s">
        <v>944</v>
      </c>
      <c r="E122" s="1156">
        <v>0</v>
      </c>
      <c r="F122" s="1142">
        <f>0.00727752249943515*($M$8/21)</f>
        <v>9.7033633325801991E-3</v>
      </c>
      <c r="G122" s="1159">
        <f>0.0143240125385708*($M$9/310)</f>
        <v>1.2244720395875038E-2</v>
      </c>
      <c r="H122" s="1160">
        <f t="shared" si="14"/>
        <v>2.1948083728455237E-2</v>
      </c>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1140"/>
      <c r="C123" s="1145"/>
      <c r="D123" s="1145"/>
      <c r="E123" s="1145"/>
      <c r="F123" s="1161"/>
      <c r="G123" s="1162" t="s">
        <v>222</v>
      </c>
      <c r="H123" s="1163">
        <f>SUM(H100:H122)</f>
        <v>6.3707266334010413</v>
      </c>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1147"/>
      <c r="C124" s="1148"/>
      <c r="D124" s="1148"/>
      <c r="E124" s="1148"/>
      <c r="F124" s="1148"/>
      <c r="G124" s="1148"/>
      <c r="H124" s="1149"/>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52.5" customHeight="1" x14ac:dyDescent="0.25">
      <c r="A127" s="4"/>
      <c r="B127" s="2185" t="s">
        <v>901</v>
      </c>
      <c r="C127" s="2149"/>
      <c r="D127" s="2149"/>
      <c r="E127" s="2149"/>
      <c r="F127" s="2149"/>
      <c r="G127" s="2149"/>
      <c r="H127" s="2149"/>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UygB2bll4r00HvrP0f/bgzZFb5tTkSsPA+4eqkOVVOfdYmMBA6VCw4iS0b/GrAqYmJmY5+azWX9XC3EZQssa0w==" saltValue="xzqLfB3U4jdKnOLq0YzIdw==" spinCount="100000" sheet="1" objects="1" scenarios="1"/>
  <mergeCells count="3">
    <mergeCell ref="A2:J2"/>
    <mergeCell ref="L5:M5"/>
    <mergeCell ref="B127:H127"/>
  </mergeCell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6.83203125" defaultRowHeight="15" customHeight="1" x14ac:dyDescent="0.2"/>
  <cols>
    <col min="1" max="2" width="9.33203125" customWidth="1"/>
    <col min="3" max="3" width="34" customWidth="1"/>
    <col min="4" max="4" width="19.6640625" customWidth="1"/>
    <col min="5" max="5" width="3.83203125" customWidth="1"/>
    <col min="6" max="6" width="15.83203125" customWidth="1"/>
    <col min="7" max="7" width="3.83203125" customWidth="1"/>
    <col min="8" max="8" width="19.6640625" customWidth="1"/>
    <col min="9" max="9" width="3.83203125" customWidth="1"/>
    <col min="10" max="10" width="11.6640625" customWidth="1"/>
    <col min="11" max="11" width="9.33203125" customWidth="1"/>
    <col min="12" max="12" width="13.1640625" customWidth="1"/>
    <col min="13" max="13" width="9.33203125" customWidth="1"/>
    <col min="14" max="26" width="8" customWidth="1"/>
  </cols>
  <sheetData>
    <row r="1" spans="1:26" ht="22.5" customHeight="1" x14ac:dyDescent="0.45">
      <c r="A1" s="1" t="s">
        <v>955</v>
      </c>
      <c r="B1" s="4"/>
      <c r="C1" s="4"/>
      <c r="D1" s="4"/>
      <c r="E1" s="4"/>
      <c r="F1" s="4"/>
      <c r="G1" s="4"/>
      <c r="H1" s="4"/>
      <c r="I1" s="4"/>
      <c r="J1" s="4"/>
      <c r="K1" s="4"/>
      <c r="L1" s="3" t="s">
        <v>268</v>
      </c>
      <c r="M1" s="4"/>
      <c r="N1" s="4"/>
      <c r="O1" s="4"/>
      <c r="P1" s="4"/>
      <c r="Q1" s="4"/>
      <c r="R1" s="4"/>
      <c r="S1" s="4"/>
      <c r="T1" s="4"/>
      <c r="U1" s="4"/>
      <c r="V1" s="4"/>
      <c r="W1" s="4"/>
      <c r="X1" s="4"/>
      <c r="Y1" s="4"/>
      <c r="Z1" s="4"/>
    </row>
    <row r="2" spans="1:26" ht="229.5" customHeight="1" x14ac:dyDescent="0.25">
      <c r="A2" s="4"/>
      <c r="B2" s="1"/>
      <c r="C2" s="39"/>
      <c r="D2" s="39"/>
      <c r="E2" s="39"/>
      <c r="F2" s="39"/>
      <c r="G2" s="39"/>
      <c r="H2" s="39"/>
      <c r="I2" s="39"/>
      <c r="J2" s="39"/>
      <c r="K2" s="39"/>
      <c r="L2" s="39"/>
      <c r="M2" s="4"/>
      <c r="N2" s="4"/>
      <c r="O2" s="4"/>
      <c r="P2" s="4"/>
      <c r="Q2" s="4"/>
      <c r="R2" s="4"/>
      <c r="S2" s="4"/>
      <c r="T2" s="4"/>
      <c r="U2" s="4"/>
      <c r="V2" s="4"/>
      <c r="W2" s="4"/>
      <c r="X2" s="4"/>
      <c r="Y2" s="4"/>
      <c r="Z2" s="4"/>
    </row>
    <row r="3" spans="1:26" x14ac:dyDescent="0.25">
      <c r="A3" s="4"/>
      <c r="B3" s="4"/>
      <c r="C3" s="1164" t="s">
        <v>956</v>
      </c>
      <c r="D3" s="631"/>
      <c r="E3" s="631"/>
      <c r="F3" s="631"/>
      <c r="G3" s="631"/>
      <c r="H3" s="631"/>
      <c r="I3" s="631"/>
      <c r="J3" s="631"/>
      <c r="K3" s="631"/>
      <c r="L3" s="44"/>
      <c r="M3" s="4"/>
      <c r="N3" s="4"/>
      <c r="O3" s="4"/>
      <c r="P3" s="4"/>
      <c r="Q3" s="4"/>
      <c r="R3" s="4"/>
      <c r="S3" s="4"/>
      <c r="T3" s="4"/>
      <c r="U3" s="4"/>
      <c r="V3" s="4"/>
      <c r="W3" s="4"/>
      <c r="X3" s="4"/>
      <c r="Y3" s="4"/>
      <c r="Z3" s="4"/>
    </row>
    <row r="4" spans="1:26" ht="57.75" customHeight="1" x14ac:dyDescent="0.25">
      <c r="A4" s="4"/>
      <c r="B4" s="4"/>
      <c r="C4" s="47"/>
      <c r="D4" s="1165" t="s">
        <v>957</v>
      </c>
      <c r="E4" s="42"/>
      <c r="F4" s="933" t="s">
        <v>958</v>
      </c>
      <c r="G4" s="4"/>
      <c r="H4" s="933" t="s">
        <v>959</v>
      </c>
      <c r="I4" s="4"/>
      <c r="J4" s="933" t="s">
        <v>960</v>
      </c>
      <c r="K4" s="4"/>
      <c r="L4" s="48"/>
      <c r="M4" s="4"/>
      <c r="N4" s="4"/>
      <c r="O4" s="2146" t="s">
        <v>0</v>
      </c>
      <c r="P4" s="2147"/>
      <c r="Q4" s="4"/>
      <c r="R4" s="4"/>
      <c r="S4" s="4"/>
      <c r="T4" s="4"/>
      <c r="U4" s="4"/>
      <c r="V4" s="4"/>
      <c r="W4" s="4"/>
      <c r="X4" s="4"/>
      <c r="Y4" s="4"/>
      <c r="Z4" s="4"/>
    </row>
    <row r="5" spans="1:26" x14ac:dyDescent="0.25">
      <c r="A5" s="4"/>
      <c r="B5" s="4"/>
      <c r="C5" s="47" t="s">
        <v>961</v>
      </c>
      <c r="D5" s="232">
        <v>194556</v>
      </c>
      <c r="E5" s="1030" t="s">
        <v>835</v>
      </c>
      <c r="F5" s="1166">
        <v>0.44</v>
      </c>
      <c r="G5" s="1030" t="s">
        <v>836</v>
      </c>
      <c r="H5" s="232">
        <f t="shared" ref="H5:H7" si="0">J5*12/44</f>
        <v>23346.719999999998</v>
      </c>
      <c r="I5" s="1030" t="s">
        <v>836</v>
      </c>
      <c r="J5" s="232">
        <f t="shared" ref="J5:J7" si="1">IF(ISERROR(D5*F5),0,D5*F5)</f>
        <v>85604.64</v>
      </c>
      <c r="K5" s="4"/>
      <c r="L5" s="48"/>
      <c r="M5" s="4"/>
      <c r="N5" s="4"/>
      <c r="O5" s="120"/>
      <c r="P5" s="120"/>
      <c r="Q5" s="4"/>
      <c r="R5" s="4"/>
      <c r="S5" s="4"/>
      <c r="T5" s="4"/>
      <c r="U5" s="4"/>
      <c r="V5" s="4"/>
      <c r="W5" s="4"/>
      <c r="X5" s="4"/>
      <c r="Y5" s="4"/>
      <c r="Z5" s="4"/>
    </row>
    <row r="6" spans="1:26" x14ac:dyDescent="0.25">
      <c r="A6" s="4"/>
      <c r="B6" s="4"/>
      <c r="C6" s="47" t="s">
        <v>962</v>
      </c>
      <c r="D6" s="232">
        <v>0</v>
      </c>
      <c r="E6" s="1030" t="s">
        <v>835</v>
      </c>
      <c r="F6" s="1166">
        <v>0.48400000000000004</v>
      </c>
      <c r="G6" s="1030" t="s">
        <v>836</v>
      </c>
      <c r="H6" s="232">
        <f t="shared" si="0"/>
        <v>0</v>
      </c>
      <c r="I6" s="1030" t="s">
        <v>836</v>
      </c>
      <c r="J6" s="232">
        <f t="shared" si="1"/>
        <v>0</v>
      </c>
      <c r="K6" s="4"/>
      <c r="L6" s="48"/>
      <c r="M6" s="4"/>
      <c r="N6" s="4"/>
      <c r="O6" s="124" t="s">
        <v>4</v>
      </c>
      <c r="P6" s="125">
        <f>'Summ GHG Rpt Expanded'!G4</f>
        <v>1</v>
      </c>
      <c r="Q6" s="4"/>
      <c r="R6" s="4"/>
      <c r="S6" s="4"/>
      <c r="T6" s="4"/>
      <c r="U6" s="4"/>
      <c r="V6" s="4"/>
      <c r="W6" s="4"/>
      <c r="X6" s="4"/>
      <c r="Y6" s="4"/>
      <c r="Z6" s="4"/>
    </row>
    <row r="7" spans="1:26" x14ac:dyDescent="0.25">
      <c r="A7" s="4"/>
      <c r="B7" s="4"/>
      <c r="C7" s="47" t="s">
        <v>963</v>
      </c>
      <c r="D7" s="1167"/>
      <c r="E7" s="1030" t="s">
        <v>835</v>
      </c>
      <c r="F7" s="1166">
        <v>1.7966666666666669</v>
      </c>
      <c r="G7" s="1030" t="s">
        <v>836</v>
      </c>
      <c r="H7" s="232">
        <f t="shared" si="0"/>
        <v>0</v>
      </c>
      <c r="I7" s="1030" t="s">
        <v>836</v>
      </c>
      <c r="J7" s="232">
        <f t="shared" si="1"/>
        <v>0</v>
      </c>
      <c r="K7" s="4"/>
      <c r="L7" s="48"/>
      <c r="M7" s="4"/>
      <c r="N7" s="4"/>
      <c r="O7" s="124" t="s">
        <v>5</v>
      </c>
      <c r="P7" s="125">
        <f>'Summ GHG Rpt Expanded'!G5</f>
        <v>28</v>
      </c>
      <c r="Q7" s="4"/>
      <c r="R7" s="4"/>
      <c r="S7" s="4"/>
      <c r="T7" s="4"/>
      <c r="U7" s="4"/>
      <c r="V7" s="4"/>
      <c r="W7" s="4"/>
      <c r="X7" s="4"/>
      <c r="Y7" s="4"/>
      <c r="Z7" s="4"/>
    </row>
    <row r="8" spans="1:26" x14ac:dyDescent="0.25">
      <c r="A8" s="4"/>
      <c r="B8" s="1"/>
      <c r="C8" s="173"/>
      <c r="D8" s="39"/>
      <c r="E8" s="39"/>
      <c r="F8" s="39"/>
      <c r="G8" s="39"/>
      <c r="H8" s="39"/>
      <c r="I8" s="39"/>
      <c r="J8" s="39"/>
      <c r="K8" s="39"/>
      <c r="L8" s="174"/>
      <c r="M8" s="4"/>
      <c r="N8" s="4"/>
      <c r="O8" s="124" t="s">
        <v>6</v>
      </c>
      <c r="P8" s="125">
        <f>'Summ GHG Rpt Expanded'!G6</f>
        <v>265</v>
      </c>
      <c r="Q8" s="4"/>
      <c r="R8" s="4"/>
      <c r="S8" s="4"/>
      <c r="T8" s="4"/>
      <c r="U8" s="4"/>
      <c r="V8" s="4"/>
      <c r="W8" s="4"/>
      <c r="X8" s="4"/>
      <c r="Y8" s="4"/>
      <c r="Z8" s="4"/>
    </row>
    <row r="9" spans="1:26" x14ac:dyDescent="0.25">
      <c r="A9" s="4"/>
      <c r="B9" s="1"/>
      <c r="C9" s="215" t="s">
        <v>964</v>
      </c>
      <c r="D9" s="4"/>
      <c r="E9" s="4"/>
      <c r="F9" s="4"/>
      <c r="G9" s="4"/>
      <c r="H9" s="4"/>
      <c r="I9" s="4"/>
      <c r="J9" s="4"/>
      <c r="K9" s="4"/>
      <c r="L9" s="48"/>
      <c r="M9" s="4"/>
      <c r="N9" s="4"/>
      <c r="O9" s="124" t="s">
        <v>7</v>
      </c>
      <c r="P9" s="129">
        <f>'Summ GHG Rpt Expanded'!G7</f>
        <v>23500</v>
      </c>
      <c r="Q9" s="4"/>
      <c r="R9" s="4"/>
      <c r="S9" s="4"/>
      <c r="T9" s="4"/>
      <c r="U9" s="4"/>
      <c r="V9" s="4"/>
      <c r="W9" s="4"/>
      <c r="X9" s="4"/>
      <c r="Y9" s="4"/>
      <c r="Z9" s="4"/>
    </row>
    <row r="10" spans="1:26" ht="57.75" customHeight="1" x14ac:dyDescent="0.25">
      <c r="A10" s="4"/>
      <c r="B10" s="1"/>
      <c r="C10" s="47"/>
      <c r="D10" s="933" t="s">
        <v>965</v>
      </c>
      <c r="E10" s="42"/>
      <c r="F10" s="933" t="s">
        <v>966</v>
      </c>
      <c r="G10" s="4"/>
      <c r="H10" s="933" t="s">
        <v>959</v>
      </c>
      <c r="I10" s="4"/>
      <c r="J10" s="933" t="s">
        <v>967</v>
      </c>
      <c r="K10" s="4"/>
      <c r="L10" s="48"/>
      <c r="M10" s="4"/>
      <c r="N10" s="4"/>
      <c r="O10" s="124" t="s">
        <v>8</v>
      </c>
      <c r="P10" s="129">
        <f>'Summ GHG Rpt Expanded'!G8</f>
        <v>11100</v>
      </c>
      <c r="Q10" s="4"/>
      <c r="R10" s="4"/>
      <c r="S10" s="4"/>
      <c r="T10" s="4"/>
      <c r="U10" s="4"/>
      <c r="V10" s="4"/>
      <c r="W10" s="4"/>
      <c r="X10" s="4"/>
      <c r="Y10" s="4"/>
      <c r="Z10" s="4"/>
    </row>
    <row r="11" spans="1:26" x14ac:dyDescent="0.25">
      <c r="A11" s="4"/>
      <c r="B11" s="1"/>
      <c r="C11" s="47" t="s">
        <v>968</v>
      </c>
      <c r="D11" s="232">
        <v>0</v>
      </c>
      <c r="E11" s="1030" t="s">
        <v>835</v>
      </c>
      <c r="F11" s="1166">
        <v>9.74E-2</v>
      </c>
      <c r="G11" s="1030" t="s">
        <v>836</v>
      </c>
      <c r="H11" s="232">
        <f t="shared" ref="H11:H12" si="2">J11*12/44</f>
        <v>0</v>
      </c>
      <c r="I11" s="1030" t="s">
        <v>836</v>
      </c>
      <c r="J11" s="232">
        <f t="shared" ref="J11:J12" si="3">IF(ISERROR(D11*F11),0,D11*F11)</f>
        <v>0</v>
      </c>
      <c r="K11" s="4"/>
      <c r="L11" s="48"/>
      <c r="M11" s="4"/>
      <c r="N11" s="4"/>
      <c r="O11" s="4"/>
      <c r="P11" s="4"/>
      <c r="Q11" s="4"/>
      <c r="R11" s="4"/>
      <c r="S11" s="4"/>
      <c r="T11" s="4"/>
      <c r="U11" s="4"/>
      <c r="V11" s="4"/>
      <c r="W11" s="4"/>
      <c r="X11" s="4"/>
      <c r="Y11" s="4"/>
      <c r="Z11" s="4"/>
    </row>
    <row r="12" spans="1:26" x14ac:dyDescent="0.25">
      <c r="A12" s="4"/>
      <c r="B12" s="1"/>
      <c r="C12" s="47" t="s">
        <v>627</v>
      </c>
      <c r="D12" s="232">
        <v>97265.37</v>
      </c>
      <c r="E12" s="1030" t="s">
        <v>835</v>
      </c>
      <c r="F12" s="1166">
        <v>0.41499999999999998</v>
      </c>
      <c r="G12" s="1030" t="s">
        <v>836</v>
      </c>
      <c r="H12" s="232">
        <f t="shared" si="2"/>
        <v>11008.671422727271</v>
      </c>
      <c r="I12" s="1030" t="s">
        <v>836</v>
      </c>
      <c r="J12" s="232">
        <f t="shared" si="3"/>
        <v>40365.128549999994</v>
      </c>
      <c r="K12" s="4"/>
      <c r="L12" s="48"/>
      <c r="M12" s="4"/>
      <c r="N12" s="4"/>
      <c r="O12" s="4"/>
      <c r="P12" s="4"/>
      <c r="Q12" s="4"/>
      <c r="R12" s="4"/>
      <c r="S12" s="4"/>
      <c r="T12" s="4"/>
      <c r="U12" s="4"/>
      <c r="V12" s="4"/>
      <c r="W12" s="4"/>
      <c r="X12" s="4"/>
      <c r="Y12" s="4"/>
      <c r="Z12" s="4"/>
    </row>
    <row r="13" spans="1:26" x14ac:dyDescent="0.25">
      <c r="A13" s="4"/>
      <c r="B13" s="1"/>
      <c r="C13" s="173"/>
      <c r="D13" s="39"/>
      <c r="E13" s="39"/>
      <c r="F13" s="39"/>
      <c r="G13" s="39"/>
      <c r="H13" s="39"/>
      <c r="I13" s="39"/>
      <c r="J13" s="39"/>
      <c r="K13" s="39"/>
      <c r="L13" s="174"/>
      <c r="M13" s="4"/>
      <c r="N13" s="4"/>
      <c r="O13" s="4"/>
      <c r="P13" s="4"/>
      <c r="Q13" s="4"/>
      <c r="R13" s="4"/>
      <c r="S13" s="4"/>
      <c r="T13" s="4"/>
      <c r="U13" s="4"/>
      <c r="V13" s="4"/>
      <c r="W13" s="4"/>
      <c r="X13" s="4"/>
      <c r="Y13" s="4"/>
      <c r="Z13" s="4"/>
    </row>
    <row r="14" spans="1:26" x14ac:dyDescent="0.25">
      <c r="A14" s="4"/>
      <c r="B14" s="1"/>
      <c r="C14" s="215" t="s">
        <v>969</v>
      </c>
      <c r="D14" s="4"/>
      <c r="E14" s="4"/>
      <c r="F14" s="4"/>
      <c r="G14" s="4"/>
      <c r="H14" s="4"/>
      <c r="I14" s="4"/>
      <c r="J14" s="4"/>
      <c r="K14" s="4"/>
      <c r="L14" s="48"/>
      <c r="M14" s="4"/>
      <c r="N14" s="4"/>
      <c r="O14" s="4"/>
      <c r="P14" s="4"/>
      <c r="Q14" s="4"/>
      <c r="R14" s="4"/>
      <c r="S14" s="4"/>
      <c r="T14" s="4"/>
      <c r="U14" s="4"/>
      <c r="V14" s="4"/>
      <c r="W14" s="4"/>
      <c r="X14" s="4"/>
      <c r="Y14" s="4"/>
      <c r="Z14" s="4"/>
    </row>
    <row r="15" spans="1:26" ht="57.75" customHeight="1" x14ac:dyDescent="0.25">
      <c r="A15" s="4"/>
      <c r="B15" s="1"/>
      <c r="C15" s="47"/>
      <c r="D15" s="933" t="s">
        <v>970</v>
      </c>
      <c r="E15" s="42"/>
      <c r="F15" s="933" t="s">
        <v>971</v>
      </c>
      <c r="G15" s="4"/>
      <c r="H15" s="933" t="s">
        <v>972</v>
      </c>
      <c r="I15" s="4"/>
      <c r="J15" s="933" t="s">
        <v>959</v>
      </c>
      <c r="K15" s="4"/>
      <c r="L15" s="1168" t="s">
        <v>973</v>
      </c>
      <c r="M15" s="4"/>
      <c r="N15" s="4"/>
      <c r="O15" s="4"/>
      <c r="P15" s="4"/>
      <c r="Q15" s="4"/>
      <c r="R15" s="4"/>
      <c r="S15" s="4"/>
      <c r="T15" s="4"/>
      <c r="U15" s="4"/>
      <c r="V15" s="4"/>
      <c r="W15" s="4"/>
      <c r="X15" s="4"/>
      <c r="Y15" s="4"/>
      <c r="Z15" s="4"/>
    </row>
    <row r="16" spans="1:26" x14ac:dyDescent="0.25">
      <c r="A16" s="4"/>
      <c r="B16" s="1"/>
      <c r="C16" s="1169" t="s">
        <v>974</v>
      </c>
      <c r="D16" s="232">
        <v>0</v>
      </c>
      <c r="E16" s="1030" t="s">
        <v>835</v>
      </c>
      <c r="F16" s="1170">
        <v>1.2</v>
      </c>
      <c r="G16" s="1030" t="s">
        <v>855</v>
      </c>
      <c r="H16" s="232">
        <f>D17*F17</f>
        <v>951.18999999999994</v>
      </c>
      <c r="I16" s="1030" t="s">
        <v>856</v>
      </c>
      <c r="J16" s="232">
        <f t="shared" ref="J16:J17" si="4">L16*12/44</f>
        <v>0</v>
      </c>
      <c r="K16" s="1030" t="s">
        <v>836</v>
      </c>
      <c r="L16" s="787">
        <f>IF(D16&gt;0,D16*F16-(H16),0)</f>
        <v>0</v>
      </c>
      <c r="M16" s="4"/>
      <c r="N16" s="4"/>
      <c r="O16" s="4"/>
      <c r="P16" s="4"/>
      <c r="Q16" s="4"/>
      <c r="R16" s="4"/>
      <c r="S16" s="4"/>
      <c r="T16" s="4"/>
      <c r="U16" s="4"/>
      <c r="V16" s="4"/>
      <c r="W16" s="4"/>
      <c r="X16" s="4"/>
      <c r="Y16" s="4"/>
      <c r="Z16" s="4"/>
    </row>
    <row r="17" spans="1:26" x14ac:dyDescent="0.25">
      <c r="A17" s="4"/>
      <c r="B17" s="1"/>
      <c r="C17" s="1169" t="s">
        <v>975</v>
      </c>
      <c r="D17" s="232">
        <v>1303</v>
      </c>
      <c r="E17" s="1030"/>
      <c r="F17" s="253">
        <v>0.73</v>
      </c>
      <c r="G17" s="1030"/>
      <c r="H17" s="1030"/>
      <c r="I17" s="1030" t="s">
        <v>976</v>
      </c>
      <c r="J17" s="232">
        <f t="shared" si="4"/>
        <v>259.41545454545451</v>
      </c>
      <c r="K17" s="1030" t="s">
        <v>836</v>
      </c>
      <c r="L17" s="787">
        <f>D17*F17</f>
        <v>951.18999999999994</v>
      </c>
      <c r="M17" s="4"/>
      <c r="N17" s="4"/>
      <c r="O17" s="4"/>
      <c r="P17" s="4"/>
      <c r="Q17" s="4"/>
      <c r="R17" s="4"/>
      <c r="S17" s="4"/>
      <c r="T17" s="4"/>
      <c r="U17" s="4"/>
      <c r="V17" s="4"/>
      <c r="W17" s="4"/>
      <c r="X17" s="4"/>
      <c r="Y17" s="4"/>
      <c r="Z17" s="4"/>
    </row>
    <row r="18" spans="1:26" x14ac:dyDescent="0.25">
      <c r="A18" s="4"/>
      <c r="B18" s="1"/>
      <c r="C18" s="173"/>
      <c r="D18" s="39"/>
      <c r="E18" s="39"/>
      <c r="F18" s="39"/>
      <c r="G18" s="39"/>
      <c r="H18" s="39"/>
      <c r="I18" s="39"/>
      <c r="J18" s="39"/>
      <c r="K18" s="39"/>
      <c r="L18" s="174"/>
      <c r="M18" s="4"/>
      <c r="N18" s="4"/>
      <c r="O18" s="4"/>
      <c r="P18" s="4"/>
      <c r="Q18" s="4"/>
      <c r="R18" s="4"/>
      <c r="S18" s="4"/>
      <c r="T18" s="4"/>
      <c r="U18" s="4"/>
      <c r="V18" s="4"/>
      <c r="W18" s="4"/>
      <c r="X18" s="4"/>
      <c r="Y18" s="4"/>
      <c r="Z18" s="4"/>
    </row>
    <row r="19" spans="1:26" x14ac:dyDescent="0.25">
      <c r="A19" s="4"/>
      <c r="B19" s="1"/>
      <c r="C19" s="173"/>
      <c r="D19" s="39"/>
      <c r="E19" s="39"/>
      <c r="F19" s="39"/>
      <c r="G19" s="39"/>
      <c r="H19" s="39"/>
      <c r="I19" s="39"/>
      <c r="J19" s="39"/>
      <c r="K19" s="39"/>
      <c r="L19" s="174"/>
      <c r="M19" s="4"/>
      <c r="N19" s="4"/>
      <c r="O19" s="4"/>
      <c r="P19" s="4"/>
      <c r="Q19" s="4"/>
      <c r="R19" s="4"/>
      <c r="S19" s="4"/>
      <c r="T19" s="4"/>
      <c r="U19" s="4"/>
      <c r="V19" s="4"/>
      <c r="W19" s="4"/>
      <c r="X19" s="4"/>
      <c r="Y19" s="4"/>
      <c r="Z19" s="4"/>
    </row>
    <row r="20" spans="1:26" x14ac:dyDescent="0.25">
      <c r="A20" s="4"/>
      <c r="B20" s="1"/>
      <c r="C20" s="215" t="s">
        <v>977</v>
      </c>
      <c r="D20" s="4"/>
      <c r="E20" s="4"/>
      <c r="F20" s="4"/>
      <c r="G20" s="4"/>
      <c r="H20" s="4"/>
      <c r="I20" s="4"/>
      <c r="J20" s="4"/>
      <c r="K20" s="4"/>
      <c r="L20" s="48"/>
      <c r="M20" s="4"/>
      <c r="N20" s="4"/>
      <c r="O20" s="4"/>
      <c r="P20" s="4"/>
      <c r="Q20" s="4"/>
      <c r="R20" s="4"/>
      <c r="S20" s="4"/>
      <c r="T20" s="4"/>
      <c r="U20" s="4"/>
      <c r="V20" s="4"/>
      <c r="W20" s="4"/>
      <c r="X20" s="4"/>
      <c r="Y20" s="4"/>
      <c r="Z20" s="4"/>
    </row>
    <row r="21" spans="1:26" ht="47.25" customHeight="1" x14ac:dyDescent="0.25">
      <c r="A21" s="4"/>
      <c r="B21" s="1"/>
      <c r="C21" s="47"/>
      <c r="D21" s="933" t="s">
        <v>978</v>
      </c>
      <c r="E21" s="42"/>
      <c r="F21" s="933" t="s">
        <v>979</v>
      </c>
      <c r="G21" s="1100"/>
      <c r="H21" s="933" t="s">
        <v>980</v>
      </c>
      <c r="I21" s="4"/>
      <c r="J21" s="933" t="s">
        <v>981</v>
      </c>
      <c r="K21" s="4"/>
      <c r="L21" s="1168" t="s">
        <v>982</v>
      </c>
      <c r="M21" s="4"/>
      <c r="N21" s="4"/>
      <c r="O21" s="4"/>
      <c r="P21" s="4"/>
      <c r="Q21" s="4"/>
      <c r="R21" s="4"/>
      <c r="S21" s="4"/>
      <c r="T21" s="4"/>
      <c r="U21" s="4"/>
      <c r="V21" s="4"/>
      <c r="W21" s="4"/>
      <c r="X21" s="4"/>
      <c r="Y21" s="4"/>
      <c r="Z21" s="4"/>
    </row>
    <row r="22" spans="1:26" ht="15.75" customHeight="1" x14ac:dyDescent="0.25">
      <c r="A22" s="4"/>
      <c r="B22" s="1"/>
      <c r="C22" s="1171">
        <v>2011</v>
      </c>
      <c r="D22" s="232">
        <f>121.7*1000000</f>
        <v>121700000</v>
      </c>
      <c r="E22" s="1030" t="s">
        <v>835</v>
      </c>
      <c r="F22" s="232">
        <v>5828289</v>
      </c>
      <c r="G22" s="1030" t="s">
        <v>983</v>
      </c>
      <c r="H22" s="232">
        <v>311591917</v>
      </c>
      <c r="I22" s="1030" t="s">
        <v>836</v>
      </c>
      <c r="J22" s="232">
        <f>L22*12/44</f>
        <v>620831.92727539677</v>
      </c>
      <c r="K22" s="1030" t="s">
        <v>836</v>
      </c>
      <c r="L22" s="787">
        <f>D22*F22/H22</f>
        <v>2276383.7333431211</v>
      </c>
      <c r="M22" s="4"/>
      <c r="N22" s="4"/>
      <c r="O22" s="4"/>
      <c r="P22" s="4"/>
      <c r="Q22" s="4"/>
      <c r="R22" s="4"/>
      <c r="S22" s="4"/>
      <c r="T22" s="4"/>
      <c r="U22" s="4"/>
      <c r="V22" s="4"/>
      <c r="W22" s="4"/>
      <c r="X22" s="4"/>
      <c r="Y22" s="4"/>
      <c r="Z22" s="4"/>
    </row>
    <row r="23" spans="1:26" ht="15.75" customHeight="1" x14ac:dyDescent="0.25">
      <c r="A23" s="4"/>
      <c r="B23" s="1"/>
      <c r="C23" s="173"/>
      <c r="D23" s="39"/>
      <c r="E23" s="39"/>
      <c r="F23" s="39"/>
      <c r="G23" s="39"/>
      <c r="H23" s="39"/>
      <c r="I23" s="39"/>
      <c r="J23" s="39"/>
      <c r="K23" s="39"/>
      <c r="L23" s="174"/>
      <c r="M23" s="4"/>
      <c r="N23" s="4"/>
      <c r="O23" s="4"/>
      <c r="P23" s="4"/>
      <c r="Q23" s="4"/>
      <c r="R23" s="4"/>
      <c r="S23" s="4"/>
      <c r="T23" s="4"/>
      <c r="U23" s="4"/>
      <c r="V23" s="4"/>
      <c r="W23" s="4"/>
      <c r="X23" s="4"/>
      <c r="Y23" s="4"/>
      <c r="Z23" s="4"/>
    </row>
    <row r="24" spans="1:26" ht="15.75" customHeight="1" x14ac:dyDescent="0.25">
      <c r="A24" s="4"/>
      <c r="B24" s="1"/>
      <c r="C24" s="173"/>
      <c r="D24" s="39"/>
      <c r="E24" s="39"/>
      <c r="F24" s="39"/>
      <c r="G24" s="39"/>
      <c r="H24" s="39"/>
      <c r="I24" s="39"/>
      <c r="J24" s="39"/>
      <c r="K24" s="39"/>
      <c r="L24" s="174"/>
      <c r="M24" s="4"/>
      <c r="N24" s="4"/>
      <c r="O24" s="4"/>
      <c r="P24" s="4"/>
      <c r="Q24" s="4"/>
      <c r="R24" s="4"/>
      <c r="S24" s="4"/>
      <c r="T24" s="4"/>
      <c r="U24" s="4"/>
      <c r="V24" s="4"/>
      <c r="W24" s="4"/>
      <c r="X24" s="4"/>
      <c r="Y24" s="4"/>
      <c r="Z24" s="4"/>
    </row>
    <row r="25" spans="1:26" ht="15.75" customHeight="1" x14ac:dyDescent="0.25">
      <c r="A25" s="4"/>
      <c r="B25" s="1"/>
      <c r="C25" s="215" t="s">
        <v>984</v>
      </c>
      <c r="D25" s="4"/>
      <c r="E25" s="4"/>
      <c r="F25" s="4"/>
      <c r="G25" s="4"/>
      <c r="H25" s="4"/>
      <c r="I25" s="4"/>
      <c r="J25" s="4"/>
      <c r="K25" s="4"/>
      <c r="L25" s="48"/>
      <c r="M25" s="4"/>
      <c r="N25" s="4"/>
      <c r="O25" s="4"/>
      <c r="P25" s="4"/>
      <c r="Q25" s="4"/>
      <c r="R25" s="4"/>
      <c r="S25" s="4"/>
      <c r="T25" s="4"/>
      <c r="U25" s="4"/>
      <c r="V25" s="4"/>
      <c r="W25" s="4"/>
      <c r="X25" s="4"/>
      <c r="Y25" s="4"/>
      <c r="Z25" s="4"/>
    </row>
    <row r="26" spans="1:26" ht="57" customHeight="1" x14ac:dyDescent="0.25">
      <c r="A26" s="4"/>
      <c r="B26" s="1"/>
      <c r="C26" s="47"/>
      <c r="D26" s="1165" t="s">
        <v>985</v>
      </c>
      <c r="E26" s="1172"/>
      <c r="F26" s="1165" t="s">
        <v>986</v>
      </c>
      <c r="G26" s="1173"/>
      <c r="H26" s="1165" t="s">
        <v>987</v>
      </c>
      <c r="I26" s="1173"/>
      <c r="J26" s="1172" t="s">
        <v>628</v>
      </c>
      <c r="K26" s="1173"/>
      <c r="L26" s="1174" t="s">
        <v>988</v>
      </c>
      <c r="M26" s="4"/>
      <c r="N26" s="4"/>
      <c r="O26" s="4"/>
      <c r="P26" s="4"/>
      <c r="Q26" s="4"/>
      <c r="R26" s="4"/>
      <c r="S26" s="4"/>
      <c r="T26" s="4"/>
      <c r="U26" s="4"/>
      <c r="V26" s="4"/>
      <c r="W26" s="4"/>
      <c r="X26" s="4"/>
      <c r="Y26" s="4"/>
      <c r="Z26" s="4"/>
    </row>
    <row r="27" spans="1:26" ht="15.75" customHeight="1" x14ac:dyDescent="0.25">
      <c r="A27" s="4"/>
      <c r="B27" s="1"/>
      <c r="C27" s="1171">
        <v>2011</v>
      </c>
      <c r="D27" s="1167">
        <v>7</v>
      </c>
      <c r="E27" s="1030" t="s">
        <v>835</v>
      </c>
      <c r="F27" s="1170">
        <v>1</v>
      </c>
      <c r="G27" s="1030" t="s">
        <v>836</v>
      </c>
      <c r="H27" s="232">
        <f>IF(ISERROR(D27*F27),0,D27*F27)</f>
        <v>7</v>
      </c>
      <c r="I27" s="1030" t="s">
        <v>836</v>
      </c>
      <c r="J27" s="232">
        <f>H27*$P$9*12/44</f>
        <v>44863.63636363636</v>
      </c>
      <c r="K27" s="1030" t="s">
        <v>836</v>
      </c>
      <c r="L27" s="787">
        <f>J27/(12/44)</f>
        <v>164500</v>
      </c>
      <c r="M27" s="4"/>
      <c r="N27" s="4"/>
      <c r="O27" s="4"/>
      <c r="P27" s="4"/>
      <c r="Q27" s="4"/>
      <c r="R27" s="4"/>
      <c r="S27" s="4"/>
      <c r="T27" s="4"/>
      <c r="U27" s="4"/>
      <c r="V27" s="4"/>
      <c r="W27" s="4"/>
      <c r="X27" s="4"/>
      <c r="Y27" s="4"/>
      <c r="Z27" s="4"/>
    </row>
    <row r="28" spans="1:26" ht="15.75" customHeight="1" x14ac:dyDescent="0.25">
      <c r="A28" s="4"/>
      <c r="B28" s="1"/>
      <c r="C28" s="173"/>
      <c r="D28" s="39"/>
      <c r="E28" s="39"/>
      <c r="F28" s="39"/>
      <c r="G28" s="39"/>
      <c r="H28" s="39"/>
      <c r="I28" s="39"/>
      <c r="J28" s="39"/>
      <c r="K28" s="39"/>
      <c r="L28" s="174"/>
      <c r="M28" s="4"/>
      <c r="N28" s="4"/>
      <c r="O28" s="4"/>
      <c r="P28" s="4"/>
      <c r="Q28" s="4"/>
      <c r="R28" s="4"/>
      <c r="S28" s="4"/>
      <c r="T28" s="4"/>
      <c r="U28" s="4"/>
      <c r="V28" s="4"/>
      <c r="W28" s="4"/>
      <c r="X28" s="4"/>
      <c r="Y28" s="4"/>
      <c r="Z28" s="4"/>
    </row>
    <row r="29" spans="1:26" ht="15.75" customHeight="1" x14ac:dyDescent="0.25">
      <c r="A29" s="4"/>
      <c r="B29" s="1"/>
      <c r="C29" s="173"/>
      <c r="D29" s="39"/>
      <c r="E29" s="39"/>
      <c r="F29" s="39"/>
      <c r="G29" s="39"/>
      <c r="H29" s="39"/>
      <c r="I29" s="39"/>
      <c r="J29" s="39"/>
      <c r="K29" s="39"/>
      <c r="L29" s="174"/>
      <c r="M29" s="4"/>
      <c r="N29" s="4"/>
      <c r="O29" s="4"/>
      <c r="P29" s="4"/>
      <c r="Q29" s="4"/>
      <c r="R29" s="4"/>
      <c r="S29" s="4"/>
      <c r="T29" s="4"/>
      <c r="U29" s="4"/>
      <c r="V29" s="4"/>
      <c r="W29" s="4"/>
      <c r="X29" s="4"/>
      <c r="Y29" s="4"/>
      <c r="Z29" s="4"/>
    </row>
    <row r="30" spans="1:26" ht="15.75" customHeight="1" x14ac:dyDescent="0.25">
      <c r="A30" s="4"/>
      <c r="B30" s="1"/>
      <c r="C30" s="215" t="s">
        <v>989</v>
      </c>
      <c r="D30" s="4"/>
      <c r="E30" s="4"/>
      <c r="F30" s="4"/>
      <c r="G30" s="4"/>
      <c r="H30" s="4"/>
      <c r="I30" s="4"/>
      <c r="J30" s="4"/>
      <c r="K30" s="4"/>
      <c r="L30" s="48"/>
      <c r="M30" s="4"/>
      <c r="N30" s="4"/>
      <c r="O30" s="4"/>
      <c r="P30" s="4"/>
      <c r="Q30" s="4"/>
      <c r="R30" s="4"/>
      <c r="S30" s="4"/>
      <c r="T30" s="4"/>
      <c r="U30" s="4"/>
      <c r="V30" s="4"/>
      <c r="W30" s="4"/>
      <c r="X30" s="4"/>
      <c r="Y30" s="4"/>
      <c r="Z30" s="4"/>
    </row>
    <row r="31" spans="1:26" ht="60" customHeight="1" x14ac:dyDescent="0.25">
      <c r="A31" s="4"/>
      <c r="B31" s="1"/>
      <c r="C31" s="47"/>
      <c r="D31" s="1165" t="s">
        <v>990</v>
      </c>
      <c r="E31" s="1172"/>
      <c r="F31" s="1165" t="s">
        <v>991</v>
      </c>
      <c r="G31" s="1173"/>
      <c r="H31" s="4"/>
      <c r="I31" s="4"/>
      <c r="J31" s="1165" t="s">
        <v>959</v>
      </c>
      <c r="K31" s="1173"/>
      <c r="L31" s="1174" t="s">
        <v>992</v>
      </c>
      <c r="M31" s="4"/>
      <c r="N31" s="4"/>
      <c r="O31" s="4"/>
      <c r="P31" s="4"/>
      <c r="Q31" s="4"/>
      <c r="R31" s="4"/>
      <c r="S31" s="4"/>
      <c r="T31" s="4"/>
      <c r="U31" s="4"/>
      <c r="V31" s="4"/>
      <c r="W31" s="4"/>
      <c r="X31" s="4"/>
      <c r="Y31" s="4"/>
      <c r="Z31" s="4"/>
    </row>
    <row r="32" spans="1:26" ht="15.75" customHeight="1" x14ac:dyDescent="0.25">
      <c r="A32" s="4"/>
      <c r="B32" s="1"/>
      <c r="C32" s="1171">
        <v>2011</v>
      </c>
      <c r="D32" s="1167">
        <v>0</v>
      </c>
      <c r="E32" s="1030" t="s">
        <v>835</v>
      </c>
      <c r="F32" s="1166">
        <v>0.42545454545454542</v>
      </c>
      <c r="G32" s="1030" t="s">
        <v>836</v>
      </c>
      <c r="H32" s="4"/>
      <c r="I32" s="4"/>
      <c r="J32" s="232">
        <f>IF(ISERROR(D32*F32),0,D32*F32)</f>
        <v>0</v>
      </c>
      <c r="K32" s="1030" t="s">
        <v>836</v>
      </c>
      <c r="L32" s="787">
        <f>J32/(12/44)</f>
        <v>0</v>
      </c>
      <c r="M32" s="4"/>
      <c r="N32" s="4"/>
      <c r="O32" s="4"/>
      <c r="P32" s="4"/>
      <c r="Q32" s="4"/>
      <c r="R32" s="4"/>
      <c r="S32" s="4"/>
      <c r="T32" s="4"/>
      <c r="U32" s="4"/>
      <c r="V32" s="4"/>
      <c r="W32" s="4"/>
      <c r="X32" s="4"/>
      <c r="Y32" s="4"/>
      <c r="Z32" s="4"/>
    </row>
    <row r="33" spans="1:26" ht="15.75" customHeight="1" x14ac:dyDescent="0.25">
      <c r="A33" s="4"/>
      <c r="B33" s="1"/>
      <c r="C33" s="173"/>
      <c r="D33" s="39"/>
      <c r="E33" s="39"/>
      <c r="F33" s="39"/>
      <c r="G33" s="39"/>
      <c r="H33" s="39"/>
      <c r="I33" s="39"/>
      <c r="J33" s="39"/>
      <c r="K33" s="39"/>
      <c r="L33" s="174"/>
      <c r="M33" s="4"/>
      <c r="N33" s="4"/>
      <c r="O33" s="4"/>
      <c r="P33" s="4"/>
      <c r="Q33" s="4"/>
      <c r="R33" s="4"/>
      <c r="S33" s="4"/>
      <c r="T33" s="4"/>
      <c r="U33" s="4"/>
      <c r="V33" s="4"/>
      <c r="W33" s="4"/>
      <c r="X33" s="4"/>
      <c r="Y33" s="4"/>
      <c r="Z33" s="4"/>
    </row>
    <row r="34" spans="1:26" ht="15.75" customHeight="1" x14ac:dyDescent="0.25">
      <c r="A34" s="4"/>
      <c r="B34" s="1"/>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5">
      <c r="A35" s="4"/>
      <c r="B35" s="1"/>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5">
      <c r="A36" s="4"/>
      <c r="B36" s="1"/>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5">
      <c r="A37" s="4"/>
      <c r="B37" s="1"/>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5">
      <c r="A38" s="4"/>
      <c r="B38" s="1"/>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4"/>
      <c r="C39" s="1175"/>
      <c r="D39" s="1176">
        <v>2011</v>
      </c>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
      <c r="B40" s="4"/>
      <c r="C40" s="1177" t="s">
        <v>993</v>
      </c>
      <c r="D40" s="1178">
        <f>D41+D42+D43+D44+D45+D46</f>
        <v>126920.95855</v>
      </c>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
      <c r="B41" s="4"/>
      <c r="C41" s="1179" t="s">
        <v>994</v>
      </c>
      <c r="D41" s="1180">
        <v>0</v>
      </c>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1179" t="s">
        <v>995</v>
      </c>
      <c r="D42" s="1180">
        <v>0</v>
      </c>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1179" t="s">
        <v>956</v>
      </c>
      <c r="D43" s="1180">
        <f>J5</f>
        <v>85604.64</v>
      </c>
      <c r="E43" s="4"/>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
      <c r="B44" s="4"/>
      <c r="C44" s="1179" t="s">
        <v>996</v>
      </c>
      <c r="D44" s="1180">
        <f>J12</f>
        <v>40365.128549999994</v>
      </c>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
      <c r="C45" s="1179" t="s">
        <v>997</v>
      </c>
      <c r="D45" s="1180">
        <f>L17</f>
        <v>951.18999999999994</v>
      </c>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1179" t="s">
        <v>998</v>
      </c>
      <c r="D46" s="1180">
        <v>0</v>
      </c>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1181" t="s">
        <v>999</v>
      </c>
      <c r="D47" s="1182">
        <f>D48+D49</f>
        <v>0</v>
      </c>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4"/>
      <c r="C48" s="1179" t="s">
        <v>1000</v>
      </c>
      <c r="D48" s="1180">
        <v>0</v>
      </c>
      <c r="E48" s="4"/>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1179" t="s">
        <v>1001</v>
      </c>
      <c r="D49" s="1180">
        <v>0</v>
      </c>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1183" t="s">
        <v>1002</v>
      </c>
      <c r="D50" s="1184">
        <f>D51+D52+D53+D54+D55+D56</f>
        <v>2440883.7333431211</v>
      </c>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1179" t="s">
        <v>1003</v>
      </c>
      <c r="D51" s="1180">
        <f>L22</f>
        <v>2276383.7333431211</v>
      </c>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1179" t="s">
        <v>1004</v>
      </c>
      <c r="D52" s="1180">
        <v>0</v>
      </c>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1179" t="s">
        <v>1005</v>
      </c>
      <c r="D53" s="1180">
        <v>0</v>
      </c>
      <c r="E53" s="4"/>
      <c r="F53" s="4"/>
      <c r="G53" s="4"/>
      <c r="H53" s="4"/>
      <c r="I53" s="4"/>
      <c r="J53" s="4"/>
      <c r="K53" s="4"/>
      <c r="L53" s="4"/>
      <c r="M53" s="4"/>
      <c r="N53" s="4"/>
      <c r="O53" s="4"/>
      <c r="P53" s="4"/>
      <c r="Q53" s="4"/>
      <c r="R53" s="4"/>
      <c r="S53" s="4"/>
      <c r="T53" s="4"/>
      <c r="U53" s="4"/>
      <c r="V53" s="4"/>
      <c r="W53" s="4"/>
      <c r="X53" s="4"/>
      <c r="Y53" s="4"/>
      <c r="Z53" s="4"/>
    </row>
    <row r="54" spans="1:26" ht="30" customHeight="1" x14ac:dyDescent="0.25">
      <c r="A54" s="4"/>
      <c r="B54" s="4"/>
      <c r="C54" s="1185" t="s">
        <v>1006</v>
      </c>
      <c r="D54" s="1180">
        <f>L27</f>
        <v>164500</v>
      </c>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1179" t="s">
        <v>1007</v>
      </c>
      <c r="D55" s="1180">
        <v>0</v>
      </c>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1179" t="s">
        <v>1008</v>
      </c>
      <c r="D56" s="1180">
        <f>L32</f>
        <v>0</v>
      </c>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1186" t="s">
        <v>1009</v>
      </c>
      <c r="D57" s="1187">
        <f>D40+D47+D50</f>
        <v>2567804.6918931212</v>
      </c>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VELhjunL8a+Jy2e0GZBU5Y6R4dLod+JpNV9Zt3iI4RHjOpSRH0DEnSQFKcDI9D+THNBqqdK1SoH6sNjYpuMDag==" saltValue="WQMXXiQbr139eD4iwYvqpw==" spinCount="100000" sheet="1" objects="1" scenarios="1"/>
  <mergeCells count="1">
    <mergeCell ref="O4:P4"/>
  </mergeCells>
  <pageMargins left="0.7" right="0.7" top="0.75" bottom="0.75" header="0" footer="0"/>
  <pageSetup orientation="landscape"/>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6.83203125" defaultRowHeight="15" customHeight="1" x14ac:dyDescent="0.2"/>
  <cols>
    <col min="1" max="1" width="8.1640625" customWidth="1"/>
    <col min="2" max="2" width="9.6640625" customWidth="1"/>
    <col min="3" max="3" width="59.1640625" customWidth="1"/>
    <col min="4" max="4" width="18.6640625" customWidth="1"/>
    <col min="5" max="5" width="12.33203125" customWidth="1"/>
    <col min="6" max="6" width="17.83203125" customWidth="1"/>
    <col min="7" max="7" width="18.5" customWidth="1"/>
    <col min="8" max="8" width="16.5" customWidth="1"/>
    <col min="9" max="9" width="19" customWidth="1"/>
    <col min="10" max="26" width="8" customWidth="1"/>
  </cols>
  <sheetData>
    <row r="1" spans="1:26" x14ac:dyDescent="0.25">
      <c r="A1" s="4" t="s">
        <v>1010</v>
      </c>
      <c r="B1" s="260"/>
      <c r="C1" s="4"/>
      <c r="D1" s="3" t="s">
        <v>268</v>
      </c>
      <c r="E1" s="4"/>
      <c r="F1" s="4"/>
      <c r="G1" s="4"/>
      <c r="H1" s="4"/>
      <c r="I1" s="4"/>
      <c r="J1" s="4"/>
      <c r="K1" s="4"/>
      <c r="L1" s="4"/>
      <c r="M1" s="4"/>
      <c r="N1" s="4"/>
      <c r="O1" s="4"/>
      <c r="P1" s="4"/>
      <c r="Q1" s="4"/>
      <c r="R1" s="4"/>
      <c r="S1" s="4"/>
      <c r="T1" s="4"/>
      <c r="U1" s="4"/>
      <c r="V1" s="4"/>
      <c r="W1" s="4"/>
      <c r="X1" s="4"/>
      <c r="Y1" s="4"/>
      <c r="Z1" s="4"/>
    </row>
    <row r="2" spans="1:26" ht="80.25" customHeight="1" x14ac:dyDescent="0.25">
      <c r="A2" s="4"/>
      <c r="B2" s="4"/>
      <c r="C2" s="4"/>
      <c r="D2" s="4"/>
      <c r="E2" s="4"/>
      <c r="F2" s="4"/>
      <c r="G2" s="4"/>
      <c r="H2" s="4"/>
      <c r="I2" s="4"/>
      <c r="J2" s="4"/>
      <c r="K2" s="4"/>
      <c r="L2" s="4"/>
      <c r="M2" s="4"/>
      <c r="N2" s="4"/>
      <c r="O2" s="4"/>
      <c r="P2" s="4"/>
      <c r="Q2" s="4"/>
      <c r="R2" s="4"/>
      <c r="S2" s="4"/>
      <c r="T2" s="4"/>
      <c r="U2" s="4"/>
      <c r="V2" s="4"/>
      <c r="W2" s="4"/>
      <c r="X2" s="4"/>
      <c r="Y2" s="4"/>
      <c r="Z2" s="4"/>
    </row>
    <row r="3" spans="1:26" x14ac:dyDescent="0.25">
      <c r="A3" s="4"/>
      <c r="B3" s="4"/>
      <c r="C3" s="4"/>
      <c r="D3" s="4" t="s">
        <v>1011</v>
      </c>
      <c r="E3" s="4"/>
      <c r="F3" s="4"/>
      <c r="G3" s="4"/>
      <c r="H3" s="4"/>
      <c r="I3" s="4"/>
      <c r="J3" s="4"/>
      <c r="K3" s="4"/>
      <c r="L3" s="4"/>
      <c r="M3" s="4"/>
      <c r="N3" s="4"/>
      <c r="O3" s="4"/>
      <c r="P3" s="4"/>
      <c r="Q3" s="4"/>
      <c r="R3" s="4"/>
      <c r="S3" s="4"/>
      <c r="T3" s="4"/>
      <c r="U3" s="4"/>
      <c r="V3" s="4"/>
      <c r="W3" s="4"/>
      <c r="X3" s="4"/>
      <c r="Y3" s="4"/>
      <c r="Z3" s="4"/>
    </row>
    <row r="4" spans="1:26" ht="7.5" customHeight="1" x14ac:dyDescent="0.25">
      <c r="A4" s="4"/>
      <c r="B4" s="4"/>
      <c r="C4" s="4"/>
      <c r="D4" s="4"/>
      <c r="E4" s="4"/>
      <c r="F4" s="4"/>
      <c r="G4" s="4"/>
      <c r="H4" s="4"/>
      <c r="I4" s="4"/>
      <c r="J4" s="4"/>
      <c r="K4" s="4"/>
      <c r="L4" s="4"/>
      <c r="M4" s="4"/>
      <c r="N4" s="4"/>
      <c r="O4" s="4"/>
      <c r="P4" s="4"/>
      <c r="Q4" s="4"/>
      <c r="R4" s="4"/>
      <c r="S4" s="4"/>
      <c r="T4" s="4"/>
      <c r="U4" s="4"/>
      <c r="V4" s="4"/>
      <c r="W4" s="4"/>
      <c r="X4" s="4"/>
      <c r="Y4" s="4"/>
      <c r="Z4" s="4"/>
    </row>
    <row r="5" spans="1:26" ht="7.5" customHeight="1" x14ac:dyDescent="0.25">
      <c r="A5" s="4"/>
      <c r="B5" s="4"/>
      <c r="C5" s="4"/>
      <c r="D5" s="4"/>
      <c r="E5" s="4"/>
      <c r="F5" s="4"/>
      <c r="G5" s="4"/>
      <c r="H5" s="4"/>
      <c r="I5" s="4"/>
      <c r="J5" s="4"/>
      <c r="K5" s="4"/>
      <c r="L5" s="4"/>
      <c r="M5" s="4"/>
      <c r="N5" s="4"/>
      <c r="O5" s="4"/>
      <c r="P5" s="4"/>
      <c r="Q5" s="4"/>
      <c r="R5" s="4"/>
      <c r="S5" s="4"/>
      <c r="T5" s="4"/>
      <c r="U5" s="4"/>
      <c r="V5" s="4"/>
      <c r="W5" s="4"/>
      <c r="X5" s="4"/>
      <c r="Y5" s="4"/>
      <c r="Z5" s="4"/>
    </row>
    <row r="6" spans="1:26" x14ac:dyDescent="0.25">
      <c r="A6" s="4"/>
      <c r="B6" s="4"/>
      <c r="C6" s="676"/>
      <c r="D6" s="1188"/>
      <c r="E6" s="1188"/>
      <c r="F6" s="1188" t="s">
        <v>1012</v>
      </c>
      <c r="G6" s="1188"/>
      <c r="H6" s="1188"/>
      <c r="I6" s="1189"/>
      <c r="J6" s="4"/>
      <c r="K6" s="4"/>
      <c r="L6" s="4"/>
      <c r="M6" s="4"/>
      <c r="N6" s="4"/>
      <c r="O6" s="4"/>
      <c r="P6" s="4"/>
      <c r="Q6" s="4"/>
      <c r="R6" s="4"/>
      <c r="S6" s="4"/>
      <c r="T6" s="4"/>
      <c r="U6" s="4"/>
      <c r="V6" s="4"/>
      <c r="W6" s="4"/>
      <c r="X6" s="4"/>
      <c r="Y6" s="4"/>
      <c r="Z6" s="4"/>
    </row>
    <row r="7" spans="1:26" ht="37.5" customHeight="1" x14ac:dyDescent="0.25">
      <c r="A7" s="4"/>
      <c r="B7" s="4"/>
      <c r="C7" s="1190"/>
      <c r="D7" s="1191" t="s">
        <v>627</v>
      </c>
      <c r="E7" s="1191" t="s">
        <v>657</v>
      </c>
      <c r="F7" s="1191"/>
      <c r="G7" s="1191" t="s">
        <v>1013</v>
      </c>
      <c r="H7" s="1191" t="s">
        <v>1014</v>
      </c>
      <c r="I7" s="1192" t="s">
        <v>1015</v>
      </c>
      <c r="J7" s="4"/>
      <c r="K7" s="4"/>
      <c r="L7" s="4"/>
      <c r="M7" s="4"/>
      <c r="N7" s="4"/>
      <c r="O7" s="4"/>
      <c r="P7" s="4"/>
      <c r="Q7" s="4"/>
      <c r="R7" s="4"/>
      <c r="S7" s="4"/>
      <c r="T7" s="4"/>
      <c r="U7" s="4"/>
      <c r="V7" s="4"/>
      <c r="W7" s="4"/>
      <c r="X7" s="4"/>
      <c r="Y7" s="4"/>
      <c r="Z7" s="4"/>
    </row>
    <row r="8" spans="1:26" x14ac:dyDescent="0.25">
      <c r="A8" s="4"/>
      <c r="B8" s="1" t="s">
        <v>1016</v>
      </c>
      <c r="C8" s="1193" t="s">
        <v>1017</v>
      </c>
      <c r="D8" s="1194"/>
      <c r="E8" s="1194"/>
      <c r="F8" s="1194"/>
      <c r="G8" s="1194"/>
      <c r="H8" s="1194"/>
      <c r="I8" s="1195"/>
      <c r="J8" s="4"/>
      <c r="K8" s="4"/>
      <c r="L8" s="4"/>
      <c r="M8" s="4"/>
      <c r="N8" s="4"/>
      <c r="O8" s="4"/>
      <c r="P8" s="4"/>
      <c r="Q8" s="4"/>
      <c r="R8" s="4"/>
      <c r="S8" s="4"/>
      <c r="T8" s="4"/>
      <c r="U8" s="4"/>
      <c r="V8" s="4"/>
      <c r="W8" s="4"/>
      <c r="X8" s="4"/>
      <c r="Y8" s="4"/>
      <c r="Z8" s="4"/>
    </row>
    <row r="9" spans="1:26" ht="30" customHeight="1" x14ac:dyDescent="0.25">
      <c r="A9" s="4"/>
      <c r="B9" s="4"/>
      <c r="C9" s="1196" t="s">
        <v>1018</v>
      </c>
      <c r="D9" s="1197">
        <v>247834</v>
      </c>
      <c r="E9" s="1198" t="s">
        <v>1019</v>
      </c>
      <c r="F9" s="1199"/>
      <c r="G9" s="1197">
        <v>417125.79074384988</v>
      </c>
      <c r="H9" s="1200">
        <v>47.554269301299257</v>
      </c>
      <c r="I9" s="1201">
        <v>6.9169846256435292</v>
      </c>
      <c r="J9" s="4"/>
      <c r="K9" s="4"/>
      <c r="L9" s="4"/>
      <c r="M9" s="4"/>
      <c r="N9" s="4"/>
      <c r="O9" s="4"/>
      <c r="P9" s="4"/>
      <c r="Q9" s="4"/>
      <c r="R9" s="4"/>
      <c r="S9" s="4"/>
      <c r="T9" s="4"/>
      <c r="U9" s="4"/>
      <c r="V9" s="4"/>
      <c r="W9" s="4"/>
      <c r="X9" s="4"/>
      <c r="Y9" s="4"/>
      <c r="Z9" s="4"/>
    </row>
    <row r="10" spans="1:26" x14ac:dyDescent="0.25">
      <c r="A10" s="4"/>
      <c r="B10" s="4"/>
      <c r="C10" s="1196"/>
      <c r="D10" s="1197"/>
      <c r="E10" s="1197"/>
      <c r="F10" s="1200"/>
      <c r="G10" s="1197"/>
      <c r="H10" s="1199"/>
      <c r="I10" s="1202"/>
      <c r="J10" s="4"/>
      <c r="K10" s="4"/>
      <c r="L10" s="4"/>
      <c r="M10" s="4"/>
      <c r="N10" s="4"/>
      <c r="O10" s="4"/>
      <c r="P10" s="4"/>
      <c r="Q10" s="4"/>
      <c r="R10" s="4"/>
      <c r="S10" s="4"/>
      <c r="T10" s="4"/>
      <c r="U10" s="4"/>
      <c r="V10" s="4"/>
      <c r="W10" s="4"/>
      <c r="X10" s="4"/>
      <c r="Y10" s="4"/>
      <c r="Z10" s="4"/>
    </row>
    <row r="11" spans="1:26" ht="30" customHeight="1" x14ac:dyDescent="0.25">
      <c r="A11" s="4"/>
      <c r="B11" s="4"/>
      <c r="C11" s="1185" t="s">
        <v>1020</v>
      </c>
      <c r="D11" s="1197">
        <v>17516</v>
      </c>
      <c r="E11" s="1198" t="s">
        <v>1019</v>
      </c>
      <c r="F11" s="1203">
        <v>6.5000000000000002E-2</v>
      </c>
      <c r="G11" s="1204">
        <f>G19*F11</f>
        <v>76644.36</v>
      </c>
      <c r="H11" s="1205">
        <v>0.68406440806094526</v>
      </c>
      <c r="I11" s="1206">
        <v>0.8978345355799906</v>
      </c>
      <c r="J11" s="4"/>
      <c r="K11" s="4"/>
      <c r="L11" s="4"/>
      <c r="M11" s="4"/>
      <c r="N11" s="4"/>
      <c r="O11" s="4"/>
      <c r="P11" s="4"/>
      <c r="Q11" s="4"/>
      <c r="R11" s="4"/>
      <c r="S11" s="4"/>
      <c r="T11" s="4"/>
      <c r="U11" s="4"/>
      <c r="V11" s="4"/>
      <c r="W11" s="4"/>
      <c r="X11" s="4"/>
      <c r="Y11" s="4"/>
      <c r="Z11" s="4"/>
    </row>
    <row r="12" spans="1:26" x14ac:dyDescent="0.25">
      <c r="A12" s="4"/>
      <c r="B12" s="4"/>
      <c r="C12" s="1196"/>
      <c r="D12" s="1197"/>
      <c r="E12" s="1197"/>
      <c r="F12" s="1200"/>
      <c r="G12" s="1197"/>
      <c r="H12" s="1199"/>
      <c r="I12" s="1202"/>
      <c r="J12" s="4"/>
      <c r="K12" s="4"/>
      <c r="L12" s="4"/>
      <c r="M12" s="4"/>
      <c r="N12" s="4"/>
      <c r="O12" s="4"/>
      <c r="P12" s="4"/>
      <c r="Q12" s="4"/>
      <c r="R12" s="4"/>
      <c r="S12" s="4"/>
      <c r="T12" s="4"/>
      <c r="U12" s="4"/>
      <c r="V12" s="4"/>
      <c r="W12" s="4"/>
      <c r="X12" s="4"/>
      <c r="Y12" s="4"/>
      <c r="Z12" s="4"/>
    </row>
    <row r="13" spans="1:26" x14ac:dyDescent="0.25">
      <c r="A13" s="4"/>
      <c r="B13" s="4"/>
      <c r="C13" s="1196" t="s">
        <v>1021</v>
      </c>
      <c r="D13" s="1197">
        <v>518485.06</v>
      </c>
      <c r="E13" s="1197" t="s">
        <v>1022</v>
      </c>
      <c r="F13" s="1199"/>
      <c r="G13" s="1197">
        <v>4778.3350808639998</v>
      </c>
      <c r="H13" s="1207">
        <v>0.21465281484000007</v>
      </c>
      <c r="I13" s="1201">
        <v>4.2930562967999998E-2</v>
      </c>
      <c r="J13" s="4"/>
      <c r="K13" s="4"/>
      <c r="L13" s="4"/>
      <c r="M13" s="4"/>
      <c r="N13" s="4"/>
      <c r="O13" s="4"/>
      <c r="P13" s="4"/>
      <c r="Q13" s="4"/>
      <c r="R13" s="4"/>
      <c r="S13" s="4"/>
      <c r="T13" s="4"/>
      <c r="U13" s="4"/>
      <c r="V13" s="4"/>
      <c r="W13" s="4"/>
      <c r="X13" s="4"/>
      <c r="Y13" s="4"/>
      <c r="Z13" s="4"/>
    </row>
    <row r="14" spans="1:26" x14ac:dyDescent="0.25">
      <c r="A14" s="4"/>
      <c r="B14" s="4"/>
      <c r="C14" s="1196"/>
      <c r="D14" s="1197"/>
      <c r="E14" s="1197"/>
      <c r="F14" s="1199"/>
      <c r="G14" s="1208"/>
      <c r="H14" s="1208"/>
      <c r="I14" s="1209"/>
      <c r="J14" s="4"/>
      <c r="K14" s="4"/>
      <c r="L14" s="4"/>
      <c r="M14" s="4"/>
      <c r="N14" s="4"/>
      <c r="O14" s="4"/>
      <c r="P14" s="4"/>
      <c r="Q14" s="4"/>
      <c r="R14" s="4"/>
      <c r="S14" s="4"/>
      <c r="T14" s="4"/>
      <c r="U14" s="4"/>
      <c r="V14" s="4"/>
      <c r="W14" s="4"/>
      <c r="X14" s="4"/>
      <c r="Y14" s="4"/>
      <c r="Z14" s="4"/>
    </row>
    <row r="15" spans="1:26" ht="30" customHeight="1" x14ac:dyDescent="0.25">
      <c r="A15" s="4"/>
      <c r="B15" s="4"/>
      <c r="C15" s="1196" t="s">
        <v>1023</v>
      </c>
      <c r="D15" s="1197">
        <v>208096</v>
      </c>
      <c r="E15" s="1197" t="s">
        <v>1024</v>
      </c>
      <c r="F15" s="1199"/>
      <c r="G15" s="232">
        <v>33967.650235176814</v>
      </c>
      <c r="H15" s="1200">
        <v>3.8376439719045288</v>
      </c>
      <c r="I15" s="1201">
        <v>0.55820275954974974</v>
      </c>
      <c r="J15" s="4"/>
      <c r="K15" s="4"/>
      <c r="L15" s="4"/>
      <c r="M15" s="4"/>
      <c r="N15" s="4"/>
      <c r="O15" s="4"/>
      <c r="P15" s="4"/>
      <c r="Q15" s="4"/>
      <c r="R15" s="4"/>
      <c r="S15" s="4"/>
      <c r="T15" s="4"/>
      <c r="U15" s="4"/>
      <c r="V15" s="4"/>
      <c r="W15" s="4"/>
      <c r="X15" s="4"/>
      <c r="Y15" s="4"/>
      <c r="Z15" s="4"/>
    </row>
    <row r="16" spans="1:26" x14ac:dyDescent="0.25">
      <c r="A16" s="4"/>
      <c r="B16" s="4"/>
      <c r="C16" s="1210"/>
      <c r="D16" s="1211"/>
      <c r="E16" s="1211"/>
      <c r="F16" s="1212"/>
      <c r="G16" s="821"/>
      <c r="H16" s="1213"/>
      <c r="I16" s="1214"/>
      <c r="J16" s="4"/>
      <c r="K16" s="4"/>
      <c r="L16" s="4"/>
      <c r="M16" s="4"/>
      <c r="N16" s="4"/>
      <c r="O16" s="4"/>
      <c r="P16" s="4"/>
      <c r="Q16" s="4"/>
      <c r="R16" s="4"/>
      <c r="S16" s="4"/>
      <c r="T16" s="4"/>
      <c r="U16" s="4"/>
      <c r="V16" s="4"/>
      <c r="W16" s="4"/>
      <c r="X16" s="4"/>
      <c r="Y16" s="4"/>
      <c r="Z16" s="4"/>
    </row>
    <row r="17" spans="1:26" x14ac:dyDescent="0.25">
      <c r="A17" s="4"/>
      <c r="B17" s="4"/>
      <c r="C17" s="1215" t="s">
        <v>1025</v>
      </c>
      <c r="D17" s="1216"/>
      <c r="E17" s="1216"/>
      <c r="F17" s="1217"/>
      <c r="G17" s="1218">
        <f t="shared" ref="G17:I17" si="0">G9+G11+G13+G15</f>
        <v>532516.13605989073</v>
      </c>
      <c r="H17" s="1219">
        <f t="shared" si="0"/>
        <v>52.290630496104733</v>
      </c>
      <c r="I17" s="1220">
        <f t="shared" si="0"/>
        <v>8.41595248374127</v>
      </c>
      <c r="J17" s="4"/>
      <c r="K17" s="4"/>
      <c r="L17" s="4"/>
      <c r="M17" s="4"/>
      <c r="N17" s="4"/>
      <c r="O17" s="4"/>
      <c r="P17" s="4"/>
      <c r="Q17" s="4"/>
      <c r="R17" s="4"/>
      <c r="S17" s="4"/>
      <c r="T17" s="4"/>
      <c r="U17" s="4"/>
      <c r="V17" s="4"/>
      <c r="W17" s="4"/>
      <c r="X17" s="4"/>
      <c r="Y17" s="4"/>
      <c r="Z17" s="4"/>
    </row>
    <row r="18" spans="1:26" x14ac:dyDescent="0.25">
      <c r="A18" s="4"/>
      <c r="B18" s="4"/>
      <c r="C18" s="1221"/>
      <c r="D18" s="1222"/>
      <c r="E18" s="1222"/>
      <c r="F18" s="1223"/>
      <c r="G18" s="279"/>
      <c r="H18" s="1224"/>
      <c r="I18" s="1225"/>
      <c r="J18" s="4"/>
      <c r="K18" s="4"/>
      <c r="L18" s="4"/>
      <c r="M18" s="4"/>
      <c r="N18" s="4"/>
      <c r="O18" s="4"/>
      <c r="P18" s="4"/>
      <c r="Q18" s="4"/>
      <c r="R18" s="4"/>
      <c r="S18" s="4"/>
      <c r="T18" s="4"/>
      <c r="U18" s="4"/>
      <c r="V18" s="4"/>
      <c r="W18" s="4"/>
      <c r="X18" s="4"/>
      <c r="Y18" s="4"/>
      <c r="Z18" s="4"/>
    </row>
    <row r="19" spans="1:26" x14ac:dyDescent="0.25">
      <c r="A19" s="4"/>
      <c r="B19" s="4"/>
      <c r="C19" s="1226" t="s">
        <v>1026</v>
      </c>
      <c r="D19" s="1227"/>
      <c r="E19" s="1227"/>
      <c r="F19" s="1228"/>
      <c r="G19" s="1229">
        <v>1179144</v>
      </c>
      <c r="H19" s="1230">
        <f t="shared" ref="H19:I19" si="1">H17</f>
        <v>52.290630496104733</v>
      </c>
      <c r="I19" s="1231">
        <f t="shared" si="1"/>
        <v>8.41595248374127</v>
      </c>
      <c r="J19" s="4"/>
      <c r="K19" s="4"/>
      <c r="L19" s="4"/>
      <c r="M19" s="4"/>
      <c r="N19" s="4"/>
      <c r="O19" s="4"/>
      <c r="P19" s="4"/>
      <c r="Q19" s="4"/>
      <c r="R19" s="4"/>
      <c r="S19" s="4"/>
      <c r="T19" s="4"/>
      <c r="U19" s="4"/>
      <c r="V19" s="4"/>
      <c r="W19" s="4"/>
      <c r="X19" s="4"/>
      <c r="Y19" s="4"/>
      <c r="Z19" s="4"/>
    </row>
    <row r="20" spans="1:26" x14ac:dyDescent="0.25">
      <c r="A20" s="4"/>
      <c r="B20" s="4"/>
      <c r="C20" s="1221"/>
      <c r="D20" s="1222"/>
      <c r="E20" s="1222"/>
      <c r="F20" s="1223"/>
      <c r="G20" s="1232"/>
      <c r="H20" s="1232"/>
      <c r="I20" s="1233"/>
      <c r="J20" s="4"/>
      <c r="K20" s="4"/>
      <c r="L20" s="4"/>
      <c r="M20" s="4"/>
      <c r="N20" s="4"/>
      <c r="O20" s="4"/>
      <c r="P20" s="4"/>
      <c r="Q20" s="4"/>
      <c r="R20" s="4"/>
      <c r="S20" s="4"/>
      <c r="T20" s="4"/>
      <c r="U20" s="4"/>
      <c r="V20" s="4"/>
      <c r="W20" s="4"/>
      <c r="X20" s="4"/>
      <c r="Y20" s="4"/>
      <c r="Z20" s="4"/>
    </row>
    <row r="21" spans="1:26" ht="15.75" customHeight="1" x14ac:dyDescent="0.25">
      <c r="A21" s="4"/>
      <c r="B21" s="4"/>
      <c r="C21" s="1234" t="s">
        <v>1027</v>
      </c>
      <c r="D21" s="1235"/>
      <c r="E21" s="1235"/>
      <c r="F21" s="1236"/>
      <c r="G21" s="1235">
        <f>G19-G17</f>
        <v>646627.86394010927</v>
      </c>
      <c r="H21" s="1237"/>
      <c r="I21" s="1238"/>
      <c r="J21" s="4"/>
      <c r="K21" s="4"/>
      <c r="L21" s="4"/>
      <c r="M21" s="4"/>
      <c r="N21" s="4"/>
      <c r="O21" s="4"/>
      <c r="P21" s="4"/>
      <c r="Q21" s="4"/>
      <c r="R21" s="4"/>
      <c r="S21" s="4"/>
      <c r="T21" s="4"/>
      <c r="U21" s="4"/>
      <c r="V21" s="4"/>
      <c r="W21" s="4"/>
      <c r="X21" s="4"/>
      <c r="Y21" s="4"/>
      <c r="Z21" s="4"/>
    </row>
    <row r="22" spans="1:26" ht="15.75" customHeight="1" x14ac:dyDescent="0.25">
      <c r="A22" s="4"/>
      <c r="B22" s="4"/>
      <c r="C22" s="1239"/>
      <c r="D22" s="1240"/>
      <c r="E22" s="1240"/>
      <c r="F22" s="1241"/>
      <c r="G22" s="1240"/>
      <c r="H22" s="1242"/>
      <c r="I22" s="1243"/>
      <c r="J22" s="4"/>
      <c r="K22" s="4"/>
      <c r="L22" s="4"/>
      <c r="M22" s="4"/>
      <c r="N22" s="4"/>
      <c r="O22" s="4"/>
      <c r="P22" s="4"/>
      <c r="Q22" s="4"/>
      <c r="R22" s="4"/>
      <c r="S22" s="4"/>
      <c r="T22" s="4"/>
      <c r="U22" s="4"/>
      <c r="V22" s="4"/>
      <c r="W22" s="4"/>
      <c r="X22" s="4"/>
      <c r="Y22" s="4"/>
      <c r="Z22" s="4"/>
    </row>
    <row r="23" spans="1:26" ht="15.75" customHeight="1" x14ac:dyDescent="0.25">
      <c r="A23" s="4"/>
      <c r="B23" s="4"/>
      <c r="C23" s="1244" t="s">
        <v>1028</v>
      </c>
      <c r="D23" s="1245"/>
      <c r="E23" s="1245"/>
      <c r="F23" s="1246"/>
      <c r="G23" s="1245"/>
      <c r="H23" s="1247"/>
      <c r="I23" s="1248"/>
      <c r="J23" s="4"/>
      <c r="K23" s="4"/>
      <c r="L23" s="4"/>
      <c r="M23" s="4"/>
      <c r="N23" s="4"/>
      <c r="O23" s="4"/>
      <c r="P23" s="4"/>
      <c r="Q23" s="4"/>
      <c r="R23" s="4"/>
      <c r="S23" s="4"/>
      <c r="T23" s="4"/>
      <c r="U23" s="4"/>
      <c r="V23" s="4"/>
      <c r="W23" s="4"/>
      <c r="X23" s="4"/>
      <c r="Y23" s="4"/>
      <c r="Z23" s="4"/>
    </row>
    <row r="24" spans="1:26" ht="15.75" customHeight="1" x14ac:dyDescent="0.25">
      <c r="A24" s="4"/>
      <c r="B24" s="4"/>
      <c r="C24" s="1249" t="s">
        <v>1029</v>
      </c>
      <c r="D24" s="1250">
        <v>54695.38</v>
      </c>
      <c r="E24" s="1250" t="s">
        <v>354</v>
      </c>
      <c r="F24" s="1251"/>
      <c r="G24" s="1252">
        <v>558.24730206239997</v>
      </c>
      <c r="H24" s="1253">
        <v>2.264388732E-2</v>
      </c>
      <c r="I24" s="1254">
        <v>4.5287774640000002E-3</v>
      </c>
      <c r="J24" s="4"/>
      <c r="K24" s="4"/>
      <c r="L24" s="4"/>
      <c r="M24" s="4"/>
      <c r="N24" s="4"/>
      <c r="O24" s="4"/>
      <c r="P24" s="4"/>
      <c r="Q24" s="4"/>
      <c r="R24" s="4"/>
      <c r="S24" s="4"/>
      <c r="T24" s="4"/>
      <c r="U24" s="4"/>
      <c r="V24" s="4"/>
      <c r="W24" s="4"/>
      <c r="X24" s="4"/>
      <c r="Y24" s="4"/>
      <c r="Z24" s="4"/>
    </row>
    <row r="25" spans="1:26" ht="15.75" customHeight="1" x14ac:dyDescent="0.25">
      <c r="A25" s="4"/>
      <c r="B25" s="4"/>
      <c r="C25" s="1255"/>
      <c r="D25" s="1222"/>
      <c r="E25" s="1222"/>
      <c r="F25" s="1256"/>
      <c r="G25" s="1232"/>
      <c r="H25" s="1232"/>
      <c r="I25" s="1233"/>
      <c r="J25" s="4"/>
      <c r="K25" s="4"/>
      <c r="L25" s="4"/>
      <c r="M25" s="4"/>
      <c r="N25" s="4"/>
      <c r="O25" s="4"/>
      <c r="P25" s="4"/>
      <c r="Q25" s="4"/>
      <c r="R25" s="4"/>
      <c r="S25" s="4"/>
      <c r="T25" s="4"/>
      <c r="U25" s="4"/>
      <c r="V25" s="4"/>
      <c r="W25" s="4"/>
      <c r="X25" s="4"/>
      <c r="Y25" s="4"/>
      <c r="Z25" s="4"/>
    </row>
    <row r="26" spans="1:26" ht="15.75" customHeight="1" x14ac:dyDescent="0.25">
      <c r="A26" s="4"/>
      <c r="B26" s="4"/>
      <c r="C26" s="1257" t="s">
        <v>1030</v>
      </c>
      <c r="D26" s="1258"/>
      <c r="E26" s="1258"/>
      <c r="F26" s="1259"/>
      <c r="G26" s="1260">
        <f>G19+G24</f>
        <v>1179702.2473020623</v>
      </c>
      <c r="H26" s="1260">
        <f t="shared" ref="H26:I26" si="2">H24+H19</f>
        <v>52.313274383424734</v>
      </c>
      <c r="I26" s="1261">
        <f t="shared" si="2"/>
        <v>8.4204812612052695</v>
      </c>
      <c r="J26" s="4"/>
      <c r="K26" s="4"/>
      <c r="L26" s="4"/>
      <c r="M26" s="4"/>
      <c r="N26" s="4"/>
      <c r="O26" s="4"/>
      <c r="P26" s="4"/>
      <c r="Q26" s="4"/>
      <c r="R26" s="4"/>
      <c r="S26" s="4"/>
      <c r="T26" s="4"/>
      <c r="U26" s="4"/>
      <c r="V26" s="4"/>
      <c r="W26" s="4"/>
      <c r="X26" s="4"/>
      <c r="Y26" s="4"/>
      <c r="Z26" s="4"/>
    </row>
    <row r="27" spans="1:26" ht="15.75" customHeight="1" x14ac:dyDescent="0.25">
      <c r="A27" s="4"/>
      <c r="B27" s="4"/>
      <c r="C27" s="1262"/>
      <c r="D27" s="1222"/>
      <c r="E27" s="1222"/>
      <c r="F27" s="1256"/>
      <c r="G27" s="1232"/>
      <c r="H27" s="1232"/>
      <c r="I27" s="1233"/>
      <c r="J27" s="4"/>
      <c r="K27" s="4"/>
      <c r="L27" s="4"/>
      <c r="M27" s="4"/>
      <c r="N27" s="4"/>
      <c r="O27" s="4"/>
      <c r="P27" s="4"/>
      <c r="Q27" s="4"/>
      <c r="R27" s="4"/>
      <c r="S27" s="4"/>
      <c r="T27" s="4"/>
      <c r="U27" s="4"/>
      <c r="V27" s="4"/>
      <c r="W27" s="4"/>
      <c r="X27" s="4"/>
      <c r="Y27" s="4"/>
      <c r="Z27" s="4"/>
    </row>
    <row r="28" spans="1:26" ht="45" customHeight="1" x14ac:dyDescent="0.25">
      <c r="A28" s="4"/>
      <c r="B28" s="4"/>
      <c r="C28" s="1263"/>
      <c r="D28" s="1264"/>
      <c r="E28" s="1265" t="s">
        <v>1031</v>
      </c>
      <c r="F28" s="1266"/>
      <c r="G28" s="1267"/>
      <c r="H28" s="1267"/>
      <c r="I28" s="1268"/>
      <c r="J28" s="4"/>
      <c r="K28" s="4"/>
      <c r="L28" s="4"/>
      <c r="M28" s="4"/>
      <c r="N28" s="4"/>
      <c r="O28" s="4"/>
      <c r="P28" s="4"/>
      <c r="Q28" s="4"/>
      <c r="R28" s="4"/>
      <c r="S28" s="4"/>
      <c r="T28" s="4"/>
      <c r="U28" s="4"/>
      <c r="V28" s="4"/>
      <c r="W28" s="4"/>
      <c r="X28" s="4"/>
      <c r="Y28" s="4"/>
      <c r="Z28" s="4"/>
    </row>
    <row r="29" spans="1:26" ht="15.75" customHeight="1" x14ac:dyDescent="0.25">
      <c r="A29" s="4"/>
      <c r="B29" s="4"/>
      <c r="C29" s="1262"/>
      <c r="D29" s="1222"/>
      <c r="E29" s="1222"/>
      <c r="F29" s="1256"/>
      <c r="G29" s="1232"/>
      <c r="H29" s="1232"/>
      <c r="I29" s="1233"/>
      <c r="J29" s="4"/>
      <c r="K29" s="4"/>
      <c r="L29" s="4"/>
      <c r="M29" s="4"/>
      <c r="N29" s="4"/>
      <c r="O29" s="4"/>
      <c r="P29" s="4"/>
      <c r="Q29" s="4"/>
      <c r="R29" s="4"/>
      <c r="S29" s="4"/>
      <c r="T29" s="4"/>
      <c r="U29" s="4"/>
      <c r="V29" s="4"/>
      <c r="W29" s="4"/>
      <c r="X29" s="4"/>
      <c r="Y29" s="4"/>
      <c r="Z29" s="4"/>
    </row>
    <row r="30" spans="1:26" ht="15.75" customHeight="1" x14ac:dyDescent="0.25">
      <c r="A30" s="4"/>
      <c r="B30" s="4"/>
      <c r="C30" s="1255"/>
      <c r="D30" s="1222"/>
      <c r="E30" s="1222"/>
      <c r="F30" s="1256"/>
      <c r="G30" s="1232"/>
      <c r="H30" s="1232"/>
      <c r="I30" s="1233"/>
      <c r="J30" s="4"/>
      <c r="K30" s="4"/>
      <c r="L30" s="4"/>
      <c r="M30" s="4"/>
      <c r="N30" s="4"/>
      <c r="O30" s="4"/>
      <c r="P30" s="4"/>
      <c r="Q30" s="4"/>
      <c r="R30" s="4"/>
      <c r="S30" s="4"/>
      <c r="T30" s="4"/>
      <c r="U30" s="4"/>
      <c r="V30" s="4"/>
      <c r="W30" s="4"/>
      <c r="X30" s="4"/>
      <c r="Y30" s="4"/>
      <c r="Z30" s="4"/>
    </row>
    <row r="31" spans="1:26" ht="15.75" customHeight="1" x14ac:dyDescent="0.25">
      <c r="A31" s="4"/>
      <c r="B31" s="4"/>
      <c r="C31" s="1215" t="s">
        <v>1032</v>
      </c>
      <c r="D31" s="1216"/>
      <c r="E31" s="1216"/>
      <c r="F31" s="1217"/>
      <c r="G31" s="1218">
        <f t="shared" ref="G31:I31" si="3">G17*1.10249937</f>
        <v>587098.70452086383</v>
      </c>
      <c r="H31" s="1219">
        <f t="shared" si="3"/>
        <v>57.65038717885826</v>
      </c>
      <c r="I31" s="1220">
        <f t="shared" si="3"/>
        <v>9.2785823112746861</v>
      </c>
      <c r="J31" s="4"/>
      <c r="K31" s="4"/>
      <c r="L31" s="4"/>
      <c r="M31" s="4"/>
      <c r="N31" s="4"/>
      <c r="O31" s="4"/>
      <c r="P31" s="4"/>
      <c r="Q31" s="4"/>
      <c r="R31" s="4"/>
      <c r="S31" s="4"/>
      <c r="T31" s="4"/>
      <c r="U31" s="4"/>
      <c r="V31" s="4"/>
      <c r="W31" s="4"/>
      <c r="X31" s="4"/>
      <c r="Y31" s="4"/>
      <c r="Z31" s="4"/>
    </row>
    <row r="32" spans="1:26" ht="15.75" customHeight="1" x14ac:dyDescent="0.25">
      <c r="A32" s="4"/>
      <c r="B32" s="4"/>
      <c r="C32" s="1269"/>
      <c r="D32" s="1222"/>
      <c r="E32" s="1222"/>
      <c r="F32" s="1223"/>
      <c r="G32" s="279"/>
      <c r="H32" s="1224"/>
      <c r="I32" s="1225"/>
      <c r="J32" s="4"/>
      <c r="K32" s="4"/>
      <c r="L32" s="4"/>
      <c r="M32" s="4"/>
      <c r="N32" s="4"/>
      <c r="O32" s="4"/>
      <c r="P32" s="4"/>
      <c r="Q32" s="4"/>
      <c r="R32" s="4"/>
      <c r="S32" s="4"/>
      <c r="T32" s="4"/>
      <c r="U32" s="4"/>
      <c r="V32" s="4"/>
      <c r="W32" s="4"/>
      <c r="X32" s="4"/>
      <c r="Y32" s="4"/>
      <c r="Z32" s="4"/>
    </row>
    <row r="33" spans="1:26" ht="15.75" customHeight="1" x14ac:dyDescent="0.25">
      <c r="A33" s="4"/>
      <c r="B33" s="4"/>
      <c r="C33" s="1270" t="s">
        <v>1033</v>
      </c>
      <c r="D33" s="1227"/>
      <c r="E33" s="1227"/>
      <c r="F33" s="1228"/>
      <c r="G33" s="1229">
        <f t="shared" ref="G33:I33" si="4">G19*1.10249937</f>
        <v>1300005.5171392802</v>
      </c>
      <c r="H33" s="1230">
        <f t="shared" si="4"/>
        <v>57.65038717885826</v>
      </c>
      <c r="I33" s="1231">
        <f t="shared" si="4"/>
        <v>9.2785823112746861</v>
      </c>
      <c r="J33" s="4"/>
      <c r="K33" s="4"/>
      <c r="L33" s="4"/>
      <c r="M33" s="4"/>
      <c r="N33" s="4"/>
      <c r="O33" s="4"/>
      <c r="P33" s="4"/>
      <c r="Q33" s="4"/>
      <c r="R33" s="4"/>
      <c r="S33" s="4"/>
      <c r="T33" s="4"/>
      <c r="U33" s="4"/>
      <c r="V33" s="4"/>
      <c r="W33" s="4"/>
      <c r="X33" s="4"/>
      <c r="Y33" s="4"/>
      <c r="Z33" s="4"/>
    </row>
    <row r="34" spans="1:26" ht="15.75" customHeight="1" x14ac:dyDescent="0.25">
      <c r="A34" s="4"/>
      <c r="B34" s="4"/>
      <c r="C34" s="1210"/>
      <c r="D34" s="1222"/>
      <c r="E34" s="1222"/>
      <c r="F34" s="1223"/>
      <c r="G34" s="1232"/>
      <c r="H34" s="1232"/>
      <c r="I34" s="1233"/>
      <c r="J34" s="4"/>
      <c r="K34" s="4"/>
      <c r="L34" s="4"/>
      <c r="M34" s="4"/>
      <c r="N34" s="4"/>
      <c r="O34" s="4"/>
      <c r="P34" s="4"/>
      <c r="Q34" s="4"/>
      <c r="R34" s="4"/>
      <c r="S34" s="4"/>
      <c r="T34" s="4"/>
      <c r="U34" s="4"/>
      <c r="V34" s="4"/>
      <c r="W34" s="4"/>
      <c r="X34" s="4"/>
      <c r="Y34" s="4"/>
      <c r="Z34" s="4"/>
    </row>
    <row r="35" spans="1:26" ht="27" customHeight="1" x14ac:dyDescent="0.25">
      <c r="A35" s="4"/>
      <c r="B35" s="4"/>
      <c r="C35" s="1271" t="s">
        <v>1034</v>
      </c>
      <c r="D35" s="1235"/>
      <c r="E35" s="1235"/>
      <c r="F35" s="1236"/>
      <c r="G35" s="1235">
        <f>G21*1.10249937</f>
        <v>712906.81261841627</v>
      </c>
      <c r="H35" s="1237"/>
      <c r="I35" s="1238"/>
      <c r="J35" s="4"/>
      <c r="K35" s="4"/>
      <c r="L35" s="4"/>
      <c r="M35" s="4"/>
      <c r="N35" s="4"/>
      <c r="O35" s="4"/>
      <c r="P35" s="4"/>
      <c r="Q35" s="4"/>
      <c r="R35" s="4"/>
      <c r="S35" s="4"/>
      <c r="T35" s="4"/>
      <c r="U35" s="4"/>
      <c r="V35" s="4"/>
      <c r="W35" s="4"/>
      <c r="X35" s="4"/>
      <c r="Y35" s="4"/>
      <c r="Z35" s="4"/>
    </row>
    <row r="36" spans="1:26" ht="15.75" customHeight="1" x14ac:dyDescent="0.25">
      <c r="A36" s="4"/>
      <c r="B36" s="4"/>
      <c r="C36" s="1272"/>
      <c r="D36" s="1273"/>
      <c r="E36" s="1273"/>
      <c r="F36" s="1256"/>
      <c r="G36" s="1273"/>
      <c r="H36" s="1232"/>
      <c r="I36" s="1233"/>
      <c r="J36" s="4"/>
      <c r="K36" s="4"/>
      <c r="L36" s="4"/>
      <c r="M36" s="4"/>
      <c r="N36" s="4"/>
      <c r="O36" s="4"/>
      <c r="P36" s="4"/>
      <c r="Q36" s="4"/>
      <c r="R36" s="4"/>
      <c r="S36" s="4"/>
      <c r="T36" s="4"/>
      <c r="U36" s="4"/>
      <c r="V36" s="4"/>
      <c r="W36" s="4"/>
      <c r="X36" s="4"/>
      <c r="Y36" s="4"/>
      <c r="Z36" s="4"/>
    </row>
    <row r="37" spans="1:26" ht="27" customHeight="1" x14ac:dyDescent="0.25">
      <c r="A37" s="4"/>
      <c r="B37" s="4"/>
      <c r="C37" s="1257" t="s">
        <v>1035</v>
      </c>
      <c r="D37" s="1258"/>
      <c r="E37" s="1258"/>
      <c r="F37" s="1259"/>
      <c r="G37" s="1260">
        <f>G26*1.10249937</f>
        <v>1300620.984438108</v>
      </c>
      <c r="H37" s="1260">
        <f t="shared" ref="H37:I37" si="5">H26*1.1023</f>
        <v>57.664922352849089</v>
      </c>
      <c r="I37" s="1261">
        <f t="shared" si="5"/>
        <v>9.2818964942265687</v>
      </c>
      <c r="J37" s="4"/>
      <c r="K37" s="4"/>
      <c r="L37" s="4"/>
      <c r="M37" s="4"/>
      <c r="N37" s="4"/>
      <c r="O37" s="4"/>
      <c r="P37" s="4"/>
      <c r="Q37" s="4"/>
      <c r="R37" s="4"/>
      <c r="S37" s="4"/>
      <c r="T37" s="4"/>
      <c r="U37" s="4"/>
      <c r="V37" s="4"/>
      <c r="W37" s="4"/>
      <c r="X37" s="4"/>
      <c r="Y37" s="4"/>
      <c r="Z37" s="4"/>
    </row>
    <row r="38" spans="1:26" ht="15.75" customHeight="1" x14ac:dyDescent="0.25">
      <c r="A38" s="4"/>
      <c r="B38" s="4"/>
      <c r="C38" s="518"/>
      <c r="D38" s="520"/>
      <c r="E38" s="520"/>
      <c r="F38" s="520"/>
      <c r="G38" s="520"/>
      <c r="H38" s="520"/>
      <c r="I38" s="1274"/>
      <c r="J38" s="4"/>
      <c r="K38" s="4"/>
      <c r="L38" s="4"/>
      <c r="M38" s="4"/>
      <c r="N38" s="4"/>
      <c r="O38" s="4"/>
      <c r="P38" s="4"/>
      <c r="Q38" s="4"/>
      <c r="R38" s="4"/>
      <c r="S38" s="4"/>
      <c r="T38" s="4"/>
      <c r="U38" s="4"/>
      <c r="V38" s="4"/>
      <c r="W38" s="4"/>
      <c r="X38" s="4"/>
      <c r="Y38" s="4"/>
      <c r="Z38" s="4"/>
    </row>
    <row r="39" spans="1:26" ht="15.75" customHeight="1" x14ac:dyDescent="0.25">
      <c r="A39" s="4"/>
      <c r="B39" s="4"/>
      <c r="C39" s="143"/>
      <c r="D39" s="4"/>
      <c r="E39" s="4"/>
      <c r="F39" s="4"/>
      <c r="G39" s="4"/>
      <c r="H39" s="4"/>
      <c r="I39" s="586"/>
      <c r="J39" s="4"/>
      <c r="K39" s="4"/>
      <c r="L39" s="4"/>
      <c r="M39" s="4"/>
      <c r="N39" s="4"/>
      <c r="O39" s="4"/>
      <c r="P39" s="4"/>
      <c r="Q39" s="4"/>
      <c r="R39" s="4"/>
      <c r="S39" s="4"/>
      <c r="T39" s="4"/>
      <c r="U39" s="4"/>
      <c r="V39" s="4"/>
      <c r="W39" s="4"/>
      <c r="X39" s="4"/>
      <c r="Y39" s="4"/>
      <c r="Z39" s="4"/>
    </row>
    <row r="40" spans="1:26" ht="15.75" customHeight="1" x14ac:dyDescent="0.25">
      <c r="A40" s="4"/>
      <c r="B40" s="4"/>
      <c r="C40" s="143"/>
      <c r="D40" s="4"/>
      <c r="E40" s="4"/>
      <c r="F40" s="4"/>
      <c r="G40" s="4"/>
      <c r="H40" s="4"/>
      <c r="I40" s="586"/>
      <c r="J40" s="4"/>
      <c r="K40" s="4"/>
      <c r="L40" s="4"/>
      <c r="M40" s="4"/>
      <c r="N40" s="4"/>
      <c r="O40" s="4"/>
      <c r="P40" s="4"/>
      <c r="Q40" s="4"/>
      <c r="R40" s="4"/>
      <c r="S40" s="4"/>
      <c r="T40" s="4"/>
      <c r="U40" s="4"/>
      <c r="V40" s="4"/>
      <c r="W40" s="4"/>
      <c r="X40" s="4"/>
      <c r="Y40" s="4"/>
      <c r="Z40" s="4"/>
    </row>
    <row r="41" spans="1:26" ht="15.75" customHeight="1" x14ac:dyDescent="0.25">
      <c r="A41" s="4"/>
      <c r="B41" s="1" t="s">
        <v>1036</v>
      </c>
      <c r="C41" s="1275" t="s">
        <v>1037</v>
      </c>
      <c r="D41" s="1276"/>
      <c r="E41" s="1276"/>
      <c r="F41" s="1277"/>
      <c r="G41" s="1276"/>
      <c r="H41" s="1276"/>
      <c r="I41" s="1278"/>
      <c r="J41" s="4"/>
      <c r="K41" s="4"/>
      <c r="L41" s="4"/>
      <c r="M41" s="4"/>
      <c r="N41" s="4"/>
      <c r="O41" s="4"/>
      <c r="P41" s="4"/>
      <c r="Q41" s="4"/>
      <c r="R41" s="4"/>
      <c r="S41" s="4"/>
      <c r="T41" s="4"/>
      <c r="U41" s="4"/>
      <c r="V41" s="4"/>
      <c r="W41" s="4"/>
      <c r="X41" s="4"/>
      <c r="Y41" s="4"/>
      <c r="Z41" s="4"/>
    </row>
    <row r="42" spans="1:26" ht="37.5" customHeight="1" x14ac:dyDescent="0.25">
      <c r="A42" s="4"/>
      <c r="B42" s="4"/>
      <c r="C42" s="1279"/>
      <c r="D42" s="1280" t="s">
        <v>627</v>
      </c>
      <c r="E42" s="1280" t="s">
        <v>657</v>
      </c>
      <c r="F42" s="107"/>
      <c r="G42" s="1280" t="s">
        <v>1038</v>
      </c>
      <c r="H42" s="1280" t="s">
        <v>1039</v>
      </c>
      <c r="I42" s="1281" t="s">
        <v>1040</v>
      </c>
      <c r="J42" s="4"/>
      <c r="K42" s="4"/>
      <c r="L42" s="4"/>
      <c r="M42" s="4"/>
      <c r="N42" s="4"/>
      <c r="O42" s="4"/>
      <c r="P42" s="4"/>
      <c r="Q42" s="4"/>
      <c r="R42" s="4"/>
      <c r="S42" s="4"/>
      <c r="T42" s="4"/>
      <c r="U42" s="4"/>
      <c r="V42" s="4"/>
      <c r="W42" s="4"/>
      <c r="X42" s="4"/>
      <c r="Y42" s="4"/>
      <c r="Z42" s="4"/>
    </row>
    <row r="43" spans="1:26" ht="15.75" customHeight="1" x14ac:dyDescent="0.25">
      <c r="A43" s="4"/>
      <c r="B43" s="4"/>
      <c r="C43" s="1282" t="s">
        <v>1041</v>
      </c>
      <c r="D43" s="1283"/>
      <c r="E43" s="1283"/>
      <c r="F43" s="564"/>
      <c r="G43" s="1283"/>
      <c r="H43" s="1283"/>
      <c r="I43" s="1284"/>
      <c r="J43" s="4"/>
      <c r="K43" s="4"/>
      <c r="L43" s="4"/>
      <c r="M43" s="4"/>
      <c r="N43" s="4"/>
      <c r="O43" s="4"/>
      <c r="P43" s="4"/>
      <c r="Q43" s="4"/>
      <c r="R43" s="4"/>
      <c r="S43" s="4"/>
      <c r="T43" s="4"/>
      <c r="U43" s="4"/>
      <c r="V43" s="4"/>
      <c r="W43" s="4"/>
      <c r="X43" s="4"/>
      <c r="Y43" s="4"/>
      <c r="Z43" s="4"/>
    </row>
    <row r="44" spans="1:26" ht="15.75" customHeight="1" x14ac:dyDescent="0.25">
      <c r="A44" s="4"/>
      <c r="B44" s="4"/>
      <c r="C44" s="1196" t="s">
        <v>1018</v>
      </c>
      <c r="D44" s="1197">
        <v>90237</v>
      </c>
      <c r="E44" s="1198" t="s">
        <v>1042</v>
      </c>
      <c r="F44" s="107"/>
      <c r="G44" s="1199">
        <v>183433.31880551999</v>
      </c>
      <c r="H44" s="1200">
        <v>21.603999999999999</v>
      </c>
      <c r="I44" s="1285">
        <v>3.1419999999999999</v>
      </c>
      <c r="J44" s="4"/>
      <c r="K44" s="4"/>
      <c r="L44" s="4"/>
      <c r="M44" s="4"/>
      <c r="N44" s="4"/>
      <c r="O44" s="4"/>
      <c r="P44" s="4"/>
      <c r="Q44" s="4"/>
      <c r="R44" s="4"/>
      <c r="S44" s="4"/>
      <c r="T44" s="4"/>
      <c r="U44" s="4"/>
      <c r="V44" s="4"/>
      <c r="W44" s="4"/>
      <c r="X44" s="4"/>
      <c r="Y44" s="4"/>
      <c r="Z44" s="4"/>
    </row>
    <row r="45" spans="1:26" ht="15.75" customHeight="1" x14ac:dyDescent="0.25">
      <c r="A45" s="4"/>
      <c r="B45" s="4"/>
      <c r="C45" s="1196"/>
      <c r="D45" s="1197"/>
      <c r="E45" s="1198"/>
      <c r="F45" s="107"/>
      <c r="G45" s="1199"/>
      <c r="H45" s="1200"/>
      <c r="I45" s="1285"/>
      <c r="J45" s="4"/>
      <c r="K45" s="4"/>
      <c r="L45" s="4"/>
      <c r="M45" s="4"/>
      <c r="N45" s="4"/>
      <c r="O45" s="4"/>
      <c r="P45" s="4"/>
      <c r="Q45" s="4"/>
      <c r="R45" s="4"/>
      <c r="S45" s="4"/>
      <c r="T45" s="4"/>
      <c r="U45" s="4"/>
      <c r="V45" s="4"/>
      <c r="W45" s="4"/>
      <c r="X45" s="4"/>
      <c r="Y45" s="4"/>
      <c r="Z45" s="4"/>
    </row>
    <row r="46" spans="1:26" ht="15.75" customHeight="1" x14ac:dyDescent="0.25">
      <c r="A46" s="4"/>
      <c r="B46" s="4"/>
      <c r="C46" s="1196" t="s">
        <v>1021</v>
      </c>
      <c r="D46" s="1197">
        <v>405324</v>
      </c>
      <c r="E46" s="1197" t="s">
        <v>1022</v>
      </c>
      <c r="F46" s="107"/>
      <c r="G46" s="1199">
        <v>1702.7369406719999</v>
      </c>
      <c r="H46" s="1208">
        <v>6.9000000000000006E-2</v>
      </c>
      <c r="I46" s="1285">
        <v>1.4E-2</v>
      </c>
      <c r="J46" s="4"/>
      <c r="K46" s="4"/>
      <c r="L46" s="4"/>
      <c r="M46" s="4"/>
      <c r="N46" s="4"/>
      <c r="O46" s="4"/>
      <c r="P46" s="4"/>
      <c r="Q46" s="4"/>
      <c r="R46" s="4"/>
      <c r="S46" s="4"/>
      <c r="T46" s="4"/>
      <c r="U46" s="4"/>
      <c r="V46" s="4"/>
      <c r="W46" s="4"/>
      <c r="X46" s="4"/>
      <c r="Y46" s="4"/>
      <c r="Z46" s="4"/>
    </row>
    <row r="47" spans="1:26" ht="15.75" customHeight="1" x14ac:dyDescent="0.25">
      <c r="A47" s="4"/>
      <c r="B47" s="4"/>
      <c r="C47" s="1196"/>
      <c r="D47" s="1197"/>
      <c r="E47" s="1197"/>
      <c r="F47" s="107"/>
      <c r="G47" s="1200"/>
      <c r="H47" s="1197"/>
      <c r="I47" s="1209"/>
      <c r="J47" s="4"/>
      <c r="K47" s="4"/>
      <c r="L47" s="4"/>
      <c r="M47" s="4"/>
      <c r="N47" s="4"/>
      <c r="O47" s="4"/>
      <c r="P47" s="4"/>
      <c r="Q47" s="4"/>
      <c r="R47" s="4"/>
      <c r="S47" s="4"/>
      <c r="T47" s="4"/>
      <c r="U47" s="4"/>
      <c r="V47" s="4"/>
      <c r="W47" s="4"/>
      <c r="X47" s="4"/>
      <c r="Y47" s="4"/>
      <c r="Z47" s="4"/>
    </row>
    <row r="48" spans="1:26" ht="15.75" customHeight="1" x14ac:dyDescent="0.25">
      <c r="A48" s="4"/>
      <c r="B48" s="4"/>
      <c r="C48" s="1196" t="s">
        <v>1043</v>
      </c>
      <c r="D48" s="1197">
        <v>4786</v>
      </c>
      <c r="E48" s="1198" t="s">
        <v>1042</v>
      </c>
      <c r="F48" s="107"/>
      <c r="G48" s="1199">
        <v>11055.726525399999</v>
      </c>
      <c r="H48" s="1200">
        <v>4.115194240000001</v>
      </c>
      <c r="I48" s="1285">
        <v>0.540119244</v>
      </c>
      <c r="J48" s="4"/>
      <c r="K48" s="4"/>
      <c r="L48" s="4"/>
      <c r="M48" s="4"/>
      <c r="N48" s="4"/>
      <c r="O48" s="4"/>
      <c r="P48" s="4"/>
      <c r="Q48" s="4"/>
      <c r="R48" s="4"/>
      <c r="S48" s="4"/>
      <c r="T48" s="4"/>
      <c r="U48" s="4"/>
      <c r="V48" s="4"/>
      <c r="W48" s="4"/>
      <c r="X48" s="4"/>
      <c r="Y48" s="4"/>
      <c r="Z48" s="4"/>
    </row>
    <row r="49" spans="1:26" ht="15.75" customHeight="1" x14ac:dyDescent="0.25">
      <c r="A49" s="4"/>
      <c r="B49" s="4"/>
      <c r="C49" s="1196"/>
      <c r="D49" s="1197"/>
      <c r="E49" s="1197"/>
      <c r="F49" s="110"/>
      <c r="G49" s="1200"/>
      <c r="H49" s="1197"/>
      <c r="I49" s="1209"/>
      <c r="J49" s="4"/>
      <c r="K49" s="4"/>
      <c r="L49" s="4"/>
      <c r="M49" s="4"/>
      <c r="N49" s="4"/>
      <c r="O49" s="4"/>
      <c r="P49" s="4"/>
      <c r="Q49" s="4"/>
      <c r="R49" s="4"/>
      <c r="S49" s="4"/>
      <c r="T49" s="4"/>
      <c r="U49" s="4"/>
      <c r="V49" s="4"/>
      <c r="W49" s="4"/>
      <c r="X49" s="4"/>
      <c r="Y49" s="4"/>
      <c r="Z49" s="4"/>
    </row>
    <row r="50" spans="1:26" ht="15.75" customHeight="1" x14ac:dyDescent="0.25">
      <c r="A50" s="4"/>
      <c r="B50" s="4"/>
      <c r="C50" s="1286" t="s">
        <v>1044</v>
      </c>
      <c r="D50" s="1216"/>
      <c r="E50" s="1216"/>
      <c r="F50" s="1287"/>
      <c r="G50" s="1288">
        <f t="shared" ref="G50:I50" si="6">G44+G46+G48</f>
        <v>196191.782271592</v>
      </c>
      <c r="H50" s="1218">
        <f t="shared" si="6"/>
        <v>25.788194239999999</v>
      </c>
      <c r="I50" s="1220">
        <f t="shared" si="6"/>
        <v>3.6961192439999997</v>
      </c>
      <c r="J50" s="4"/>
      <c r="K50" s="4"/>
      <c r="L50" s="4"/>
      <c r="M50" s="4"/>
      <c r="N50" s="4"/>
      <c r="O50" s="4"/>
      <c r="P50" s="4"/>
      <c r="Q50" s="4"/>
      <c r="R50" s="4"/>
      <c r="S50" s="4"/>
      <c r="T50" s="4"/>
      <c r="U50" s="4"/>
      <c r="V50" s="4"/>
      <c r="W50" s="4"/>
      <c r="X50" s="4"/>
      <c r="Y50" s="4"/>
      <c r="Z50" s="4"/>
    </row>
    <row r="51" spans="1:26" ht="15.75" customHeight="1" x14ac:dyDescent="0.25">
      <c r="A51" s="4"/>
      <c r="B51" s="4"/>
      <c r="C51" s="1196"/>
      <c r="D51" s="1197"/>
      <c r="E51" s="1197"/>
      <c r="F51" s="1289"/>
      <c r="G51" s="1290"/>
      <c r="H51" s="1290"/>
      <c r="I51" s="1291"/>
      <c r="J51" s="4"/>
      <c r="K51" s="4"/>
      <c r="L51" s="4"/>
      <c r="M51" s="4"/>
      <c r="N51" s="4"/>
      <c r="O51" s="4"/>
      <c r="P51" s="4"/>
      <c r="Q51" s="4"/>
      <c r="R51" s="4"/>
      <c r="S51" s="4"/>
      <c r="T51" s="4"/>
      <c r="U51" s="4"/>
      <c r="V51" s="4"/>
      <c r="W51" s="4"/>
      <c r="X51" s="4"/>
      <c r="Y51" s="4"/>
      <c r="Z51" s="4"/>
    </row>
    <row r="52" spans="1:26" ht="15.75" customHeight="1" x14ac:dyDescent="0.25">
      <c r="A52" s="4"/>
      <c r="B52" s="4"/>
      <c r="C52" s="1292" t="s">
        <v>1045</v>
      </c>
      <c r="D52" s="1293"/>
      <c r="E52" s="1293"/>
      <c r="F52" s="742"/>
      <c r="G52" s="1294"/>
      <c r="H52" s="1245"/>
      <c r="I52" s="1295"/>
      <c r="J52" s="4"/>
      <c r="K52" s="4"/>
      <c r="L52" s="4"/>
      <c r="M52" s="4"/>
      <c r="N52" s="4"/>
      <c r="O52" s="4"/>
      <c r="P52" s="4"/>
      <c r="Q52" s="4"/>
      <c r="R52" s="4"/>
      <c r="S52" s="4"/>
      <c r="T52" s="4"/>
      <c r="U52" s="4"/>
      <c r="V52" s="4"/>
      <c r="W52" s="4"/>
      <c r="X52" s="4"/>
      <c r="Y52" s="4"/>
      <c r="Z52" s="4"/>
    </row>
    <row r="53" spans="1:26" ht="15.75" customHeight="1" x14ac:dyDescent="0.25">
      <c r="A53" s="4"/>
      <c r="B53" s="4"/>
      <c r="C53" s="1296" t="s">
        <v>1046</v>
      </c>
      <c r="D53" s="1250">
        <v>334327.45</v>
      </c>
      <c r="E53" s="1250" t="s">
        <v>1022</v>
      </c>
      <c r="F53" s="1297"/>
      <c r="G53" s="1252">
        <v>1409.4309175140002</v>
      </c>
      <c r="H53" s="1298">
        <v>5.7169993950000005E-2</v>
      </c>
      <c r="I53" s="1299">
        <v>1.143399879E-2</v>
      </c>
      <c r="J53" s="4"/>
      <c r="K53" s="4"/>
      <c r="L53" s="4"/>
      <c r="M53" s="4"/>
      <c r="N53" s="4"/>
      <c r="O53" s="4"/>
      <c r="P53" s="4"/>
      <c r="Q53" s="4"/>
      <c r="R53" s="4"/>
      <c r="S53" s="4"/>
      <c r="T53" s="4"/>
      <c r="U53" s="4"/>
      <c r="V53" s="4"/>
      <c r="W53" s="4"/>
      <c r="X53" s="4"/>
      <c r="Y53" s="4"/>
      <c r="Z53" s="4"/>
    </row>
    <row r="54" spans="1:26" ht="15.75" customHeight="1" x14ac:dyDescent="0.25">
      <c r="A54" s="4"/>
      <c r="B54" s="4"/>
      <c r="C54" s="1255"/>
      <c r="D54" s="1222"/>
      <c r="E54" s="1222"/>
      <c r="F54" s="4"/>
      <c r="G54" s="1300"/>
      <c r="H54" s="1273"/>
      <c r="I54" s="1301"/>
      <c r="J54" s="4"/>
      <c r="K54" s="4"/>
      <c r="L54" s="4"/>
      <c r="M54" s="4"/>
      <c r="N54" s="4"/>
      <c r="O54" s="4"/>
      <c r="P54" s="4"/>
      <c r="Q54" s="4"/>
      <c r="R54" s="4"/>
      <c r="S54" s="4"/>
      <c r="T54" s="4"/>
      <c r="U54" s="4"/>
      <c r="V54" s="4"/>
      <c r="W54" s="4"/>
      <c r="X54" s="4"/>
      <c r="Y54" s="4"/>
      <c r="Z54" s="4"/>
    </row>
    <row r="55" spans="1:26" ht="15.75" customHeight="1" x14ac:dyDescent="0.25">
      <c r="A55" s="4"/>
      <c r="B55" s="4"/>
      <c r="C55" s="1302" t="s">
        <v>1047</v>
      </c>
      <c r="D55" s="1227"/>
      <c r="E55" s="1227"/>
      <c r="F55" s="1303"/>
      <c r="G55" s="1304">
        <v>467712</v>
      </c>
      <c r="H55" s="1305">
        <v>25.788194239999999</v>
      </c>
      <c r="I55" s="1306">
        <v>3.6961192439999997</v>
      </c>
      <c r="J55" s="4"/>
      <c r="K55" s="4"/>
      <c r="L55" s="4"/>
      <c r="M55" s="4"/>
      <c r="N55" s="4"/>
      <c r="O55" s="4"/>
      <c r="P55" s="4"/>
      <c r="Q55" s="4"/>
      <c r="R55" s="4"/>
      <c r="S55" s="4"/>
      <c r="T55" s="4"/>
      <c r="U55" s="4"/>
      <c r="V55" s="4"/>
      <c r="W55" s="4"/>
      <c r="X55" s="4"/>
      <c r="Y55" s="4"/>
      <c r="Z55" s="4"/>
    </row>
    <row r="56" spans="1:26" ht="15.75" customHeight="1" x14ac:dyDescent="0.25">
      <c r="A56" s="4"/>
      <c r="B56" s="4"/>
      <c r="C56" s="1307"/>
      <c r="D56" s="1222"/>
      <c r="E56" s="1222"/>
      <c r="F56" s="4"/>
      <c r="G56" s="1256"/>
      <c r="H56" s="1273"/>
      <c r="I56" s="1301"/>
      <c r="J56" s="4"/>
      <c r="K56" s="4"/>
      <c r="L56" s="4"/>
      <c r="M56" s="4"/>
      <c r="N56" s="4"/>
      <c r="O56" s="4"/>
      <c r="P56" s="4"/>
      <c r="Q56" s="4"/>
      <c r="R56" s="4"/>
      <c r="S56" s="4"/>
      <c r="T56" s="4"/>
      <c r="U56" s="4"/>
      <c r="V56" s="4"/>
      <c r="W56" s="4"/>
      <c r="X56" s="4"/>
      <c r="Y56" s="4"/>
      <c r="Z56" s="4"/>
    </row>
    <row r="57" spans="1:26" ht="15.75" customHeight="1" x14ac:dyDescent="0.25">
      <c r="A57" s="4"/>
      <c r="B57" s="4"/>
      <c r="C57" s="1308" t="s">
        <v>1048</v>
      </c>
      <c r="D57" s="1309"/>
      <c r="E57" s="1309"/>
      <c r="F57" s="1287"/>
      <c r="G57" s="1310">
        <f t="shared" ref="G57:I57" si="7">G50</f>
        <v>196191.782271592</v>
      </c>
      <c r="H57" s="1311">
        <f t="shared" si="7"/>
        <v>25.788194239999999</v>
      </c>
      <c r="I57" s="1312">
        <f t="shared" si="7"/>
        <v>3.6961192439999997</v>
      </c>
      <c r="J57" s="4"/>
      <c r="K57" s="4"/>
      <c r="L57" s="4"/>
      <c r="M57" s="4"/>
      <c r="N57" s="4"/>
      <c r="O57" s="4"/>
      <c r="P57" s="4"/>
      <c r="Q57" s="4"/>
      <c r="R57" s="4"/>
      <c r="S57" s="4"/>
      <c r="T57" s="4"/>
      <c r="U57" s="4"/>
      <c r="V57" s="4"/>
      <c r="W57" s="4"/>
      <c r="X57" s="4"/>
      <c r="Y57" s="4"/>
      <c r="Z57" s="4"/>
    </row>
    <row r="58" spans="1:26" ht="15.75" customHeight="1" x14ac:dyDescent="0.25">
      <c r="A58" s="4"/>
      <c r="B58" s="4"/>
      <c r="C58" s="1255"/>
      <c r="D58" s="1222"/>
      <c r="E58" s="1222"/>
      <c r="F58" s="4"/>
      <c r="G58" s="1300"/>
      <c r="H58" s="1273"/>
      <c r="I58" s="1301"/>
      <c r="J58" s="4"/>
      <c r="K58" s="4"/>
      <c r="L58" s="4"/>
      <c r="M58" s="4"/>
      <c r="N58" s="4"/>
      <c r="O58" s="4"/>
      <c r="P58" s="4"/>
      <c r="Q58" s="4"/>
      <c r="R58" s="4"/>
      <c r="S58" s="4"/>
      <c r="T58" s="4"/>
      <c r="U58" s="4"/>
      <c r="V58" s="4"/>
      <c r="W58" s="4"/>
      <c r="X58" s="4"/>
      <c r="Y58" s="4"/>
      <c r="Z58" s="4"/>
    </row>
    <row r="59" spans="1:26" ht="15.75" customHeight="1" x14ac:dyDescent="0.25">
      <c r="A59" s="4"/>
      <c r="B59" s="4"/>
      <c r="C59" s="1313" t="s">
        <v>1049</v>
      </c>
      <c r="D59" s="1314"/>
      <c r="E59" s="1314"/>
      <c r="F59" s="1315"/>
      <c r="G59" s="1236">
        <f>G55-G57</f>
        <v>271520.217728408</v>
      </c>
      <c r="H59" s="1235">
        <v>51.633558473950004</v>
      </c>
      <c r="I59" s="1316">
        <v>7.4036724867899988</v>
      </c>
      <c r="J59" s="4"/>
      <c r="K59" s="4"/>
      <c r="L59" s="4"/>
      <c r="M59" s="4"/>
      <c r="N59" s="4"/>
      <c r="O59" s="4"/>
      <c r="P59" s="4"/>
      <c r="Q59" s="4"/>
      <c r="R59" s="4"/>
      <c r="S59" s="4"/>
      <c r="T59" s="4"/>
      <c r="U59" s="4"/>
      <c r="V59" s="4"/>
      <c r="W59" s="4"/>
      <c r="X59" s="4"/>
      <c r="Y59" s="4"/>
      <c r="Z59" s="4"/>
    </row>
    <row r="60" spans="1:26" ht="15.75" customHeight="1" x14ac:dyDescent="0.25">
      <c r="A60" s="4"/>
      <c r="B60" s="4"/>
      <c r="C60" s="1255"/>
      <c r="D60" s="1222"/>
      <c r="E60" s="1222"/>
      <c r="F60" s="4"/>
      <c r="G60" s="1300"/>
      <c r="H60" s="1273"/>
      <c r="I60" s="1301"/>
      <c r="J60" s="4"/>
      <c r="K60" s="4"/>
      <c r="L60" s="4"/>
      <c r="M60" s="4"/>
      <c r="N60" s="4"/>
      <c r="O60" s="4"/>
      <c r="P60" s="4"/>
      <c r="Q60" s="4"/>
      <c r="R60" s="4"/>
      <c r="S60" s="4"/>
      <c r="T60" s="4"/>
      <c r="U60" s="4"/>
      <c r="V60" s="4"/>
      <c r="W60" s="4"/>
      <c r="X60" s="4"/>
      <c r="Y60" s="4"/>
      <c r="Z60" s="4"/>
    </row>
    <row r="61" spans="1:26" ht="15.75" customHeight="1" x14ac:dyDescent="0.25">
      <c r="A61" s="4"/>
      <c r="B61" s="4"/>
      <c r="C61" s="1317" t="s">
        <v>1050</v>
      </c>
      <c r="D61" s="1258"/>
      <c r="E61" s="1258"/>
      <c r="F61" s="1318"/>
      <c r="G61" s="1319">
        <v>469121.43091751402</v>
      </c>
      <c r="H61" s="1319">
        <v>25.845364233950001</v>
      </c>
      <c r="I61" s="1320">
        <v>3.7075532427899995</v>
      </c>
      <c r="J61" s="4"/>
      <c r="K61" s="4"/>
      <c r="L61" s="4"/>
      <c r="M61" s="4"/>
      <c r="N61" s="4"/>
      <c r="O61" s="4"/>
      <c r="P61" s="4"/>
      <c r="Q61" s="4"/>
      <c r="R61" s="4"/>
      <c r="S61" s="4"/>
      <c r="T61" s="4"/>
      <c r="U61" s="4"/>
      <c r="V61" s="4"/>
      <c r="W61" s="4"/>
      <c r="X61" s="4"/>
      <c r="Y61" s="4"/>
      <c r="Z61" s="4"/>
    </row>
    <row r="62" spans="1:26" ht="15.75" customHeight="1" x14ac:dyDescent="0.25">
      <c r="A62" s="4"/>
      <c r="B62" s="4"/>
      <c r="C62" s="290"/>
      <c r="D62" s="1222"/>
      <c r="E62" s="1222"/>
      <c r="F62" s="4"/>
      <c r="G62" s="1300"/>
      <c r="H62" s="1300"/>
      <c r="I62" s="1321"/>
      <c r="J62" s="4"/>
      <c r="K62" s="4"/>
      <c r="L62" s="4"/>
      <c r="M62" s="4"/>
      <c r="N62" s="4"/>
      <c r="O62" s="4"/>
      <c r="P62" s="4"/>
      <c r="Q62" s="4"/>
      <c r="R62" s="4"/>
      <c r="S62" s="4"/>
      <c r="T62" s="4"/>
      <c r="U62" s="4"/>
      <c r="V62" s="4"/>
      <c r="W62" s="4"/>
      <c r="X62" s="4"/>
      <c r="Y62" s="4"/>
      <c r="Z62" s="4"/>
    </row>
    <row r="63" spans="1:26" ht="45" customHeight="1" x14ac:dyDescent="0.25">
      <c r="A63" s="4"/>
      <c r="B63" s="4"/>
      <c r="C63" s="1322"/>
      <c r="D63" s="1264"/>
      <c r="E63" s="1265" t="s">
        <v>1031</v>
      </c>
      <c r="F63" s="263"/>
      <c r="G63" s="1323"/>
      <c r="H63" s="1323"/>
      <c r="I63" s="1324"/>
      <c r="J63" s="4"/>
      <c r="K63" s="4"/>
      <c r="L63" s="4"/>
      <c r="M63" s="4"/>
      <c r="N63" s="4"/>
      <c r="O63" s="4"/>
      <c r="P63" s="4"/>
      <c r="Q63" s="4"/>
      <c r="R63" s="4"/>
      <c r="S63" s="4"/>
      <c r="T63" s="4"/>
      <c r="U63" s="4"/>
      <c r="V63" s="4"/>
      <c r="W63" s="4"/>
      <c r="X63" s="4"/>
      <c r="Y63" s="4"/>
      <c r="Z63" s="4"/>
    </row>
    <row r="64" spans="1:26" ht="15.75" customHeight="1" x14ac:dyDescent="0.25">
      <c r="A64" s="4"/>
      <c r="B64" s="4"/>
      <c r="C64" s="290"/>
      <c r="D64" s="1222"/>
      <c r="E64" s="1222"/>
      <c r="F64" s="4"/>
      <c r="G64" s="1300"/>
      <c r="H64" s="1300"/>
      <c r="I64" s="1321"/>
      <c r="J64" s="4"/>
      <c r="K64" s="4"/>
      <c r="L64" s="4"/>
      <c r="M64" s="4"/>
      <c r="N64" s="4"/>
      <c r="O64" s="4"/>
      <c r="P64" s="4"/>
      <c r="Q64" s="4"/>
      <c r="R64" s="4"/>
      <c r="S64" s="4"/>
      <c r="T64" s="4"/>
      <c r="U64" s="4"/>
      <c r="V64" s="4"/>
      <c r="W64" s="4"/>
      <c r="X64" s="4"/>
      <c r="Y64" s="4"/>
      <c r="Z64" s="4"/>
    </row>
    <row r="65" spans="1:26" ht="15.75" customHeight="1" x14ac:dyDescent="0.25">
      <c r="A65" s="4"/>
      <c r="B65" s="4"/>
      <c r="C65" s="290"/>
      <c r="D65" s="1222"/>
      <c r="E65" s="1222"/>
      <c r="F65" s="4"/>
      <c r="G65" s="1300"/>
      <c r="H65" s="1273"/>
      <c r="I65" s="1301"/>
      <c r="J65" s="4"/>
      <c r="K65" s="4"/>
      <c r="L65" s="4"/>
      <c r="M65" s="4"/>
      <c r="N65" s="4"/>
      <c r="O65" s="4"/>
      <c r="P65" s="4"/>
      <c r="Q65" s="4"/>
      <c r="R65" s="4"/>
      <c r="S65" s="4"/>
      <c r="T65" s="4"/>
      <c r="U65" s="4"/>
      <c r="V65" s="4"/>
      <c r="W65" s="4"/>
      <c r="X65" s="4"/>
      <c r="Y65" s="4"/>
      <c r="Z65" s="4"/>
    </row>
    <row r="66" spans="1:26" ht="15.75" customHeight="1" x14ac:dyDescent="0.25">
      <c r="A66" s="4"/>
      <c r="B66" s="4"/>
      <c r="C66" s="1302" t="s">
        <v>1051</v>
      </c>
      <c r="D66" s="1325"/>
      <c r="E66" s="1325"/>
      <c r="F66" s="1303"/>
      <c r="G66" s="1326">
        <f t="shared" ref="G66:I66" si="8">G55*1.1023</f>
        <v>515558.9376</v>
      </c>
      <c r="H66" s="1327">
        <f t="shared" si="8"/>
        <v>28.426326510752002</v>
      </c>
      <c r="I66" s="1328">
        <f t="shared" si="8"/>
        <v>4.0742322426611999</v>
      </c>
      <c r="J66" s="4"/>
      <c r="K66" s="4"/>
      <c r="L66" s="4"/>
      <c r="M66" s="4"/>
      <c r="N66" s="4"/>
      <c r="O66" s="4"/>
      <c r="P66" s="4"/>
      <c r="Q66" s="4"/>
      <c r="R66" s="4"/>
      <c r="S66" s="4"/>
      <c r="T66" s="4"/>
      <c r="U66" s="4"/>
      <c r="V66" s="4"/>
      <c r="W66" s="4"/>
      <c r="X66" s="4"/>
      <c r="Y66" s="4"/>
      <c r="Z66" s="4"/>
    </row>
    <row r="67" spans="1:26" ht="15.75" customHeight="1" x14ac:dyDescent="0.25">
      <c r="A67" s="4"/>
      <c r="B67" s="4"/>
      <c r="C67" s="1307"/>
      <c r="D67" s="1222"/>
      <c r="E67" s="1222"/>
      <c r="F67" s="4"/>
      <c r="G67" s="1300"/>
      <c r="H67" s="1273"/>
      <c r="I67" s="1301"/>
      <c r="J67" s="4"/>
      <c r="K67" s="4"/>
      <c r="L67" s="4"/>
      <c r="M67" s="4"/>
      <c r="N67" s="4"/>
      <c r="O67" s="4"/>
      <c r="P67" s="4"/>
      <c r="Q67" s="4"/>
      <c r="R67" s="4"/>
      <c r="S67" s="4"/>
      <c r="T67" s="4"/>
      <c r="U67" s="4"/>
      <c r="V67" s="4"/>
      <c r="W67" s="4"/>
      <c r="X67" s="4"/>
      <c r="Y67" s="4"/>
      <c r="Z67" s="4"/>
    </row>
    <row r="68" spans="1:26" ht="15.75" customHeight="1" x14ac:dyDescent="0.25">
      <c r="A68" s="4"/>
      <c r="B68" s="4"/>
      <c r="C68" s="1308" t="s">
        <v>1052</v>
      </c>
      <c r="D68" s="1309"/>
      <c r="E68" s="1309"/>
      <c r="F68" s="1287"/>
      <c r="G68" s="1310">
        <f t="shared" ref="G68:I68" si="9">G50*1.1023</f>
        <v>216262.20159797589</v>
      </c>
      <c r="H68" s="1311">
        <f t="shared" si="9"/>
        <v>28.426326510752002</v>
      </c>
      <c r="I68" s="1312">
        <f t="shared" si="9"/>
        <v>4.0742322426611999</v>
      </c>
      <c r="J68" s="4"/>
      <c r="K68" s="4"/>
      <c r="L68" s="4"/>
      <c r="M68" s="4"/>
      <c r="N68" s="4"/>
      <c r="O68" s="4"/>
      <c r="P68" s="4"/>
      <c r="Q68" s="4"/>
      <c r="R68" s="4"/>
      <c r="S68" s="4"/>
      <c r="T68" s="4"/>
      <c r="U68" s="4"/>
      <c r="V68" s="4"/>
      <c r="W68" s="4"/>
      <c r="X68" s="4"/>
      <c r="Y68" s="4"/>
      <c r="Z68" s="4"/>
    </row>
    <row r="69" spans="1:26" ht="15.75" customHeight="1" x14ac:dyDescent="0.25">
      <c r="A69" s="4"/>
      <c r="B69" s="4"/>
      <c r="C69" s="1255"/>
      <c r="D69" s="1222"/>
      <c r="E69" s="1222"/>
      <c r="F69" s="4"/>
      <c r="G69" s="1300"/>
      <c r="H69" s="1273"/>
      <c r="I69" s="1301"/>
      <c r="J69" s="4"/>
      <c r="K69" s="4"/>
      <c r="L69" s="4"/>
      <c r="M69" s="4"/>
      <c r="N69" s="4"/>
      <c r="O69" s="4"/>
      <c r="P69" s="4"/>
      <c r="Q69" s="4"/>
      <c r="R69" s="4"/>
      <c r="S69" s="4"/>
      <c r="T69" s="4"/>
      <c r="U69" s="4"/>
      <c r="V69" s="4"/>
      <c r="W69" s="4"/>
      <c r="X69" s="4"/>
      <c r="Y69" s="4"/>
      <c r="Z69" s="4"/>
    </row>
    <row r="70" spans="1:26" ht="15.75" customHeight="1" x14ac:dyDescent="0.25">
      <c r="A70" s="4"/>
      <c r="B70" s="4"/>
      <c r="C70" s="1313" t="s">
        <v>1053</v>
      </c>
      <c r="D70" s="1314"/>
      <c r="E70" s="1314"/>
      <c r="F70" s="1315"/>
      <c r="G70" s="1329">
        <f t="shared" ref="G70:I70" si="10">G59*1.1023</f>
        <v>299296.73600202415</v>
      </c>
      <c r="H70" s="1235">
        <f t="shared" si="10"/>
        <v>56.915671505835093</v>
      </c>
      <c r="I70" s="1316">
        <f t="shared" si="10"/>
        <v>8.1610681821886164</v>
      </c>
      <c r="J70" s="4"/>
      <c r="K70" s="4"/>
      <c r="L70" s="4"/>
      <c r="M70" s="4"/>
      <c r="N70" s="4"/>
      <c r="O70" s="4"/>
      <c r="P70" s="4"/>
      <c r="Q70" s="4"/>
      <c r="R70" s="4"/>
      <c r="S70" s="4"/>
      <c r="T70" s="4"/>
      <c r="U70" s="4"/>
      <c r="V70" s="4"/>
      <c r="W70" s="4"/>
      <c r="X70" s="4"/>
      <c r="Y70" s="4"/>
      <c r="Z70" s="4"/>
    </row>
    <row r="71" spans="1:26" ht="15.75" customHeight="1" x14ac:dyDescent="0.25">
      <c r="A71" s="4"/>
      <c r="B71" s="4"/>
      <c r="C71" s="1255"/>
      <c r="D71" s="1222"/>
      <c r="E71" s="1222"/>
      <c r="F71" s="4"/>
      <c r="G71" s="1300"/>
      <c r="H71" s="1273"/>
      <c r="I71" s="1301"/>
      <c r="J71" s="4"/>
      <c r="K71" s="4"/>
      <c r="L71" s="4"/>
      <c r="M71" s="4"/>
      <c r="N71" s="4"/>
      <c r="O71" s="4"/>
      <c r="P71" s="4"/>
      <c r="Q71" s="4"/>
      <c r="R71" s="4"/>
      <c r="S71" s="4"/>
      <c r="T71" s="4"/>
      <c r="U71" s="4"/>
      <c r="V71" s="4"/>
      <c r="W71" s="4"/>
      <c r="X71" s="4"/>
      <c r="Y71" s="4"/>
      <c r="Z71" s="4"/>
    </row>
    <row r="72" spans="1:26" ht="15.75" customHeight="1" x14ac:dyDescent="0.25">
      <c r="A72" s="4"/>
      <c r="B72" s="4"/>
      <c r="C72" s="1317" t="s">
        <v>1054</v>
      </c>
      <c r="D72" s="1258"/>
      <c r="E72" s="1258"/>
      <c r="F72" s="1318"/>
      <c r="G72" s="1319">
        <f t="shared" ref="G72:I72" si="11">G61*1.1023</f>
        <v>517112.55330037576</v>
      </c>
      <c r="H72" s="1319">
        <f t="shared" si="11"/>
        <v>28.489344995083087</v>
      </c>
      <c r="I72" s="1320">
        <f t="shared" si="11"/>
        <v>4.0868359395274165</v>
      </c>
      <c r="J72" s="4"/>
      <c r="K72" s="4"/>
      <c r="L72" s="4"/>
      <c r="M72" s="4"/>
      <c r="N72" s="4"/>
      <c r="O72" s="4"/>
      <c r="P72" s="4"/>
      <c r="Q72" s="4"/>
      <c r="R72" s="4"/>
      <c r="S72" s="4"/>
      <c r="T72" s="4"/>
      <c r="U72" s="4"/>
      <c r="V72" s="4"/>
      <c r="W72" s="4"/>
      <c r="X72" s="4"/>
      <c r="Y72" s="4"/>
      <c r="Z72" s="4"/>
    </row>
    <row r="73" spans="1:26" ht="15.75" customHeight="1" x14ac:dyDescent="0.25">
      <c r="A73" s="4"/>
      <c r="B73" s="4"/>
      <c r="C73" s="1330"/>
      <c r="D73" s="1331"/>
      <c r="E73" s="1331"/>
      <c r="F73" s="1332"/>
      <c r="G73" s="1331"/>
      <c r="H73" s="1331"/>
      <c r="I73" s="1333"/>
      <c r="J73" s="4"/>
      <c r="K73" s="4"/>
      <c r="L73" s="4"/>
      <c r="M73" s="4"/>
      <c r="N73" s="4"/>
      <c r="O73" s="4"/>
      <c r="P73" s="4"/>
      <c r="Q73" s="4"/>
      <c r="R73" s="4"/>
      <c r="S73" s="4"/>
      <c r="T73" s="4"/>
      <c r="U73" s="4"/>
      <c r="V73" s="4"/>
      <c r="W73" s="4"/>
      <c r="X73" s="4"/>
      <c r="Y73" s="4"/>
      <c r="Z73" s="4"/>
    </row>
    <row r="74" spans="1:26" ht="15.75" customHeight="1" x14ac:dyDescent="0.25">
      <c r="A74" s="4"/>
      <c r="B74" s="4"/>
      <c r="C74" s="143"/>
      <c r="D74" s="4"/>
      <c r="E74" s="4"/>
      <c r="F74" s="4"/>
      <c r="G74" s="4"/>
      <c r="H74" s="4"/>
      <c r="I74" s="586"/>
      <c r="J74" s="4"/>
      <c r="K74" s="4"/>
      <c r="L74" s="4"/>
      <c r="M74" s="4"/>
      <c r="N74" s="4"/>
      <c r="O74" s="4"/>
      <c r="P74" s="4"/>
      <c r="Q74" s="4"/>
      <c r="R74" s="4"/>
      <c r="S74" s="4"/>
      <c r="T74" s="4"/>
      <c r="U74" s="4"/>
      <c r="V74" s="4"/>
      <c r="W74" s="4"/>
      <c r="X74" s="4"/>
      <c r="Y74" s="4"/>
      <c r="Z74" s="4"/>
    </row>
    <row r="75" spans="1:26" ht="15.75" customHeight="1" x14ac:dyDescent="0.25">
      <c r="A75" s="4"/>
      <c r="B75" s="4"/>
      <c r="C75" s="143"/>
      <c r="D75" s="4"/>
      <c r="E75" s="4"/>
      <c r="F75" s="4"/>
      <c r="G75" s="4"/>
      <c r="H75" s="4"/>
      <c r="I75" s="586"/>
      <c r="J75" s="4"/>
      <c r="K75" s="4"/>
      <c r="L75" s="4"/>
      <c r="M75" s="4"/>
      <c r="N75" s="4"/>
      <c r="O75" s="4"/>
      <c r="P75" s="4"/>
      <c r="Q75" s="4"/>
      <c r="R75" s="4"/>
      <c r="S75" s="4"/>
      <c r="T75" s="4"/>
      <c r="U75" s="4"/>
      <c r="V75" s="4"/>
      <c r="W75" s="4"/>
      <c r="X75" s="4"/>
      <c r="Y75" s="4"/>
      <c r="Z75" s="4"/>
    </row>
    <row r="76" spans="1:26" ht="15.75" customHeight="1" x14ac:dyDescent="0.25">
      <c r="A76" s="4"/>
      <c r="B76" s="1" t="s">
        <v>1055</v>
      </c>
      <c r="C76" s="1334" t="s">
        <v>1056</v>
      </c>
      <c r="D76" s="1335"/>
      <c r="E76" s="1335"/>
      <c r="F76" s="1335"/>
      <c r="G76" s="1336">
        <f>G70+G35</f>
        <v>1012203.5486204404</v>
      </c>
      <c r="H76" s="4"/>
      <c r="I76" s="586"/>
      <c r="J76" s="4"/>
      <c r="K76" s="4"/>
      <c r="L76" s="4"/>
      <c r="M76" s="4"/>
      <c r="N76" s="4"/>
      <c r="O76" s="4"/>
      <c r="P76" s="4"/>
      <c r="Q76" s="4"/>
      <c r="R76" s="4"/>
      <c r="S76" s="4"/>
      <c r="T76" s="4"/>
      <c r="U76" s="4"/>
      <c r="V76" s="4"/>
      <c r="W76" s="4"/>
      <c r="X76" s="4"/>
      <c r="Y76" s="4"/>
      <c r="Z76" s="4"/>
    </row>
    <row r="77" spans="1:26" ht="15.75" customHeight="1" x14ac:dyDescent="0.25">
      <c r="A77" s="4"/>
      <c r="B77" s="4"/>
      <c r="C77" s="116"/>
      <c r="D77" s="4"/>
      <c r="E77" s="4"/>
      <c r="F77" s="4"/>
      <c r="G77" s="1337"/>
      <c r="H77" s="4"/>
      <c r="I77" s="586"/>
      <c r="J77" s="4"/>
      <c r="K77" s="4"/>
      <c r="L77" s="4"/>
      <c r="M77" s="4"/>
      <c r="N77" s="4"/>
      <c r="O77" s="4"/>
      <c r="P77" s="4"/>
      <c r="Q77" s="4"/>
      <c r="R77" s="4"/>
      <c r="S77" s="4"/>
      <c r="T77" s="4"/>
      <c r="U77" s="4"/>
      <c r="V77" s="4"/>
      <c r="W77" s="4"/>
      <c r="X77" s="4"/>
      <c r="Y77" s="4"/>
      <c r="Z77" s="4"/>
    </row>
    <row r="78" spans="1:26" ht="15.75" customHeight="1" x14ac:dyDescent="0.25">
      <c r="A78" s="4"/>
      <c r="B78" s="4"/>
      <c r="C78" s="1334" t="s">
        <v>1057</v>
      </c>
      <c r="D78" s="4"/>
      <c r="E78" s="4"/>
      <c r="F78" s="4"/>
      <c r="G78" s="540">
        <f>G76*0.90718474</f>
        <v>918255.6130823117</v>
      </c>
      <c r="H78" s="4"/>
      <c r="I78" s="586"/>
      <c r="J78" s="4"/>
      <c r="K78" s="4"/>
      <c r="L78" s="4"/>
      <c r="M78" s="4"/>
      <c r="N78" s="4"/>
      <c r="O78" s="4"/>
      <c r="P78" s="4"/>
      <c r="Q78" s="4"/>
      <c r="R78" s="4"/>
      <c r="S78" s="4"/>
      <c r="T78" s="4"/>
      <c r="U78" s="4"/>
      <c r="V78" s="4"/>
      <c r="W78" s="4"/>
      <c r="X78" s="4"/>
      <c r="Y78" s="4"/>
      <c r="Z78" s="4"/>
    </row>
    <row r="79" spans="1:26" ht="15.75" customHeight="1" x14ac:dyDescent="0.25">
      <c r="A79" s="4"/>
      <c r="B79" s="4"/>
      <c r="C79" s="116"/>
      <c r="D79" s="4"/>
      <c r="E79" s="4"/>
      <c r="F79" s="4"/>
      <c r="G79" s="4"/>
      <c r="H79" s="4"/>
      <c r="I79" s="586"/>
      <c r="J79" s="4"/>
      <c r="K79" s="4"/>
      <c r="L79" s="4"/>
      <c r="M79" s="4"/>
      <c r="N79" s="4"/>
      <c r="O79" s="4"/>
      <c r="P79" s="4"/>
      <c r="Q79" s="4"/>
      <c r="R79" s="4"/>
      <c r="S79" s="4"/>
      <c r="T79" s="4"/>
      <c r="U79" s="4"/>
      <c r="V79" s="4"/>
      <c r="W79" s="4"/>
      <c r="X79" s="4"/>
      <c r="Y79" s="4"/>
      <c r="Z79" s="4"/>
    </row>
    <row r="80" spans="1:26" ht="15.75" customHeight="1" x14ac:dyDescent="0.25">
      <c r="A80" s="4"/>
      <c r="B80" s="4"/>
      <c r="C80" s="1334" t="s">
        <v>1058</v>
      </c>
      <c r="D80" s="4"/>
      <c r="E80" s="4"/>
      <c r="F80" s="4"/>
      <c r="G80" s="1337">
        <f>G78/1000000</f>
        <v>0.91825561308231174</v>
      </c>
      <c r="H80" s="4"/>
      <c r="I80" s="586"/>
      <c r="J80" s="4"/>
      <c r="K80" s="4"/>
      <c r="L80" s="4"/>
      <c r="M80" s="4"/>
      <c r="N80" s="4"/>
      <c r="O80" s="4"/>
      <c r="P80" s="4"/>
      <c r="Q80" s="4"/>
      <c r="R80" s="4"/>
      <c r="S80" s="4"/>
      <c r="T80" s="4"/>
      <c r="U80" s="4"/>
      <c r="V80" s="4"/>
      <c r="W80" s="4"/>
      <c r="X80" s="4"/>
      <c r="Y80" s="4"/>
      <c r="Z80" s="4"/>
    </row>
    <row r="81" spans="1:26" ht="15.75" customHeight="1" x14ac:dyDescent="0.25">
      <c r="A81" s="4"/>
      <c r="B81" s="4"/>
      <c r="C81" s="116"/>
      <c r="D81" s="4"/>
      <c r="E81" s="4"/>
      <c r="F81" s="4"/>
      <c r="G81" s="1337"/>
      <c r="H81" s="4"/>
      <c r="I81" s="586"/>
      <c r="J81" s="4"/>
      <c r="K81" s="4"/>
      <c r="L81" s="4"/>
      <c r="M81" s="4"/>
      <c r="N81" s="4"/>
      <c r="O81" s="4"/>
      <c r="P81" s="4"/>
      <c r="Q81" s="4"/>
      <c r="R81" s="4"/>
      <c r="S81" s="4"/>
      <c r="T81" s="4"/>
      <c r="U81" s="4"/>
      <c r="V81" s="4"/>
      <c r="W81" s="4"/>
      <c r="X81" s="4"/>
      <c r="Y81" s="4"/>
      <c r="Z81" s="4"/>
    </row>
    <row r="82" spans="1:26" ht="15.75" customHeight="1" x14ac:dyDescent="0.25">
      <c r="A82" s="4"/>
      <c r="B82" s="4"/>
      <c r="C82" s="152"/>
      <c r="D82" s="244"/>
      <c r="E82" s="244"/>
      <c r="F82" s="244"/>
      <c r="G82" s="244"/>
      <c r="H82" s="244"/>
      <c r="I82" s="591"/>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ZY8A5DhRXdkXVqzpglqxvPKrw6y1gd3BFN5Fo4mvZMZ/1Z1qhrhshx5sqOx2cWoLk1vcpTGywSB/An3E6bQTcA==" saltValue="Vhf33DrKyw4BJUPObNXNTA==" spinCount="100000" sheet="1" objects="1" scenarios="1"/>
  <pageMargins left="0.7" right="0.7" top="0.75" bottom="0.75" header="0" footer="0"/>
  <pageSetup orientation="landscape"/>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6.83203125" defaultRowHeight="15" customHeight="1" x14ac:dyDescent="0.2"/>
  <cols>
    <col min="1" max="2" width="9.33203125" customWidth="1"/>
    <col min="3" max="3" width="26.33203125" customWidth="1"/>
    <col min="4" max="4" width="32.1640625" customWidth="1"/>
    <col min="5" max="5" width="19.5" customWidth="1"/>
    <col min="6" max="6" width="2.33203125" customWidth="1"/>
    <col min="7" max="7" width="18.1640625" customWidth="1"/>
    <col min="8" max="8" width="2.33203125" customWidth="1"/>
    <col min="9" max="9" width="14.5" customWidth="1"/>
    <col min="10" max="10" width="13.33203125" customWidth="1"/>
    <col min="11" max="19" width="9.33203125" customWidth="1"/>
    <col min="20" max="26" width="8" customWidth="1"/>
  </cols>
  <sheetData>
    <row r="1" spans="1:26" x14ac:dyDescent="0.25">
      <c r="A1" s="4" t="s">
        <v>969</v>
      </c>
      <c r="B1" s="260"/>
      <c r="C1" s="4"/>
      <c r="D1" s="4"/>
      <c r="E1" s="3" t="s">
        <v>268</v>
      </c>
      <c r="F1" s="4"/>
      <c r="G1" s="4"/>
      <c r="H1" s="4"/>
      <c r="I1" s="4"/>
      <c r="J1" s="4"/>
      <c r="K1" s="4"/>
      <c r="L1" s="4"/>
      <c r="M1" s="4"/>
      <c r="N1" s="4"/>
      <c r="O1" s="4"/>
      <c r="P1" s="4"/>
      <c r="Q1" s="4"/>
      <c r="R1" s="4"/>
      <c r="S1" s="4"/>
      <c r="T1" s="4"/>
      <c r="U1" s="4"/>
      <c r="V1" s="4"/>
      <c r="W1" s="4"/>
      <c r="X1" s="4"/>
      <c r="Y1" s="4"/>
      <c r="Z1" s="4"/>
    </row>
    <row r="2" spans="1:26" ht="57.75" customHeight="1" x14ac:dyDescent="0.25">
      <c r="A2" s="4"/>
      <c r="B2" s="1338"/>
      <c r="C2" s="1338"/>
      <c r="D2" s="1100"/>
      <c r="E2" s="1100"/>
      <c r="F2" s="1100"/>
      <c r="G2" s="1100"/>
      <c r="H2" s="1339"/>
      <c r="I2" s="4"/>
      <c r="J2" s="1339"/>
      <c r="K2" s="1339"/>
      <c r="L2" s="1339"/>
      <c r="M2" s="4"/>
      <c r="N2" s="4"/>
      <c r="O2" s="4"/>
      <c r="P2" s="4"/>
      <c r="Q2" s="4"/>
      <c r="R2" s="4"/>
      <c r="S2" s="4"/>
      <c r="T2" s="4"/>
      <c r="U2" s="4"/>
      <c r="V2" s="4"/>
      <c r="W2" s="4"/>
      <c r="X2" s="4"/>
      <c r="Y2" s="4"/>
      <c r="Z2" s="4"/>
    </row>
    <row r="3" spans="1:26" x14ac:dyDescent="0.25">
      <c r="A3" s="4"/>
      <c r="B3" s="1340"/>
      <c r="C3" s="1341"/>
      <c r="D3" s="1342" t="s">
        <v>1059</v>
      </c>
      <c r="E3" s="1342" t="s">
        <v>814</v>
      </c>
      <c r="F3" s="1342"/>
      <c r="G3" s="1342" t="s">
        <v>1060</v>
      </c>
      <c r="H3" s="1341"/>
      <c r="I3" s="1342" t="s">
        <v>628</v>
      </c>
      <c r="J3" s="1343" t="s">
        <v>628</v>
      </c>
      <c r="K3" s="4"/>
      <c r="L3" s="4"/>
      <c r="M3" s="4"/>
      <c r="N3" s="4"/>
      <c r="O3" s="4"/>
      <c r="P3" s="4"/>
      <c r="Q3" s="4"/>
      <c r="R3" s="4"/>
      <c r="S3" s="4"/>
      <c r="T3" s="4"/>
      <c r="U3" s="4"/>
      <c r="V3" s="4"/>
      <c r="W3" s="4"/>
      <c r="X3" s="4"/>
      <c r="Y3" s="4"/>
      <c r="Z3" s="4"/>
    </row>
    <row r="4" spans="1:26" x14ac:dyDescent="0.25">
      <c r="A4" s="4"/>
      <c r="B4" s="1344"/>
      <c r="C4" s="107"/>
      <c r="D4" s="1124" t="s">
        <v>1061</v>
      </c>
      <c r="E4" s="1124" t="s">
        <v>1062</v>
      </c>
      <c r="F4" s="1124"/>
      <c r="G4" s="1124" t="s">
        <v>1063</v>
      </c>
      <c r="H4" s="107"/>
      <c r="I4" s="1124" t="s">
        <v>1064</v>
      </c>
      <c r="J4" s="1345" t="s">
        <v>1065</v>
      </c>
      <c r="K4" s="4"/>
      <c r="L4" s="4"/>
      <c r="M4" s="4"/>
      <c r="N4" s="4"/>
      <c r="O4" s="4"/>
      <c r="P4" s="4"/>
      <c r="Q4" s="4"/>
      <c r="R4" s="4"/>
      <c r="S4" s="4"/>
      <c r="T4" s="4"/>
      <c r="U4" s="4"/>
      <c r="V4" s="4"/>
      <c r="W4" s="4"/>
      <c r="X4" s="4"/>
      <c r="Y4" s="4"/>
      <c r="Z4" s="4"/>
    </row>
    <row r="5" spans="1:26" x14ac:dyDescent="0.25">
      <c r="A5" s="4"/>
      <c r="B5" s="1344"/>
      <c r="C5" s="105"/>
      <c r="D5" s="1124"/>
      <c r="E5" s="1124"/>
      <c r="F5" s="1124"/>
      <c r="G5" s="1124"/>
      <c r="H5" s="1124"/>
      <c r="I5" s="1124"/>
      <c r="J5" s="1346"/>
      <c r="K5" s="4"/>
      <c r="L5" s="4"/>
      <c r="M5" s="4"/>
      <c r="N5" s="4"/>
      <c r="O5" s="4"/>
      <c r="P5" s="4"/>
      <c r="Q5" s="4"/>
      <c r="R5" s="4"/>
      <c r="S5" s="4"/>
      <c r="T5" s="4"/>
      <c r="U5" s="4"/>
      <c r="V5" s="4"/>
      <c r="W5" s="4"/>
      <c r="X5" s="4"/>
      <c r="Y5" s="4"/>
      <c r="Z5" s="4"/>
    </row>
    <row r="6" spans="1:26" x14ac:dyDescent="0.25">
      <c r="A6" s="4"/>
      <c r="B6" s="1347"/>
      <c r="C6" s="106"/>
      <c r="D6" s="107"/>
      <c r="E6" s="107"/>
      <c r="F6" s="107"/>
      <c r="G6" s="1348"/>
      <c r="H6" s="107"/>
      <c r="I6" s="107"/>
      <c r="J6" s="1346"/>
      <c r="K6" s="4"/>
      <c r="L6" s="4"/>
      <c r="M6" s="4"/>
      <c r="N6" s="4"/>
      <c r="O6" s="4"/>
      <c r="P6" s="4"/>
      <c r="Q6" s="4"/>
      <c r="R6" s="4"/>
      <c r="S6" s="4"/>
      <c r="T6" s="4"/>
      <c r="U6" s="4"/>
      <c r="V6" s="4"/>
      <c r="W6" s="4"/>
      <c r="X6" s="4"/>
      <c r="Y6" s="4"/>
      <c r="Z6" s="4"/>
    </row>
    <row r="7" spans="1:26" x14ac:dyDescent="0.25">
      <c r="A7" s="4"/>
      <c r="B7" s="1349">
        <v>2011</v>
      </c>
      <c r="C7" s="1350" t="s">
        <v>974</v>
      </c>
      <c r="D7" s="1351">
        <v>0</v>
      </c>
      <c r="E7" s="1170">
        <v>1.2</v>
      </c>
      <c r="F7" s="1170"/>
      <c r="G7" s="232">
        <f>D8*E8</f>
        <v>951.18999999999994</v>
      </c>
      <c r="H7" s="106"/>
      <c r="I7" s="232">
        <f>IF(D7&gt;0,D7*E7-(G7),0)</f>
        <v>0</v>
      </c>
      <c r="J7" s="1352"/>
      <c r="K7" s="98"/>
      <c r="L7" s="4"/>
      <c r="M7" s="4"/>
      <c r="N7" s="4"/>
      <c r="O7" s="4"/>
      <c r="P7" s="4"/>
      <c r="Q7" s="4"/>
      <c r="R7" s="4"/>
      <c r="S7" s="4"/>
      <c r="T7" s="4"/>
      <c r="U7" s="4"/>
      <c r="V7" s="4"/>
      <c r="W7" s="4"/>
      <c r="X7" s="4"/>
      <c r="Y7" s="4"/>
      <c r="Z7" s="4"/>
    </row>
    <row r="8" spans="1:26" x14ac:dyDescent="0.25">
      <c r="A8" s="4"/>
      <c r="B8" s="1353">
        <v>18</v>
      </c>
      <c r="C8" s="1350" t="s">
        <v>975</v>
      </c>
      <c r="D8" s="1351">
        <v>1303</v>
      </c>
      <c r="E8" s="253">
        <v>0.73</v>
      </c>
      <c r="F8" s="253"/>
      <c r="G8" s="106"/>
      <c r="H8" s="106"/>
      <c r="I8" s="232">
        <f>D8*E8</f>
        <v>951.18999999999994</v>
      </c>
      <c r="J8" s="1354">
        <f>I8/1000000</f>
        <v>9.5118999999999998E-4</v>
      </c>
      <c r="K8" s="98"/>
      <c r="L8" s="4"/>
      <c r="M8" s="4"/>
      <c r="N8" s="4"/>
      <c r="O8" s="4"/>
      <c r="P8" s="4"/>
      <c r="Q8" s="4"/>
      <c r="R8" s="4"/>
      <c r="S8" s="4"/>
      <c r="T8" s="4"/>
      <c r="U8" s="4"/>
      <c r="V8" s="4"/>
      <c r="W8" s="4"/>
      <c r="X8" s="4"/>
      <c r="Y8" s="4"/>
      <c r="Z8" s="4"/>
    </row>
    <row r="9" spans="1:26" x14ac:dyDescent="0.25">
      <c r="A9" s="4"/>
      <c r="B9" s="1355"/>
      <c r="C9" s="1356"/>
      <c r="D9" s="1331"/>
      <c r="E9" s="1331"/>
      <c r="F9" s="1331"/>
      <c r="G9" s="1357"/>
      <c r="H9" s="1331"/>
      <c r="I9" s="1331"/>
      <c r="J9" s="1358"/>
      <c r="K9" s="4"/>
      <c r="L9" s="4"/>
      <c r="M9" s="4"/>
      <c r="N9" s="4"/>
      <c r="O9" s="4"/>
      <c r="P9" s="4"/>
      <c r="Q9" s="4"/>
      <c r="R9" s="4"/>
      <c r="S9" s="4"/>
      <c r="T9" s="4"/>
      <c r="U9" s="4"/>
      <c r="V9" s="4"/>
      <c r="W9" s="4"/>
      <c r="X9" s="4"/>
      <c r="Y9" s="4"/>
      <c r="Z9" s="4"/>
    </row>
    <row r="10" spans="1:26" x14ac:dyDescent="0.25">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x14ac:dyDescent="0.25">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x14ac:dyDescent="0.25">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x14ac:dyDescent="0.25">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x14ac:dyDescent="0.25">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x14ac:dyDescent="0.25">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x14ac:dyDescent="0.25">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x14ac:dyDescent="0.25">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x14ac:dyDescent="0.25">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x14ac:dyDescent="0.25">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x14ac:dyDescent="0.25">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5">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5">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cfXDW9Gu+Nz+4hx2Lv1Rvt//2QmD36XWBMrdO0PS4hmixXOaPZ/EuJ1+aXGbnGyroXGUu9B6CHcTtXDsYSX+mg==" saltValue="gBbsZpB8g8vA7wXPUhFZyA==" spinCount="100000" sheet="1" objects="1" scenarios="1"/>
  <pageMargins left="0.7" right="0.7" top="0.75" bottom="0.75" header="0" footer="0"/>
  <pageSetup orientation="landscape"/>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6.83203125" defaultRowHeight="15" customHeight="1" x14ac:dyDescent="0.2"/>
  <cols>
    <col min="1" max="1" width="9.33203125" customWidth="1"/>
    <col min="2" max="2" width="0.1640625" customWidth="1"/>
    <col min="3" max="3" width="14.1640625" customWidth="1"/>
    <col min="4" max="4" width="15.6640625" customWidth="1"/>
    <col min="5" max="5" width="14.6640625" customWidth="1"/>
    <col min="6" max="6" width="31.5" customWidth="1"/>
    <col min="7" max="7" width="38" customWidth="1"/>
    <col min="8" max="26" width="8" customWidth="1"/>
  </cols>
  <sheetData>
    <row r="1" spans="1:26" x14ac:dyDescent="0.25">
      <c r="A1" s="4" t="s">
        <v>1066</v>
      </c>
      <c r="B1" s="260"/>
      <c r="C1" s="4"/>
      <c r="D1" s="4"/>
      <c r="E1" s="4"/>
      <c r="F1" s="4"/>
      <c r="G1" s="3" t="s">
        <v>268</v>
      </c>
      <c r="H1" s="4"/>
      <c r="I1" s="4"/>
      <c r="J1" s="4"/>
      <c r="K1" s="4"/>
      <c r="L1" s="4"/>
      <c r="M1" s="4"/>
      <c r="N1" s="4"/>
      <c r="O1" s="4"/>
      <c r="P1" s="4"/>
      <c r="Q1" s="4"/>
      <c r="R1" s="4"/>
      <c r="S1" s="4"/>
      <c r="T1" s="4"/>
      <c r="U1" s="4"/>
      <c r="V1" s="4"/>
      <c r="W1" s="4"/>
      <c r="X1" s="4"/>
      <c r="Y1" s="4"/>
      <c r="Z1" s="4"/>
    </row>
    <row r="2" spans="1:26" ht="68.25" customHeight="1" x14ac:dyDescent="0.25">
      <c r="A2" s="4"/>
      <c r="B2" s="4"/>
      <c r="C2" s="4"/>
      <c r="D2" s="4"/>
      <c r="E2" s="4"/>
      <c r="F2" s="4"/>
      <c r="G2" s="4"/>
      <c r="H2" s="4"/>
      <c r="I2" s="4"/>
      <c r="J2" s="4"/>
      <c r="K2" s="4"/>
      <c r="L2" s="4"/>
      <c r="M2" s="4"/>
      <c r="N2" s="4"/>
      <c r="O2" s="4"/>
      <c r="P2" s="4"/>
      <c r="Q2" s="4"/>
      <c r="R2" s="4"/>
      <c r="S2" s="4"/>
      <c r="T2" s="4"/>
      <c r="U2" s="4"/>
      <c r="V2" s="4"/>
      <c r="W2" s="4"/>
      <c r="X2" s="4"/>
      <c r="Y2" s="4"/>
      <c r="Z2" s="4"/>
    </row>
    <row r="3" spans="1:26" x14ac:dyDescent="0.25">
      <c r="A3" s="4"/>
      <c r="B3" s="4"/>
      <c r="C3" s="4"/>
      <c r="D3" s="4"/>
      <c r="E3" s="4"/>
      <c r="F3" s="4"/>
      <c r="G3" s="4"/>
      <c r="H3" s="4"/>
      <c r="I3" s="4"/>
      <c r="J3" s="4"/>
      <c r="K3" s="4"/>
      <c r="L3" s="4"/>
      <c r="M3" s="4"/>
      <c r="N3" s="4"/>
      <c r="O3" s="4"/>
      <c r="P3" s="4"/>
      <c r="Q3" s="4"/>
      <c r="R3" s="4"/>
      <c r="S3" s="4"/>
      <c r="T3" s="4"/>
      <c r="U3" s="4"/>
      <c r="V3" s="4"/>
      <c r="W3" s="4"/>
      <c r="X3" s="4"/>
      <c r="Y3" s="4"/>
      <c r="Z3" s="4"/>
    </row>
    <row r="4" spans="1:26" x14ac:dyDescent="0.25">
      <c r="A4" s="4"/>
      <c r="B4" s="4"/>
      <c r="C4" s="4"/>
      <c r="D4" s="4"/>
      <c r="E4" s="4"/>
      <c r="F4" s="4"/>
      <c r="G4" s="4"/>
      <c r="H4" s="4"/>
      <c r="I4" s="4"/>
      <c r="J4" s="4"/>
      <c r="K4" s="4"/>
      <c r="L4" s="4"/>
      <c r="M4" s="4"/>
      <c r="N4" s="4"/>
      <c r="O4" s="4"/>
      <c r="P4" s="4"/>
      <c r="Q4" s="4"/>
      <c r="R4" s="4"/>
      <c r="S4" s="4"/>
      <c r="T4" s="4"/>
      <c r="U4" s="4"/>
      <c r="V4" s="4"/>
      <c r="W4" s="4"/>
      <c r="X4" s="4"/>
      <c r="Y4" s="4"/>
      <c r="Z4" s="4"/>
    </row>
    <row r="5" spans="1:26" x14ac:dyDescent="0.25">
      <c r="A5" s="4"/>
      <c r="B5" s="4"/>
      <c r="C5" s="4"/>
      <c r="D5" s="4"/>
      <c r="E5" s="4"/>
      <c r="F5" s="4"/>
      <c r="G5" s="4"/>
      <c r="H5" s="4"/>
      <c r="I5" s="4"/>
      <c r="J5" s="4"/>
      <c r="K5" s="4"/>
      <c r="L5" s="4"/>
      <c r="M5" s="4"/>
      <c r="N5" s="4"/>
      <c r="O5" s="4"/>
      <c r="P5" s="4"/>
      <c r="Q5" s="4"/>
      <c r="R5" s="4"/>
      <c r="S5" s="4"/>
      <c r="T5" s="4"/>
      <c r="U5" s="4"/>
      <c r="V5" s="4"/>
      <c r="W5" s="4"/>
      <c r="X5" s="4"/>
      <c r="Y5" s="4"/>
      <c r="Z5" s="4"/>
    </row>
    <row r="6" spans="1:26" x14ac:dyDescent="0.25">
      <c r="A6" s="4"/>
      <c r="B6" s="4"/>
      <c r="C6" s="4"/>
      <c r="D6" s="99"/>
      <c r="E6" s="100"/>
      <c r="F6" s="775" t="s">
        <v>1067</v>
      </c>
      <c r="G6" s="778" t="s">
        <v>1068</v>
      </c>
      <c r="H6" s="4"/>
      <c r="I6" s="4"/>
      <c r="J6" s="4"/>
      <c r="K6" s="4"/>
      <c r="L6" s="4"/>
      <c r="M6" s="4"/>
      <c r="N6" s="4"/>
      <c r="O6" s="4"/>
      <c r="P6" s="4"/>
      <c r="Q6" s="4"/>
      <c r="R6" s="4"/>
      <c r="S6" s="4"/>
      <c r="T6" s="4"/>
      <c r="U6" s="4"/>
      <c r="V6" s="4"/>
      <c r="W6" s="4"/>
      <c r="X6" s="4"/>
      <c r="Y6" s="4"/>
      <c r="Z6" s="4"/>
    </row>
    <row r="7" spans="1:26" x14ac:dyDescent="0.25">
      <c r="A7" s="4"/>
      <c r="B7" s="4"/>
      <c r="C7" s="4"/>
      <c r="D7" s="798"/>
      <c r="E7" s="799"/>
      <c r="F7" s="799"/>
      <c r="G7" s="1359"/>
      <c r="H7" s="4"/>
      <c r="I7" s="4"/>
      <c r="J7" s="2146" t="s">
        <v>0</v>
      </c>
      <c r="K7" s="2147"/>
      <c r="L7" s="4"/>
      <c r="M7" s="4"/>
      <c r="N7" s="4"/>
      <c r="O7" s="4"/>
      <c r="P7" s="4"/>
      <c r="Q7" s="4"/>
      <c r="R7" s="4"/>
      <c r="S7" s="4"/>
      <c r="T7" s="4"/>
      <c r="U7" s="4"/>
      <c r="V7" s="4"/>
      <c r="W7" s="4"/>
      <c r="X7" s="4"/>
      <c r="Y7" s="4"/>
      <c r="Z7" s="4"/>
    </row>
    <row r="8" spans="1:26" ht="15.75" customHeight="1" x14ac:dyDescent="0.3">
      <c r="A8" s="4"/>
      <c r="B8" s="4"/>
      <c r="C8" s="4"/>
      <c r="D8" s="99"/>
      <c r="E8" s="100" t="s">
        <v>1069</v>
      </c>
      <c r="F8" s="1360">
        <v>163493.79999999999</v>
      </c>
      <c r="G8" s="1361">
        <f t="shared" ref="G8:G10" si="0">F8*1.1023</f>
        <v>180219.21573999999</v>
      </c>
      <c r="H8" s="4"/>
      <c r="I8" s="4"/>
      <c r="J8" s="120"/>
      <c r="K8" s="120"/>
      <c r="L8" s="4"/>
      <c r="M8" s="4"/>
      <c r="N8" s="4"/>
      <c r="O8" s="4"/>
      <c r="P8" s="4"/>
      <c r="Q8" s="4"/>
      <c r="R8" s="4"/>
      <c r="S8" s="4"/>
      <c r="T8" s="4"/>
      <c r="U8" s="4"/>
      <c r="V8" s="4"/>
      <c r="W8" s="4"/>
      <c r="X8" s="4"/>
      <c r="Y8" s="4"/>
      <c r="Z8" s="4"/>
    </row>
    <row r="9" spans="1:26" ht="15.75" customHeight="1" x14ac:dyDescent="0.3">
      <c r="A9" s="4"/>
      <c r="B9" s="4"/>
      <c r="C9" s="4"/>
      <c r="D9" s="1362" t="s">
        <v>1070</v>
      </c>
      <c r="E9" s="107" t="s">
        <v>1071</v>
      </c>
      <c r="F9" s="253">
        <v>0.01</v>
      </c>
      <c r="G9" s="1363">
        <f t="shared" si="0"/>
        <v>1.1023000000000002E-2</v>
      </c>
      <c r="H9" s="4"/>
      <c r="I9" s="4"/>
      <c r="J9" s="124" t="s">
        <v>4</v>
      </c>
      <c r="K9" s="125">
        <f>'Summ GHG Rpt Expanded'!G4</f>
        <v>1</v>
      </c>
      <c r="L9" s="4"/>
      <c r="M9" s="4"/>
      <c r="N9" s="4"/>
      <c r="O9" s="4"/>
      <c r="P9" s="4"/>
      <c r="Q9" s="4"/>
      <c r="R9" s="4"/>
      <c r="S9" s="4"/>
      <c r="T9" s="4"/>
      <c r="U9" s="4"/>
      <c r="V9" s="4"/>
      <c r="W9" s="4"/>
      <c r="X9" s="4"/>
      <c r="Y9" s="4"/>
      <c r="Z9" s="4"/>
    </row>
    <row r="10" spans="1:26" ht="15.75" customHeight="1" x14ac:dyDescent="0.3">
      <c r="A10" s="4"/>
      <c r="B10" s="4"/>
      <c r="C10" s="4"/>
      <c r="D10" s="1364"/>
      <c r="E10" s="110" t="s">
        <v>1072</v>
      </c>
      <c r="F10" s="1365">
        <v>5.8999999999999997E-2</v>
      </c>
      <c r="G10" s="1366">
        <f t="shared" si="0"/>
        <v>6.5035700000000002E-2</v>
      </c>
      <c r="H10" s="4"/>
      <c r="I10" s="4"/>
      <c r="J10" s="124" t="s">
        <v>5</v>
      </c>
      <c r="K10" s="125">
        <f>'Summ GHG Rpt Expanded'!G5</f>
        <v>28</v>
      </c>
      <c r="L10" s="4"/>
      <c r="M10" s="4"/>
      <c r="N10" s="4"/>
      <c r="O10" s="4"/>
      <c r="P10" s="4"/>
      <c r="Q10" s="4"/>
      <c r="R10" s="4"/>
      <c r="S10" s="4"/>
      <c r="T10" s="4"/>
      <c r="U10" s="4"/>
      <c r="V10" s="4"/>
      <c r="W10" s="4"/>
      <c r="X10" s="4"/>
      <c r="Y10" s="4"/>
      <c r="Z10" s="4"/>
    </row>
    <row r="11" spans="1:26" ht="15.75" customHeight="1" x14ac:dyDescent="0.3">
      <c r="A11" s="4"/>
      <c r="B11" s="4"/>
      <c r="C11" s="4"/>
      <c r="D11" s="1367"/>
      <c r="E11" s="100" t="s">
        <v>1073</v>
      </c>
      <c r="F11" s="295">
        <f t="shared" ref="F11:F12" si="1">G11/1.1023</f>
        <v>495389.63984396262</v>
      </c>
      <c r="G11" s="1368">
        <v>546068</v>
      </c>
      <c r="H11" s="4"/>
      <c r="I11" s="4"/>
      <c r="J11" s="124" t="s">
        <v>6</v>
      </c>
      <c r="K11" s="125">
        <f>'Summ GHG Rpt Expanded'!G6</f>
        <v>265</v>
      </c>
      <c r="L11" s="4"/>
      <c r="M11" s="4"/>
      <c r="N11" s="4"/>
      <c r="O11" s="4"/>
      <c r="P11" s="4"/>
      <c r="Q11" s="4"/>
      <c r="R11" s="4"/>
      <c r="S11" s="4"/>
      <c r="T11" s="4"/>
      <c r="U11" s="4"/>
      <c r="V11" s="4"/>
      <c r="W11" s="4"/>
      <c r="X11" s="4"/>
      <c r="Y11" s="4"/>
      <c r="Z11" s="4"/>
    </row>
    <row r="12" spans="1:26" ht="15.75" customHeight="1" x14ac:dyDescent="0.3">
      <c r="A12" s="4"/>
      <c r="B12" s="4"/>
      <c r="C12" s="4"/>
      <c r="D12" s="1362" t="s">
        <v>1074</v>
      </c>
      <c r="E12" s="107" t="s">
        <v>1075</v>
      </c>
      <c r="F12" s="295">
        <f t="shared" si="1"/>
        <v>0.9071940488070398</v>
      </c>
      <c r="G12" s="1369">
        <v>1</v>
      </c>
      <c r="H12" s="4"/>
      <c r="I12" s="4"/>
      <c r="J12" s="124" t="s">
        <v>7</v>
      </c>
      <c r="K12" s="129">
        <f>'Summ GHG Rpt Expanded'!G7</f>
        <v>23500</v>
      </c>
      <c r="L12" s="4"/>
      <c r="M12" s="4"/>
      <c r="N12" s="4"/>
      <c r="O12" s="4"/>
      <c r="P12" s="4"/>
      <c r="Q12" s="4"/>
      <c r="R12" s="4"/>
      <c r="S12" s="4"/>
      <c r="T12" s="4"/>
      <c r="U12" s="4"/>
      <c r="V12" s="4"/>
      <c r="W12" s="4"/>
      <c r="X12" s="4"/>
      <c r="Y12" s="4"/>
      <c r="Z12" s="4"/>
    </row>
    <row r="13" spans="1:26" ht="15.75" customHeight="1" x14ac:dyDescent="0.3">
      <c r="A13" s="4"/>
      <c r="B13" s="4"/>
      <c r="C13" s="4"/>
      <c r="D13" s="1367"/>
      <c r="E13" s="110" t="s">
        <v>1076</v>
      </c>
      <c r="F13" s="295"/>
      <c r="G13" s="1369">
        <v>0</v>
      </c>
      <c r="H13" s="4"/>
      <c r="I13" s="4"/>
      <c r="J13" s="124" t="s">
        <v>8</v>
      </c>
      <c r="K13" s="129">
        <f>'Summ GHG Rpt Expanded'!G8</f>
        <v>11100</v>
      </c>
      <c r="L13" s="4"/>
      <c r="M13" s="4"/>
      <c r="N13" s="4"/>
      <c r="O13" s="4"/>
      <c r="P13" s="4"/>
      <c r="Q13" s="4"/>
      <c r="R13" s="4"/>
      <c r="S13" s="4"/>
      <c r="T13" s="4"/>
      <c r="U13" s="4"/>
      <c r="V13" s="4"/>
      <c r="W13" s="4"/>
      <c r="X13" s="4"/>
      <c r="Y13" s="4"/>
      <c r="Z13" s="4"/>
    </row>
    <row r="14" spans="1:26" ht="15.75" customHeight="1" x14ac:dyDescent="0.3">
      <c r="A14" s="4"/>
      <c r="B14" s="4"/>
      <c r="C14" s="4"/>
      <c r="D14" s="1370" t="s">
        <v>1077</v>
      </c>
      <c r="E14" s="1297" t="s">
        <v>1078</v>
      </c>
      <c r="F14" s="1371">
        <v>101100.8</v>
      </c>
      <c r="G14" s="1372">
        <f>F14*1.1023</f>
        <v>111443.41184000002</v>
      </c>
      <c r="H14" s="4"/>
      <c r="I14" s="4"/>
      <c r="J14" s="4"/>
      <c r="K14" s="4"/>
      <c r="L14" s="4"/>
      <c r="M14" s="4"/>
      <c r="N14" s="4"/>
      <c r="O14" s="4"/>
      <c r="P14" s="4"/>
      <c r="Q14" s="4"/>
      <c r="R14" s="4"/>
      <c r="S14" s="4"/>
      <c r="T14" s="4"/>
      <c r="U14" s="4"/>
      <c r="V14" s="4"/>
      <c r="W14" s="4"/>
      <c r="X14" s="4"/>
      <c r="Y14" s="4"/>
      <c r="Z14" s="4"/>
    </row>
    <row r="15" spans="1:26" x14ac:dyDescent="0.25">
      <c r="A15" s="4"/>
      <c r="B15" s="4"/>
      <c r="C15" s="4"/>
      <c r="D15" s="1367"/>
      <c r="E15" s="278"/>
      <c r="F15" s="295"/>
      <c r="G15" s="1369"/>
      <c r="H15" s="4"/>
      <c r="I15" s="4"/>
      <c r="J15" s="4"/>
      <c r="K15" s="4"/>
      <c r="L15" s="4"/>
      <c r="M15" s="4"/>
      <c r="N15" s="4"/>
      <c r="O15" s="4"/>
      <c r="P15" s="4"/>
      <c r="Q15" s="4"/>
      <c r="R15" s="4"/>
      <c r="S15" s="4"/>
      <c r="T15" s="4"/>
      <c r="U15" s="4"/>
      <c r="V15" s="4"/>
      <c r="W15" s="4"/>
      <c r="X15" s="4"/>
      <c r="Y15" s="4"/>
      <c r="Z15" s="4"/>
    </row>
    <row r="16" spans="1:26" ht="15.75" customHeight="1" x14ac:dyDescent="0.3">
      <c r="A16" s="4"/>
      <c r="B16" s="4"/>
      <c r="C16" s="4"/>
      <c r="D16" s="1370" t="s">
        <v>1079</v>
      </c>
      <c r="E16" s="1297" t="s">
        <v>1080</v>
      </c>
      <c r="F16" s="1371">
        <v>149728.20000000001</v>
      </c>
      <c r="G16" s="1372">
        <f>F16*1.1023</f>
        <v>165045.39486000003</v>
      </c>
      <c r="H16" s="4"/>
      <c r="I16" s="4"/>
      <c r="J16" s="4"/>
      <c r="K16" s="4"/>
      <c r="L16" s="4"/>
      <c r="M16" s="4"/>
      <c r="N16" s="4"/>
      <c r="O16" s="4"/>
      <c r="P16" s="4"/>
      <c r="Q16" s="4"/>
      <c r="R16" s="4"/>
      <c r="S16" s="4"/>
      <c r="T16" s="4"/>
      <c r="U16" s="4"/>
      <c r="V16" s="4"/>
      <c r="W16" s="4"/>
      <c r="X16" s="4"/>
      <c r="Y16" s="4"/>
      <c r="Z16" s="4"/>
    </row>
    <row r="17" spans="1:26" x14ac:dyDescent="0.25">
      <c r="A17" s="4"/>
      <c r="B17" s="4"/>
      <c r="C17" s="4"/>
      <c r="D17" s="1367"/>
      <c r="E17" s="278"/>
      <c r="F17" s="278"/>
      <c r="G17" s="1369"/>
      <c r="H17" s="4"/>
      <c r="I17" s="4"/>
      <c r="J17" s="4"/>
      <c r="K17" s="4"/>
      <c r="L17" s="4"/>
      <c r="M17" s="4"/>
      <c r="N17" s="4"/>
      <c r="O17" s="4"/>
      <c r="P17" s="4"/>
      <c r="Q17" s="4"/>
      <c r="R17" s="4"/>
      <c r="S17" s="4"/>
      <c r="T17" s="4"/>
      <c r="U17" s="4"/>
      <c r="V17" s="4"/>
      <c r="W17" s="4"/>
      <c r="X17" s="4"/>
      <c r="Y17" s="4"/>
      <c r="Z17" s="4"/>
    </row>
    <row r="18" spans="1:26" ht="15.75" customHeight="1" x14ac:dyDescent="0.3">
      <c r="A18" s="4"/>
      <c r="B18" s="4"/>
      <c r="C18" s="4"/>
      <c r="D18" s="1373"/>
      <c r="E18" s="1374" t="s">
        <v>1081</v>
      </c>
      <c r="F18" s="1375">
        <f t="shared" ref="F18:G18" si="2">F8+F14+F16+F11</f>
        <v>909712.43984396267</v>
      </c>
      <c r="G18" s="1376">
        <f t="shared" si="2"/>
        <v>1002776.02244</v>
      </c>
      <c r="H18" s="4"/>
      <c r="I18" s="4"/>
      <c r="J18" s="4"/>
      <c r="K18" s="4"/>
      <c r="L18" s="4"/>
      <c r="M18" s="4"/>
      <c r="N18" s="4"/>
      <c r="O18" s="4"/>
      <c r="P18" s="4"/>
      <c r="Q18" s="4"/>
      <c r="R18" s="4"/>
      <c r="S18" s="4"/>
      <c r="T18" s="4"/>
      <c r="U18" s="4"/>
      <c r="V18" s="4"/>
      <c r="W18" s="4"/>
      <c r="X18" s="4"/>
      <c r="Y18" s="4"/>
      <c r="Z18" s="4"/>
    </row>
    <row r="19" spans="1:26" ht="15.75" customHeight="1" x14ac:dyDescent="0.3">
      <c r="A19" s="4"/>
      <c r="B19" s="4"/>
      <c r="C19" s="4"/>
      <c r="D19" s="1377" t="s">
        <v>222</v>
      </c>
      <c r="E19" s="1378" t="s">
        <v>1082</v>
      </c>
      <c r="F19" s="1379">
        <f t="shared" ref="F19:G19" si="3">F9+F12</f>
        <v>0.91719404880703981</v>
      </c>
      <c r="G19" s="1380">
        <f t="shared" si="3"/>
        <v>1.011023</v>
      </c>
      <c r="H19" s="4"/>
      <c r="I19" s="4"/>
      <c r="J19" s="4"/>
      <c r="K19" s="4"/>
      <c r="L19" s="4"/>
      <c r="M19" s="4"/>
      <c r="N19" s="4"/>
      <c r="O19" s="4"/>
      <c r="P19" s="4"/>
      <c r="Q19" s="4"/>
      <c r="R19" s="4"/>
      <c r="S19" s="4"/>
      <c r="T19" s="4"/>
      <c r="U19" s="4"/>
      <c r="V19" s="4"/>
      <c r="W19" s="4"/>
      <c r="X19" s="4"/>
      <c r="Y19" s="4"/>
      <c r="Z19" s="4"/>
    </row>
    <row r="20" spans="1:26" ht="15.75" customHeight="1" x14ac:dyDescent="0.3">
      <c r="A20" s="4"/>
      <c r="B20" s="4"/>
      <c r="C20" s="4"/>
      <c r="D20" s="1381"/>
      <c r="E20" s="1382" t="s">
        <v>1083</v>
      </c>
      <c r="F20" s="1383">
        <f>F10</f>
        <v>5.8999999999999997E-2</v>
      </c>
      <c r="G20" s="1384">
        <f>G10+G13</f>
        <v>6.5035700000000002E-2</v>
      </c>
      <c r="H20" s="4"/>
      <c r="I20" s="4"/>
      <c r="J20" s="4"/>
      <c r="K20" s="4"/>
      <c r="L20" s="4"/>
      <c r="M20" s="4"/>
      <c r="N20" s="4"/>
      <c r="O20" s="4"/>
      <c r="P20" s="4"/>
      <c r="Q20" s="4"/>
      <c r="R20" s="4"/>
      <c r="S20" s="4"/>
      <c r="T20" s="4"/>
      <c r="U20" s="4"/>
      <c r="V20" s="4"/>
      <c r="W20" s="4"/>
      <c r="X20" s="4"/>
      <c r="Y20" s="4"/>
      <c r="Z20" s="4"/>
    </row>
    <row r="21" spans="1:26" ht="15.75" customHeight="1" x14ac:dyDescent="0.25">
      <c r="A21" s="4"/>
      <c r="B21" s="4"/>
      <c r="C21" s="4"/>
      <c r="D21" s="1385"/>
      <c r="E21" s="298"/>
      <c r="F21" s="298"/>
      <c r="G21" s="1386"/>
      <c r="H21" s="4"/>
      <c r="I21" s="4"/>
      <c r="J21" s="4"/>
      <c r="K21" s="4"/>
      <c r="L21" s="4"/>
      <c r="M21" s="4"/>
      <c r="N21" s="4"/>
      <c r="O21" s="4"/>
      <c r="P21" s="4"/>
      <c r="Q21" s="4"/>
      <c r="R21" s="4"/>
      <c r="S21" s="4"/>
      <c r="T21" s="4"/>
      <c r="U21" s="4"/>
      <c r="V21" s="4"/>
      <c r="W21" s="4"/>
      <c r="X21" s="4"/>
      <c r="Y21" s="4"/>
      <c r="Z21" s="4"/>
    </row>
    <row r="22" spans="1:26" ht="15.7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5">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osRsdM0zj5KOzWmZgvhj4ZTL0RLAEO9vz0+oIAJofx8jucOifnWp6LhPzbPnHHeLZkn3VZqqbOKqQPqVREhYXQ==" saltValue="u42yMX+KsEbYUxlN6Of+xQ==" spinCount="100000" sheet="1" objects="1" scenarios="1"/>
  <mergeCells count="1">
    <mergeCell ref="J7:K7"/>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2"/>
  <sheetViews>
    <sheetView zoomScaleNormal="100" workbookViewId="0"/>
  </sheetViews>
  <sheetFormatPr defaultColWidth="16.83203125" defaultRowHeight="15" customHeight="1" x14ac:dyDescent="0.2"/>
  <cols>
    <col min="1" max="1" width="3.1640625" customWidth="1"/>
    <col min="2" max="2" width="17.33203125" customWidth="1"/>
    <col min="3" max="3" width="67.83203125" customWidth="1"/>
    <col min="4" max="4" width="9.5" customWidth="1"/>
    <col min="5" max="5" width="19.33203125" customWidth="1"/>
    <col min="6" max="6" width="15" customWidth="1"/>
    <col min="7" max="7" width="13.6640625" customWidth="1"/>
    <col min="8" max="8" width="12" customWidth="1"/>
    <col min="9" max="9" width="12.83203125" customWidth="1"/>
    <col min="10" max="10" width="13.5" customWidth="1"/>
    <col min="12" max="12" width="15.1640625" customWidth="1"/>
    <col min="13" max="13" width="22" customWidth="1"/>
    <col min="14" max="14" width="12.33203125" customWidth="1"/>
    <col min="15" max="15" width="13" customWidth="1"/>
    <col min="16" max="16" width="15" customWidth="1"/>
    <col min="17" max="17" width="15.33203125" customWidth="1"/>
    <col min="18" max="18" width="13.1640625" customWidth="1"/>
    <col min="19" max="19" width="11.5" customWidth="1"/>
    <col min="20" max="20" width="19.33203125" customWidth="1"/>
    <col min="21" max="21" width="16.1640625" customWidth="1"/>
    <col min="22" max="22" width="17.6640625" customWidth="1"/>
    <col min="23" max="23" width="14.6640625" customWidth="1"/>
    <col min="24" max="24" width="9.33203125" customWidth="1"/>
    <col min="25" max="25" width="12.83203125" customWidth="1"/>
    <col min="26" max="26" width="8" customWidth="1"/>
  </cols>
  <sheetData>
    <row r="1" spans="1:26" x14ac:dyDescent="0.25">
      <c r="A1" s="4" t="s">
        <v>1084</v>
      </c>
      <c r="B1" s="260"/>
      <c r="C1" s="4"/>
      <c r="D1" s="3" t="s">
        <v>268</v>
      </c>
      <c r="E1" s="4"/>
      <c r="F1" s="4"/>
      <c r="G1" s="4"/>
      <c r="H1" s="4"/>
      <c r="I1" s="4"/>
      <c r="J1" s="4"/>
      <c r="K1" s="4"/>
      <c r="L1" s="4"/>
      <c r="M1" s="4"/>
      <c r="N1" s="4"/>
      <c r="O1" s="4"/>
      <c r="P1" s="4"/>
      <c r="Q1" s="4"/>
      <c r="R1" s="4"/>
      <c r="S1" s="4"/>
      <c r="T1" s="4"/>
      <c r="U1" s="4"/>
      <c r="V1" s="4"/>
      <c r="W1" s="4"/>
      <c r="X1" s="4"/>
      <c r="Y1" s="4"/>
      <c r="Z1" s="4"/>
    </row>
    <row r="2" spans="1:26" ht="107.25" customHeight="1" x14ac:dyDescent="0.25">
      <c r="A2" s="4"/>
      <c r="B2" s="4"/>
      <c r="C2" s="4"/>
      <c r="D2" s="4"/>
      <c r="E2" s="4"/>
      <c r="F2" s="4"/>
      <c r="G2" s="4"/>
      <c r="H2" s="4"/>
      <c r="I2" s="4"/>
      <c r="J2" s="4"/>
      <c r="K2" s="4"/>
      <c r="L2" s="4"/>
      <c r="M2" s="4"/>
      <c r="N2" s="4"/>
      <c r="O2" s="4"/>
      <c r="P2" s="4"/>
      <c r="Q2" s="4"/>
      <c r="R2" s="4"/>
      <c r="S2" s="4"/>
      <c r="T2" s="4"/>
      <c r="U2" s="4"/>
      <c r="V2" s="4"/>
      <c r="W2" s="4"/>
      <c r="X2" s="4"/>
      <c r="Y2" s="4"/>
      <c r="Z2" s="4"/>
    </row>
    <row r="3" spans="1:26" x14ac:dyDescent="0.25">
      <c r="A3" s="4"/>
      <c r="B3" s="4"/>
      <c r="C3" s="4"/>
      <c r="D3" s="4"/>
      <c r="E3" s="4"/>
      <c r="F3" s="4"/>
      <c r="G3" s="4"/>
      <c r="H3" s="4"/>
      <c r="I3" s="4" t="s">
        <v>1085</v>
      </c>
      <c r="J3" s="4"/>
      <c r="K3" s="4"/>
      <c r="L3" s="4"/>
      <c r="M3" s="4"/>
      <c r="N3" s="4"/>
      <c r="O3" s="4"/>
      <c r="P3" s="4"/>
      <c r="Q3" s="4"/>
      <c r="R3" s="4"/>
      <c r="S3" s="4"/>
      <c r="T3" s="4"/>
      <c r="U3" s="4"/>
      <c r="V3" s="4"/>
      <c r="W3" s="4"/>
      <c r="X3" s="4"/>
      <c r="Y3" s="4"/>
      <c r="Z3" s="4"/>
    </row>
    <row r="4" spans="1:26" x14ac:dyDescent="0.25">
      <c r="A4" s="4"/>
      <c r="B4" s="4"/>
      <c r="C4" s="4"/>
      <c r="D4" s="4"/>
      <c r="E4" s="4"/>
      <c r="F4" s="4"/>
      <c r="G4" s="4"/>
      <c r="H4" s="2095"/>
      <c r="I4" s="4" t="s">
        <v>1086</v>
      </c>
      <c r="J4" s="4"/>
      <c r="K4" s="4"/>
      <c r="L4" s="4"/>
      <c r="M4" s="4"/>
      <c r="N4" s="4"/>
      <c r="O4" s="4"/>
      <c r="P4" s="4"/>
      <c r="Q4" s="4"/>
      <c r="R4" s="4"/>
      <c r="S4" s="4"/>
      <c r="T4" s="4"/>
      <c r="U4" s="4"/>
      <c r="V4" s="4"/>
      <c r="W4" s="4"/>
      <c r="X4" s="4"/>
      <c r="Y4" s="4"/>
      <c r="Z4" s="4"/>
    </row>
    <row r="5" spans="1:26" x14ac:dyDescent="0.25">
      <c r="A5" s="4"/>
      <c r="B5" s="4"/>
      <c r="C5" s="4"/>
      <c r="D5" s="4"/>
      <c r="E5" s="4"/>
      <c r="F5" s="4"/>
      <c r="G5" s="4"/>
      <c r="H5" s="2096"/>
      <c r="I5" s="4" t="s">
        <v>1087</v>
      </c>
      <c r="J5" s="4"/>
      <c r="K5" s="4"/>
      <c r="L5" s="4"/>
      <c r="M5" s="4"/>
      <c r="N5" s="4"/>
      <c r="O5" s="4"/>
      <c r="P5" s="4"/>
      <c r="Q5" s="4"/>
      <c r="R5" s="4"/>
      <c r="S5" s="4"/>
      <c r="T5" s="4"/>
      <c r="U5" s="4"/>
      <c r="V5" s="4"/>
      <c r="W5" s="4"/>
      <c r="X5" s="4"/>
      <c r="Y5" s="4"/>
      <c r="Z5" s="4"/>
    </row>
    <row r="6" spans="1:26" x14ac:dyDescent="0.25">
      <c r="A6" s="4"/>
      <c r="B6" s="4"/>
      <c r="C6" s="1"/>
      <c r="D6" s="4"/>
      <c r="E6" s="1387"/>
      <c r="F6" s="1030"/>
      <c r="G6" s="4"/>
      <c r="H6" s="1387"/>
      <c r="I6" s="1387"/>
      <c r="J6" s="1030"/>
      <c r="K6" s="1030"/>
      <c r="L6" s="1"/>
      <c r="M6" s="1"/>
      <c r="N6" s="1"/>
      <c r="O6" s="1"/>
      <c r="P6" s="1"/>
      <c r="Q6" s="1030"/>
      <c r="R6" s="1030"/>
      <c r="S6" s="1030"/>
      <c r="T6" s="1030"/>
      <c r="U6" s="1030"/>
      <c r="V6" s="4"/>
      <c r="W6" s="4"/>
      <c r="X6" s="4"/>
      <c r="Y6" s="4"/>
      <c r="Z6" s="4"/>
    </row>
    <row r="7" spans="1:26" x14ac:dyDescent="0.25">
      <c r="A7" s="4"/>
      <c r="B7" s="4"/>
      <c r="C7" s="4"/>
      <c r="D7" s="4"/>
      <c r="E7" s="4"/>
      <c r="F7" s="4"/>
      <c r="G7" s="1"/>
      <c r="H7" s="4"/>
      <c r="I7" s="1387"/>
      <c r="J7" s="1030"/>
      <c r="K7" s="4"/>
      <c r="L7" s="1387"/>
      <c r="M7" s="1387"/>
      <c r="N7" s="1030"/>
      <c r="O7" s="1030"/>
      <c r="P7" s="1"/>
      <c r="Q7" s="1"/>
      <c r="R7" s="1"/>
      <c r="S7" s="1"/>
      <c r="T7" s="1"/>
      <c r="U7" s="1030"/>
      <c r="V7" s="1030"/>
      <c r="W7" s="1030"/>
      <c r="X7" s="1030"/>
      <c r="Y7" s="1030"/>
      <c r="Z7" s="4"/>
    </row>
    <row r="8" spans="1:26" x14ac:dyDescent="0.25">
      <c r="A8" s="4"/>
      <c r="B8" s="4"/>
      <c r="C8" s="4"/>
      <c r="D8" s="4"/>
      <c r="E8" s="4"/>
      <c r="F8" s="4"/>
      <c r="G8" s="4"/>
      <c r="H8" s="4"/>
      <c r="I8" s="1388"/>
      <c r="J8" s="1030"/>
      <c r="K8" s="4"/>
      <c r="L8" s="1387"/>
      <c r="M8" s="1389"/>
      <c r="N8" s="1030"/>
      <c r="O8" s="1030"/>
      <c r="P8" s="4"/>
      <c r="Q8" s="4"/>
      <c r="R8" s="4"/>
      <c r="S8" s="4"/>
      <c r="T8" s="4"/>
      <c r="U8" s="4"/>
      <c r="V8" s="4"/>
      <c r="W8" s="4"/>
      <c r="X8" s="4"/>
      <c r="Y8" s="4"/>
      <c r="Z8" s="4"/>
    </row>
    <row r="9" spans="1:26" ht="228" customHeight="1" x14ac:dyDescent="0.25">
      <c r="A9" s="4"/>
      <c r="B9" s="2081" t="s">
        <v>1088</v>
      </c>
      <c r="C9" s="2085" t="s">
        <v>1089</v>
      </c>
      <c r="D9" s="2092" t="s">
        <v>1090</v>
      </c>
      <c r="E9" s="2086" t="s">
        <v>1091</v>
      </c>
      <c r="F9" s="2087" t="s">
        <v>1092</v>
      </c>
      <c r="G9" s="2088" t="s">
        <v>1093</v>
      </c>
      <c r="H9" s="2084" t="s">
        <v>1094</v>
      </c>
      <c r="I9" s="2073" t="s">
        <v>1095</v>
      </c>
      <c r="J9" s="2087" t="s">
        <v>1876</v>
      </c>
      <c r="K9" s="2087" t="s">
        <v>1877</v>
      </c>
      <c r="L9" s="2087" t="s">
        <v>1878</v>
      </c>
      <c r="M9" s="2087" t="s">
        <v>1879</v>
      </c>
      <c r="N9" s="2087" t="s">
        <v>1096</v>
      </c>
      <c r="O9" s="2088" t="s">
        <v>1880</v>
      </c>
      <c r="P9" s="2087" t="s">
        <v>1881</v>
      </c>
      <c r="Q9" s="2088" t="s">
        <v>1882</v>
      </c>
      <c r="R9" s="2093" t="s">
        <v>1883</v>
      </c>
      <c r="S9" s="2087" t="s">
        <v>1097</v>
      </c>
      <c r="T9" s="2088" t="s">
        <v>1884</v>
      </c>
      <c r="U9" s="2088" t="s">
        <v>1885</v>
      </c>
      <c r="V9" s="2087" t="s">
        <v>1098</v>
      </c>
      <c r="W9" s="2094" t="s">
        <v>1099</v>
      </c>
      <c r="X9" s="4"/>
      <c r="Y9" s="4"/>
      <c r="Z9" s="4"/>
    </row>
    <row r="10" spans="1:26" x14ac:dyDescent="0.25">
      <c r="A10" s="4"/>
      <c r="B10" s="2051"/>
      <c r="C10" s="2052"/>
      <c r="D10" s="2052"/>
      <c r="E10" s="2071"/>
      <c r="F10" s="2054"/>
      <c r="G10" s="2069"/>
      <c r="H10" s="2070"/>
      <c r="I10" s="2053"/>
      <c r="J10" s="2060"/>
      <c r="K10" s="2060"/>
      <c r="L10" s="2052"/>
      <c r="M10" s="2052"/>
      <c r="N10" s="2052"/>
      <c r="O10" s="2074"/>
      <c r="P10" s="2060"/>
      <c r="Q10" s="2074"/>
      <c r="R10" s="2060"/>
      <c r="S10" s="2052"/>
      <c r="T10" s="2074"/>
      <c r="U10" s="2060"/>
      <c r="V10" s="2060"/>
      <c r="W10" s="2077"/>
      <c r="X10" s="4"/>
      <c r="Y10" s="4"/>
      <c r="Z10" s="4"/>
    </row>
    <row r="11" spans="1:26" x14ac:dyDescent="0.25">
      <c r="A11" s="4"/>
      <c r="B11" s="2055" t="s">
        <v>1100</v>
      </c>
      <c r="C11" s="2097" t="s">
        <v>1101</v>
      </c>
      <c r="D11" s="2099">
        <v>4.26</v>
      </c>
      <c r="E11" s="2100">
        <f t="shared" ref="E11:E12" si="0">D11*1000000*0.9071847</f>
        <v>3864606.8219999997</v>
      </c>
      <c r="F11" s="2101">
        <v>125000</v>
      </c>
      <c r="G11" s="2102">
        <f t="shared" ref="G11:G12" si="1">F11*0.9071847</f>
        <v>113398.08749999999</v>
      </c>
      <c r="H11" s="2103">
        <v>1992</v>
      </c>
      <c r="I11" s="2104">
        <v>2015</v>
      </c>
      <c r="J11" s="2105">
        <v>11582.61522014504</v>
      </c>
      <c r="K11" s="2105">
        <v>4221.4303142723575</v>
      </c>
      <c r="L11" s="2106">
        <v>0.72199999999999998</v>
      </c>
      <c r="M11" s="2105">
        <f>K11*L11</f>
        <v>3047.8726869046418</v>
      </c>
      <c r="N11" s="2107">
        <v>0.98</v>
      </c>
      <c r="O11" s="2100">
        <f>M11*N11</f>
        <v>2986.9152331665491</v>
      </c>
      <c r="P11" s="2105">
        <f>O11*2.75</f>
        <v>8214.0168912080098</v>
      </c>
      <c r="Q11" s="2100">
        <f>M11*(1-N11)</f>
        <v>60.957453738092887</v>
      </c>
      <c r="R11" s="2105">
        <f>K11*(1-L11)</f>
        <v>1173.5576273677154</v>
      </c>
      <c r="S11" s="2106">
        <v>0.1</v>
      </c>
      <c r="T11" s="2100">
        <f t="shared" ref="T11:T12" si="2">R11*S11</f>
        <v>117.35576273677155</v>
      </c>
      <c r="U11" s="2105">
        <f t="shared" ref="U11:U12" si="3">R11-T11</f>
        <v>1056.2018646309439</v>
      </c>
      <c r="V11" s="2105">
        <f t="shared" ref="V11:V12" si="4">Q11+U11</f>
        <v>1117.1593183690368</v>
      </c>
      <c r="W11" s="2108">
        <f t="shared" ref="W11:W12" si="5">(V11*$D$87)+J11+P11</f>
        <v>51077.093025686081</v>
      </c>
      <c r="X11" s="4"/>
      <c r="Y11" s="4"/>
      <c r="Z11" s="4"/>
    </row>
    <row r="12" spans="1:26" x14ac:dyDescent="0.25">
      <c r="A12" s="4"/>
      <c r="B12" s="2051"/>
      <c r="C12" s="2052" t="s">
        <v>1102</v>
      </c>
      <c r="D12" s="2056">
        <v>1.5</v>
      </c>
      <c r="E12" s="2074">
        <f t="shared" si="0"/>
        <v>1360777.05</v>
      </c>
      <c r="F12" s="2057">
        <v>75000</v>
      </c>
      <c r="G12" s="2071">
        <f t="shared" si="1"/>
        <v>68038.852499999994</v>
      </c>
      <c r="H12" s="2069">
        <v>1971</v>
      </c>
      <c r="I12" s="2058">
        <v>1992</v>
      </c>
      <c r="J12" s="2060">
        <v>3536.3938330901096</v>
      </c>
      <c r="K12" s="2060">
        <v>1288.8833692970995</v>
      </c>
      <c r="L12" s="2059"/>
      <c r="M12" s="2060"/>
      <c r="N12" s="2061"/>
      <c r="O12" s="2074"/>
      <c r="P12" s="2060"/>
      <c r="Q12" s="2074"/>
      <c r="R12" s="2060">
        <f>K12</f>
        <v>1288.8833692970995</v>
      </c>
      <c r="S12" s="2059">
        <v>0.1</v>
      </c>
      <c r="T12" s="2074">
        <f t="shared" si="2"/>
        <v>128.88833692970996</v>
      </c>
      <c r="U12" s="2060">
        <f t="shared" si="3"/>
        <v>1159.9950323673895</v>
      </c>
      <c r="V12" s="2060">
        <f t="shared" si="4"/>
        <v>1159.9950323673895</v>
      </c>
      <c r="W12" s="2077">
        <f t="shared" si="5"/>
        <v>36016.254739377015</v>
      </c>
      <c r="X12" s="4"/>
      <c r="Y12" s="4"/>
      <c r="Z12" s="4"/>
    </row>
    <row r="13" spans="1:26" x14ac:dyDescent="0.25">
      <c r="A13" s="4"/>
      <c r="B13" s="2051"/>
      <c r="C13" s="2052"/>
      <c r="D13" s="2056"/>
      <c r="E13" s="2074"/>
      <c r="F13" s="2057"/>
      <c r="G13" s="2071"/>
      <c r="H13" s="2069"/>
      <c r="I13" s="2058"/>
      <c r="J13" s="2060"/>
      <c r="K13" s="2060"/>
      <c r="L13" s="2059"/>
      <c r="M13" s="2060"/>
      <c r="N13" s="2061"/>
      <c r="O13" s="2074"/>
      <c r="P13" s="2060"/>
      <c r="Q13" s="2074"/>
      <c r="R13" s="2060"/>
      <c r="S13" s="2052"/>
      <c r="T13" s="2074"/>
      <c r="U13" s="2060"/>
      <c r="V13" s="2060"/>
      <c r="W13" s="2077"/>
      <c r="X13" s="4"/>
      <c r="Y13" s="4"/>
      <c r="Z13" s="4"/>
    </row>
    <row r="14" spans="1:26" x14ac:dyDescent="0.25">
      <c r="A14" s="4"/>
      <c r="B14" s="2055" t="s">
        <v>1103</v>
      </c>
      <c r="C14" s="2052" t="s">
        <v>1104</v>
      </c>
      <c r="D14" s="2056">
        <v>0.85</v>
      </c>
      <c r="E14" s="2074">
        <f t="shared" ref="E14:E17" si="6">D14*1000000*0.9071847</f>
        <v>771106.995</v>
      </c>
      <c r="F14" s="2057">
        <v>23000</v>
      </c>
      <c r="G14" s="2071">
        <f t="shared" ref="G14:G17" si="7">F14*0.9071847</f>
        <v>20865.248100000001</v>
      </c>
      <c r="H14" s="2069">
        <v>1960</v>
      </c>
      <c r="I14" s="2058">
        <v>1993</v>
      </c>
      <c r="J14" s="2060">
        <v>1887.6275376496142</v>
      </c>
      <c r="K14" s="2060">
        <v>687.96968197909132</v>
      </c>
      <c r="L14" s="2059"/>
      <c r="M14" s="2060"/>
      <c r="N14" s="2061"/>
      <c r="O14" s="2074"/>
      <c r="P14" s="2060"/>
      <c r="Q14" s="2074"/>
      <c r="R14" s="2060">
        <f t="shared" ref="R14:R15" si="8">K14</f>
        <v>687.96968197909132</v>
      </c>
      <c r="S14" s="2059">
        <v>0.1</v>
      </c>
      <c r="T14" s="2074">
        <f t="shared" ref="T14:T19" si="9">R14*S14</f>
        <v>68.796968197909138</v>
      </c>
      <c r="U14" s="2060">
        <f t="shared" ref="U14:U19" si="10">R14-T14</f>
        <v>619.17271378118221</v>
      </c>
      <c r="V14" s="2060">
        <f t="shared" ref="V14:V19" si="11">Q14+U14</f>
        <v>619.17271378118221</v>
      </c>
      <c r="W14" s="2077">
        <f t="shared" ref="W14:W19" si="12">(V14*$D$87)+J14+P14</f>
        <v>19224.463523522718</v>
      </c>
      <c r="X14" s="4"/>
      <c r="Y14" s="4"/>
      <c r="Z14" s="4"/>
    </row>
    <row r="15" spans="1:26" x14ac:dyDescent="0.25">
      <c r="A15" s="4"/>
      <c r="B15" s="2051"/>
      <c r="C15" s="2052" t="s">
        <v>1105</v>
      </c>
      <c r="D15" s="2056">
        <v>0.67</v>
      </c>
      <c r="E15" s="2074">
        <f t="shared" si="6"/>
        <v>607813.74899999995</v>
      </c>
      <c r="F15" s="2057">
        <v>11000</v>
      </c>
      <c r="G15" s="2071">
        <f t="shared" si="7"/>
        <v>9979.0316999999995</v>
      </c>
      <c r="H15" s="2069">
        <v>1976</v>
      </c>
      <c r="I15" s="2058">
        <v>1996</v>
      </c>
      <c r="J15" s="2060">
        <f>3076</f>
        <v>3076</v>
      </c>
      <c r="K15" s="2060">
        <f>1121</f>
        <v>1121</v>
      </c>
      <c r="L15" s="2059"/>
      <c r="M15" s="2060"/>
      <c r="N15" s="2061"/>
      <c r="O15" s="2074"/>
      <c r="P15" s="2060"/>
      <c r="Q15" s="2074"/>
      <c r="R15" s="2060">
        <f t="shared" si="8"/>
        <v>1121</v>
      </c>
      <c r="S15" s="2059">
        <v>0.1</v>
      </c>
      <c r="T15" s="2074">
        <f t="shared" si="9"/>
        <v>112.10000000000001</v>
      </c>
      <c r="U15" s="2060">
        <f t="shared" si="10"/>
        <v>1008.9</v>
      </c>
      <c r="V15" s="2060">
        <f t="shared" si="11"/>
        <v>1008.9</v>
      </c>
      <c r="W15" s="2077">
        <f t="shared" si="12"/>
        <v>31325.200000000001</v>
      </c>
      <c r="X15" s="4"/>
      <c r="Y15" s="4"/>
      <c r="Z15" s="4"/>
    </row>
    <row r="16" spans="1:26" x14ac:dyDescent="0.25">
      <c r="A16" s="4"/>
      <c r="B16" s="2051"/>
      <c r="C16" s="2097" t="s">
        <v>1106</v>
      </c>
      <c r="D16" s="2099">
        <v>14.3</v>
      </c>
      <c r="E16" s="2100">
        <f t="shared" si="6"/>
        <v>12972741.209999999</v>
      </c>
      <c r="F16" s="2101">
        <v>358288</v>
      </c>
      <c r="G16" s="2102">
        <f t="shared" si="7"/>
        <v>325033.39179359999</v>
      </c>
      <c r="H16" s="2103">
        <v>1975</v>
      </c>
      <c r="I16" s="2104">
        <v>2060</v>
      </c>
      <c r="J16" s="2105">
        <v>29285.912429379514</v>
      </c>
      <c r="K16" s="2105">
        <v>10673.620435520277</v>
      </c>
      <c r="L16" s="2106">
        <v>0.83499999999999996</v>
      </c>
      <c r="M16" s="2105">
        <f>K16*L16</f>
        <v>8912.4730636594304</v>
      </c>
      <c r="N16" s="2107">
        <v>0.99909999999999999</v>
      </c>
      <c r="O16" s="2100">
        <f>M16*N16</f>
        <v>8904.4518379021374</v>
      </c>
      <c r="P16" s="2105">
        <f>O16*2.75</f>
        <v>24487.242554230877</v>
      </c>
      <c r="Q16" s="2100">
        <f>M16*(1-N16)</f>
        <v>8.0212257572935943</v>
      </c>
      <c r="R16" s="2105">
        <f>K16*(1-L16)</f>
        <v>1761.1473718608461</v>
      </c>
      <c r="S16" s="2106">
        <v>0.1</v>
      </c>
      <c r="T16" s="2100">
        <f t="shared" si="9"/>
        <v>176.11473718608462</v>
      </c>
      <c r="U16" s="2105">
        <f t="shared" si="10"/>
        <v>1585.0326346747615</v>
      </c>
      <c r="V16" s="2105">
        <f t="shared" si="11"/>
        <v>1593.0538604320552</v>
      </c>
      <c r="W16" s="2108">
        <f t="shared" si="12"/>
        <v>98378.66307570794</v>
      </c>
      <c r="X16" s="4"/>
      <c r="Y16" s="4"/>
      <c r="Z16" s="4"/>
    </row>
    <row r="17" spans="1:26" x14ac:dyDescent="0.25">
      <c r="A17" s="4"/>
      <c r="B17" s="2051"/>
      <c r="C17" s="2052" t="s">
        <v>1107</v>
      </c>
      <c r="D17" s="2056">
        <v>0.7</v>
      </c>
      <c r="E17" s="2074">
        <f t="shared" si="6"/>
        <v>635029.28999999992</v>
      </c>
      <c r="F17" s="2057">
        <v>61000</v>
      </c>
      <c r="G17" s="2071">
        <f t="shared" si="7"/>
        <v>55338.2667</v>
      </c>
      <c r="H17" s="2069">
        <v>1982</v>
      </c>
      <c r="I17" s="2058">
        <v>1993</v>
      </c>
      <c r="J17" s="2060">
        <v>2229.1843372956323</v>
      </c>
      <c r="K17" s="2060">
        <v>812.45436878486566</v>
      </c>
      <c r="L17" s="2059"/>
      <c r="M17" s="2060"/>
      <c r="N17" s="2061"/>
      <c r="O17" s="2074"/>
      <c r="P17" s="2060"/>
      <c r="Q17" s="2074"/>
      <c r="R17" s="2060">
        <f>K17</f>
        <v>812.45436878486566</v>
      </c>
      <c r="S17" s="2059">
        <v>0.1</v>
      </c>
      <c r="T17" s="2074">
        <f t="shared" si="9"/>
        <v>81.245436878486572</v>
      </c>
      <c r="U17" s="2060">
        <f t="shared" si="10"/>
        <v>731.20893190637912</v>
      </c>
      <c r="V17" s="2060">
        <f t="shared" si="11"/>
        <v>731.20893190637912</v>
      </c>
      <c r="W17" s="2077">
        <f t="shared" si="12"/>
        <v>22703.034430674248</v>
      </c>
      <c r="X17" s="4"/>
      <c r="Y17" s="4"/>
      <c r="Z17" s="4"/>
    </row>
    <row r="18" spans="1:26" x14ac:dyDescent="0.25">
      <c r="A18" s="4"/>
      <c r="B18" s="2051"/>
      <c r="C18" s="2098" t="s">
        <v>1108</v>
      </c>
      <c r="D18" s="2098"/>
      <c r="E18" s="2100">
        <v>1122641.432</v>
      </c>
      <c r="F18" s="2103"/>
      <c r="G18" s="2102"/>
      <c r="H18" s="2103">
        <v>1963</v>
      </c>
      <c r="I18" s="2109">
        <v>1982</v>
      </c>
      <c r="J18" s="2100">
        <f>2035</f>
        <v>2035</v>
      </c>
      <c r="K18" s="2100">
        <f>741.6</f>
        <v>741.6</v>
      </c>
      <c r="L18" s="2110">
        <v>0.24610000000000001</v>
      </c>
      <c r="M18" s="2111">
        <f>K18*L18</f>
        <v>182.50776000000002</v>
      </c>
      <c r="N18" s="2112">
        <v>0.98</v>
      </c>
      <c r="O18" s="2100">
        <f>M18*N18</f>
        <v>178.85760480000002</v>
      </c>
      <c r="P18" s="2111">
        <f>O18*2.75</f>
        <v>491.85841320000003</v>
      </c>
      <c r="Q18" s="2100">
        <f>M18*(1-N18)</f>
        <v>3.6501552000000035</v>
      </c>
      <c r="R18" s="2111">
        <f>K18*(1-L18)</f>
        <v>559.09224000000006</v>
      </c>
      <c r="S18" s="2113">
        <v>0.1</v>
      </c>
      <c r="T18" s="2100">
        <f t="shared" si="9"/>
        <v>55.909224000000009</v>
      </c>
      <c r="U18" s="2105">
        <f t="shared" si="10"/>
        <v>503.18301600000007</v>
      </c>
      <c r="V18" s="2105">
        <f t="shared" si="11"/>
        <v>506.83317120000009</v>
      </c>
      <c r="W18" s="2108">
        <f t="shared" si="12"/>
        <v>16718.187206800005</v>
      </c>
      <c r="X18" s="4"/>
      <c r="Y18" s="4"/>
      <c r="Z18" s="4"/>
    </row>
    <row r="19" spans="1:26" x14ac:dyDescent="0.25">
      <c r="A19" s="4"/>
      <c r="B19" s="2051"/>
      <c r="C19" s="2067" t="s">
        <v>1109</v>
      </c>
      <c r="D19" s="2067"/>
      <c r="E19" s="2074">
        <v>3487273</v>
      </c>
      <c r="F19" s="2069"/>
      <c r="G19" s="2071"/>
      <c r="H19" s="2069">
        <v>1953</v>
      </c>
      <c r="I19" s="2072">
        <v>1982</v>
      </c>
      <c r="J19" s="2074">
        <f>5764</f>
        <v>5764</v>
      </c>
      <c r="K19" s="2074">
        <f>2101</f>
        <v>2101</v>
      </c>
      <c r="L19" s="2059"/>
      <c r="M19" s="2089"/>
      <c r="N19" s="2090"/>
      <c r="O19" s="2091"/>
      <c r="P19" s="2089"/>
      <c r="Q19" s="2091"/>
      <c r="R19" s="2076">
        <f>K19</f>
        <v>2101</v>
      </c>
      <c r="S19" s="2062">
        <v>0.1</v>
      </c>
      <c r="T19" s="2083">
        <f t="shared" si="9"/>
        <v>210.10000000000002</v>
      </c>
      <c r="U19" s="2076">
        <f t="shared" si="10"/>
        <v>1890.9</v>
      </c>
      <c r="V19" s="2076">
        <f t="shared" si="11"/>
        <v>1890.9</v>
      </c>
      <c r="W19" s="2078">
        <f t="shared" si="12"/>
        <v>58709.200000000004</v>
      </c>
      <c r="X19" s="4"/>
      <c r="Y19" s="4"/>
      <c r="Z19" s="4"/>
    </row>
    <row r="20" spans="1:26" x14ac:dyDescent="0.25">
      <c r="A20" s="4"/>
      <c r="B20" s="2051"/>
      <c r="C20" s="2052"/>
      <c r="D20" s="2052"/>
      <c r="E20" s="2074"/>
      <c r="F20" s="2054"/>
      <c r="G20" s="2071"/>
      <c r="H20" s="2069"/>
      <c r="I20" s="2058"/>
      <c r="J20" s="2060"/>
      <c r="K20" s="2060"/>
      <c r="L20" s="2059"/>
      <c r="M20" s="2060"/>
      <c r="N20" s="2061"/>
      <c r="O20" s="2074"/>
      <c r="P20" s="2060"/>
      <c r="Q20" s="2074"/>
      <c r="R20" s="2060"/>
      <c r="S20" s="2052"/>
      <c r="T20" s="2074"/>
      <c r="U20" s="2060"/>
      <c r="V20" s="2060"/>
      <c r="W20" s="2077"/>
      <c r="X20" s="4"/>
      <c r="Y20" s="4"/>
      <c r="Z20" s="4"/>
    </row>
    <row r="21" spans="1:26" x14ac:dyDescent="0.25">
      <c r="A21" s="4"/>
      <c r="B21" s="2055" t="s">
        <v>1110</v>
      </c>
      <c r="C21" s="2052" t="s">
        <v>1892</v>
      </c>
      <c r="D21" s="2056">
        <v>18.320622</v>
      </c>
      <c r="E21" s="2074">
        <f t="shared" ref="E21:E22" si="13">D21*1000000*0.9071847</f>
        <v>16620187.9728834</v>
      </c>
      <c r="F21" s="2057">
        <v>523000</v>
      </c>
      <c r="G21" s="2071">
        <f t="shared" ref="G21:G22" si="14">F21*0.9071847</f>
        <v>474457.5981</v>
      </c>
      <c r="H21" s="2069">
        <v>1985</v>
      </c>
      <c r="I21" s="2058">
        <v>2019</v>
      </c>
      <c r="J21" s="2060">
        <v>39413.02160202081</v>
      </c>
      <c r="K21" s="2060">
        <v>14364.573199191404</v>
      </c>
      <c r="L21" s="2059"/>
      <c r="M21" s="2060"/>
      <c r="N21" s="2061"/>
      <c r="O21" s="2074"/>
      <c r="P21" s="2060"/>
      <c r="Q21" s="2074"/>
      <c r="R21" s="2060">
        <f>K21</f>
        <v>14364.573199191404</v>
      </c>
      <c r="S21" s="2059">
        <v>0.1</v>
      </c>
      <c r="T21" s="2074">
        <f t="shared" ref="T21:T23" si="15">R21*S21</f>
        <v>1436.4573199191404</v>
      </c>
      <c r="U21" s="2060">
        <f t="shared" ref="U21:U23" si="16">R21-T21</f>
        <v>12928.115879272264</v>
      </c>
      <c r="V21" s="2060">
        <f t="shared" ref="V21:V23" si="17">Q21+U21</f>
        <v>12928.115879272264</v>
      </c>
      <c r="W21" s="2077">
        <f t="shared" ref="W21:W23" si="18">(V21*$D$87)+J21+P21</f>
        <v>401400.26622164424</v>
      </c>
      <c r="X21" s="4"/>
      <c r="Y21" s="4"/>
      <c r="Z21" s="4"/>
    </row>
    <row r="22" spans="1:26" ht="15.75" customHeight="1" x14ac:dyDescent="0.25">
      <c r="A22" s="4"/>
      <c r="B22" s="2051"/>
      <c r="C22" s="2097" t="s">
        <v>1874</v>
      </c>
      <c r="D22" s="2099">
        <v>22.812999999999999</v>
      </c>
      <c r="E22" s="2100">
        <f t="shared" si="13"/>
        <v>20695604.561099999</v>
      </c>
      <c r="F22" s="2101">
        <v>250000</v>
      </c>
      <c r="G22" s="2102">
        <f t="shared" si="14"/>
        <v>226796.17499999999</v>
      </c>
      <c r="H22" s="2103">
        <v>1982</v>
      </c>
      <c r="I22" s="2104">
        <v>2033</v>
      </c>
      <c r="J22" s="2105">
        <f>15150</f>
        <v>15150</v>
      </c>
      <c r="K22" s="2105">
        <f>7944</f>
        <v>7944</v>
      </c>
      <c r="L22" s="2106">
        <v>0.85</v>
      </c>
      <c r="M22" s="2105">
        <f t="shared" ref="M22:M23" si="19">K22*L22</f>
        <v>6752.4</v>
      </c>
      <c r="N22" s="2107">
        <v>0.98</v>
      </c>
      <c r="O22" s="2100">
        <f t="shared" ref="O22:O23" si="20">M22*N22</f>
        <v>6617.3519999999999</v>
      </c>
      <c r="P22" s="2105">
        <f t="shared" ref="P22:P23" si="21">O22*2.75</f>
        <v>18197.718000000001</v>
      </c>
      <c r="Q22" s="2100">
        <f t="shared" ref="Q22:Q23" si="22">M22*(1-N22)</f>
        <v>135.04800000000012</v>
      </c>
      <c r="R22" s="2105">
        <f t="shared" ref="R22:R23" si="23">K22*(1-L22)</f>
        <v>1191.6000000000001</v>
      </c>
      <c r="S22" s="2106">
        <v>0.1</v>
      </c>
      <c r="T22" s="2100">
        <f t="shared" si="15"/>
        <v>119.16000000000003</v>
      </c>
      <c r="U22" s="2105">
        <f t="shared" si="16"/>
        <v>1072.44</v>
      </c>
      <c r="V22" s="2105">
        <f t="shared" si="17"/>
        <v>1207.4880000000003</v>
      </c>
      <c r="W22" s="2108">
        <f t="shared" si="18"/>
        <v>67157.382000000012</v>
      </c>
      <c r="X22" s="4"/>
      <c r="Y22" s="4"/>
      <c r="Z22" s="4"/>
    </row>
    <row r="23" spans="1:26" ht="15.75" customHeight="1" x14ac:dyDescent="0.25">
      <c r="A23" s="4"/>
      <c r="B23" s="2051"/>
      <c r="C23" s="2098" t="s">
        <v>1111</v>
      </c>
      <c r="D23" s="2114"/>
      <c r="E23" s="2100">
        <v>7259745.9500000002</v>
      </c>
      <c r="F23" s="2115"/>
      <c r="G23" s="2102"/>
      <c r="H23" s="2103">
        <v>1968</v>
      </c>
      <c r="I23" s="2116">
        <v>1986</v>
      </c>
      <c r="J23" s="2117">
        <v>15710</v>
      </c>
      <c r="K23" s="2117">
        <f>5727</f>
        <v>5727</v>
      </c>
      <c r="L23" s="2118">
        <v>0.42720000000000002</v>
      </c>
      <c r="M23" s="2117">
        <f t="shared" si="19"/>
        <v>2446.5744</v>
      </c>
      <c r="N23" s="2107">
        <v>0.98</v>
      </c>
      <c r="O23" s="2100">
        <f t="shared" si="20"/>
        <v>2397.6429119999998</v>
      </c>
      <c r="P23" s="2105">
        <f t="shared" si="21"/>
        <v>6593.5180079999991</v>
      </c>
      <c r="Q23" s="2100">
        <f t="shared" si="22"/>
        <v>48.931488000000044</v>
      </c>
      <c r="R23" s="2105">
        <f t="shared" si="23"/>
        <v>3280.4256</v>
      </c>
      <c r="S23" s="2106">
        <v>0.1</v>
      </c>
      <c r="T23" s="2100">
        <f t="shared" si="15"/>
        <v>328.04256000000004</v>
      </c>
      <c r="U23" s="2105">
        <f t="shared" si="16"/>
        <v>2952.3830400000002</v>
      </c>
      <c r="V23" s="2105">
        <f t="shared" si="17"/>
        <v>3001.3145280000003</v>
      </c>
      <c r="W23" s="2108">
        <f t="shared" si="18"/>
        <v>106340.32479200001</v>
      </c>
      <c r="X23" s="4"/>
      <c r="Y23" s="4"/>
      <c r="Z23" s="4"/>
    </row>
    <row r="24" spans="1:26" ht="15.75" customHeight="1" x14ac:dyDescent="0.25">
      <c r="A24" s="4"/>
      <c r="B24" s="2051"/>
      <c r="C24" s="2052"/>
      <c r="D24" s="2056"/>
      <c r="E24" s="2074"/>
      <c r="F24" s="2057"/>
      <c r="G24" s="2071"/>
      <c r="H24" s="2069"/>
      <c r="I24" s="2058"/>
      <c r="J24" s="2060"/>
      <c r="K24" s="2060"/>
      <c r="L24" s="2059"/>
      <c r="M24" s="2060"/>
      <c r="N24" s="2061"/>
      <c r="O24" s="2074"/>
      <c r="P24" s="2060"/>
      <c r="Q24" s="2074"/>
      <c r="R24" s="2060"/>
      <c r="S24" s="2052"/>
      <c r="T24" s="2074"/>
      <c r="U24" s="2060"/>
      <c r="V24" s="2060"/>
      <c r="W24" s="2077"/>
      <c r="X24" s="4"/>
      <c r="Y24" s="4"/>
      <c r="Z24" s="4"/>
    </row>
    <row r="25" spans="1:26" ht="15.75" customHeight="1" x14ac:dyDescent="0.25">
      <c r="A25" s="4"/>
      <c r="B25" s="2051"/>
      <c r="C25" s="2052"/>
      <c r="D25" s="2056"/>
      <c r="E25" s="2074"/>
      <c r="F25" s="2057"/>
      <c r="G25" s="2071"/>
      <c r="H25" s="2069"/>
      <c r="I25" s="2058"/>
      <c r="J25" s="2060"/>
      <c r="K25" s="2060"/>
      <c r="L25" s="2059"/>
      <c r="M25" s="2060"/>
      <c r="N25" s="2061"/>
      <c r="O25" s="2074"/>
      <c r="P25" s="2060"/>
      <c r="Q25" s="2074"/>
      <c r="R25" s="2060"/>
      <c r="S25" s="2052"/>
      <c r="T25" s="2074"/>
      <c r="U25" s="2060"/>
      <c r="V25" s="2060"/>
      <c r="W25" s="2077"/>
      <c r="X25" s="4"/>
      <c r="Y25" s="4"/>
      <c r="Z25" s="4"/>
    </row>
    <row r="26" spans="1:26" ht="15.75" customHeight="1" x14ac:dyDescent="0.25">
      <c r="A26" s="4"/>
      <c r="B26" s="2055" t="s">
        <v>1112</v>
      </c>
      <c r="C26" s="2052" t="s">
        <v>1875</v>
      </c>
      <c r="D26" s="2056">
        <v>2.7992900000000001</v>
      </c>
      <c r="E26" s="2074">
        <f t="shared" ref="E26:E27" si="24">D26*1000000*0.9071847</f>
        <v>2539473.058863</v>
      </c>
      <c r="F26" s="2057">
        <v>20000</v>
      </c>
      <c r="G26" s="2071">
        <f t="shared" ref="G26:G27" si="25">F26*0.9071847</f>
        <v>18143.694</v>
      </c>
      <c r="H26" s="2069">
        <v>1992</v>
      </c>
      <c r="I26" s="2058">
        <v>2037</v>
      </c>
      <c r="J26" s="2060">
        <v>2382.6022283059365</v>
      </c>
      <c r="K26" s="2060">
        <v>868.36945562434016</v>
      </c>
      <c r="L26" s="2059"/>
      <c r="M26" s="2060"/>
      <c r="N26" s="2061"/>
      <c r="O26" s="2074"/>
      <c r="P26" s="2060"/>
      <c r="Q26" s="2074"/>
      <c r="R26" s="2060">
        <f t="shared" ref="R26:R27" si="26">K26</f>
        <v>868.36945562434016</v>
      </c>
      <c r="S26" s="2059">
        <v>0.1</v>
      </c>
      <c r="T26" s="2074">
        <f t="shared" ref="T26:T27" si="27">R26*S26</f>
        <v>86.836945562434025</v>
      </c>
      <c r="U26" s="2060">
        <f t="shared" ref="U26:U27" si="28">R26-T26</f>
        <v>781.53251006190612</v>
      </c>
      <c r="V26" s="2060">
        <f t="shared" ref="V26:V27" si="29">Q26+U26</f>
        <v>781.53251006190612</v>
      </c>
      <c r="W26" s="2077">
        <f t="shared" ref="W26:W27" si="30">(V26*$D$87)+J26+P26</f>
        <v>24265.512510039305</v>
      </c>
      <c r="X26" s="4"/>
      <c r="Y26" s="4"/>
      <c r="Z26" s="4"/>
    </row>
    <row r="27" spans="1:26" ht="15.75" customHeight="1" x14ac:dyDescent="0.25">
      <c r="A27" s="4"/>
      <c r="B27" s="2051"/>
      <c r="C27" s="2052" t="s">
        <v>1113</v>
      </c>
      <c r="D27" s="2056">
        <v>0.6</v>
      </c>
      <c r="E27" s="2074">
        <f t="shared" si="24"/>
        <v>544310.81999999995</v>
      </c>
      <c r="F27" s="2057">
        <v>28000</v>
      </c>
      <c r="G27" s="2071">
        <f t="shared" si="25"/>
        <v>25401.171599999998</v>
      </c>
      <c r="H27" s="2069">
        <v>1975</v>
      </c>
      <c r="I27" s="2058">
        <v>1993</v>
      </c>
      <c r="J27" s="2060">
        <v>1615.9062568132847</v>
      </c>
      <c r="K27" s="2060">
        <v>588.93743147659802</v>
      </c>
      <c r="L27" s="2059"/>
      <c r="M27" s="2060"/>
      <c r="N27" s="2061"/>
      <c r="O27" s="2074"/>
      <c r="P27" s="2060"/>
      <c r="Q27" s="2074"/>
      <c r="R27" s="2060">
        <f t="shared" si="26"/>
        <v>588.93743147659802</v>
      </c>
      <c r="S27" s="2059">
        <v>0.1</v>
      </c>
      <c r="T27" s="2074">
        <f t="shared" si="27"/>
        <v>58.893743147659805</v>
      </c>
      <c r="U27" s="2060">
        <f t="shared" si="28"/>
        <v>530.04368832893817</v>
      </c>
      <c r="V27" s="2060">
        <f t="shared" si="29"/>
        <v>530.04368832893817</v>
      </c>
      <c r="W27" s="2077">
        <f t="shared" si="30"/>
        <v>16457.129530023554</v>
      </c>
      <c r="X27" s="4"/>
      <c r="Y27" s="4"/>
      <c r="Z27" s="4"/>
    </row>
    <row r="28" spans="1:26" ht="15.75" customHeight="1" x14ac:dyDescent="0.25">
      <c r="A28" s="4"/>
      <c r="B28" s="2051"/>
      <c r="C28" s="2052"/>
      <c r="D28" s="2056"/>
      <c r="E28" s="2074"/>
      <c r="F28" s="2057"/>
      <c r="G28" s="2071"/>
      <c r="H28" s="2069"/>
      <c r="I28" s="2058"/>
      <c r="J28" s="2060"/>
      <c r="K28" s="2060"/>
      <c r="L28" s="2059"/>
      <c r="M28" s="2060"/>
      <c r="N28" s="2061"/>
      <c r="O28" s="2074"/>
      <c r="P28" s="2060"/>
      <c r="Q28" s="2074"/>
      <c r="R28" s="2060"/>
      <c r="S28" s="2052"/>
      <c r="T28" s="2074"/>
      <c r="U28" s="2060"/>
      <c r="V28" s="2060"/>
      <c r="W28" s="2077"/>
      <c r="X28" s="4"/>
      <c r="Y28" s="4"/>
      <c r="Z28" s="4"/>
    </row>
    <row r="29" spans="1:26" ht="15.75" customHeight="1" x14ac:dyDescent="0.25">
      <c r="A29" s="4"/>
      <c r="B29" s="2055" t="s">
        <v>1114</v>
      </c>
      <c r="C29" s="2052" t="s">
        <v>1115</v>
      </c>
      <c r="D29" s="2052">
        <v>0.5</v>
      </c>
      <c r="E29" s="2074">
        <f t="shared" ref="E29:E30" si="31">D29*1000000*0.9071847</f>
        <v>453592.35</v>
      </c>
      <c r="F29" s="2054">
        <v>35000</v>
      </c>
      <c r="G29" s="2071">
        <f t="shared" ref="G29:G30" si="32">F29*0.9071847</f>
        <v>31751.464499999998</v>
      </c>
      <c r="H29" s="2069">
        <v>1981</v>
      </c>
      <c r="I29" s="2058">
        <v>1994</v>
      </c>
      <c r="J29" s="2060">
        <v>1446.5658922367506</v>
      </c>
      <c r="K29" s="2060">
        <v>527.21919817035848</v>
      </c>
      <c r="L29" s="2059"/>
      <c r="M29" s="2060"/>
      <c r="N29" s="2061"/>
      <c r="O29" s="2074"/>
      <c r="P29" s="2060"/>
      <c r="Q29" s="2074"/>
      <c r="R29" s="2060">
        <f>K29</f>
        <v>527.21919817035848</v>
      </c>
      <c r="S29" s="2059">
        <v>0.1</v>
      </c>
      <c r="T29" s="2074">
        <f t="shared" ref="T29:T30" si="33">R29*S29</f>
        <v>52.721919817035854</v>
      </c>
      <c r="U29" s="2060">
        <f t="shared" ref="U29:U30" si="34">R29-T29</f>
        <v>474.4972783533226</v>
      </c>
      <c r="V29" s="2060">
        <f t="shared" ref="V29:V30" si="35">Q29+U29</f>
        <v>474.4972783533226</v>
      </c>
      <c r="W29" s="2077">
        <f t="shared" ref="W29:W30" si="36">(V29*$D$87)+J29+P29</f>
        <v>14732.489686129784</v>
      </c>
      <c r="X29" s="4"/>
      <c r="Y29" s="4"/>
      <c r="Z29" s="4"/>
    </row>
    <row r="30" spans="1:26" ht="15.75" customHeight="1" x14ac:dyDescent="0.25">
      <c r="A30" s="4"/>
      <c r="B30" s="2051"/>
      <c r="C30" s="2097" t="s">
        <v>1116</v>
      </c>
      <c r="D30" s="2099">
        <v>3.5041869999999999</v>
      </c>
      <c r="E30" s="2100">
        <f t="shared" si="31"/>
        <v>3178944.8323388998</v>
      </c>
      <c r="F30" s="2101">
        <v>80000</v>
      </c>
      <c r="G30" s="2102">
        <f t="shared" si="32"/>
        <v>72574.775999999998</v>
      </c>
      <c r="H30" s="2103">
        <v>1988</v>
      </c>
      <c r="I30" s="2104">
        <v>2053</v>
      </c>
      <c r="J30" s="2105">
        <v>3883.7305657681777</v>
      </c>
      <c r="K30" s="2105">
        <v>1415.4746256514784</v>
      </c>
      <c r="L30" s="2106">
        <v>0.22070000000000001</v>
      </c>
      <c r="M30" s="2105">
        <f>K30*L30</f>
        <v>312.3952498812813</v>
      </c>
      <c r="N30" s="2107">
        <v>0.97699999999999998</v>
      </c>
      <c r="O30" s="2100">
        <f>M30*N30</f>
        <v>305.2101591340118</v>
      </c>
      <c r="P30" s="2105">
        <f>O30*2.75</f>
        <v>839.32793761853247</v>
      </c>
      <c r="Q30" s="2100">
        <f>M30*(1-N30)</f>
        <v>7.1850907472694763</v>
      </c>
      <c r="R30" s="2105">
        <f>K30*(1-L30)</f>
        <v>1103.0793757701972</v>
      </c>
      <c r="S30" s="2106">
        <v>0.1</v>
      </c>
      <c r="T30" s="2100">
        <f t="shared" si="33"/>
        <v>110.30793757701973</v>
      </c>
      <c r="U30" s="2105">
        <f t="shared" si="34"/>
        <v>992.77143819317746</v>
      </c>
      <c r="V30" s="2105">
        <f t="shared" si="35"/>
        <v>999.9565289404469</v>
      </c>
      <c r="W30" s="2108">
        <f t="shared" si="36"/>
        <v>32721.841313719222</v>
      </c>
      <c r="X30" s="4"/>
      <c r="Y30" s="4"/>
      <c r="Z30" s="4"/>
    </row>
    <row r="31" spans="1:26" ht="15.75" customHeight="1" x14ac:dyDescent="0.25">
      <c r="A31" s="4"/>
      <c r="B31" s="2051"/>
      <c r="C31" s="2052"/>
      <c r="D31" s="2056"/>
      <c r="E31" s="2074"/>
      <c r="F31" s="2057"/>
      <c r="G31" s="2071"/>
      <c r="H31" s="2069"/>
      <c r="I31" s="2058"/>
      <c r="J31" s="2060"/>
      <c r="K31" s="2060"/>
      <c r="L31" s="2059"/>
      <c r="M31" s="2060"/>
      <c r="N31" s="2061"/>
      <c r="O31" s="2074"/>
      <c r="P31" s="2060"/>
      <c r="Q31" s="2074"/>
      <c r="R31" s="2060"/>
      <c r="S31" s="2059"/>
      <c r="T31" s="2074"/>
      <c r="U31" s="2060"/>
      <c r="V31" s="2060"/>
      <c r="W31" s="2077"/>
      <c r="X31" s="4"/>
      <c r="Y31" s="4"/>
      <c r="Z31" s="4"/>
    </row>
    <row r="32" spans="1:26" ht="15.75" customHeight="1" x14ac:dyDescent="0.25">
      <c r="A32" s="4"/>
      <c r="B32" s="2055" t="s">
        <v>1117</v>
      </c>
      <c r="C32" s="2097" t="s">
        <v>1118</v>
      </c>
      <c r="D32" s="2099">
        <f>3487273/1000000</f>
        <v>3.4872730000000001</v>
      </c>
      <c r="E32" s="2100"/>
      <c r="F32" s="2101"/>
      <c r="G32" s="2102"/>
      <c r="H32" s="2103">
        <v>1953</v>
      </c>
      <c r="I32" s="2104">
        <v>2010</v>
      </c>
      <c r="J32" s="2105">
        <f>11500</f>
        <v>11500</v>
      </c>
      <c r="K32" s="2105">
        <f>4190</f>
        <v>4190</v>
      </c>
      <c r="L32" s="2106">
        <v>0.51</v>
      </c>
      <c r="M32" s="2105">
        <f>K32*L32</f>
        <v>2136.9</v>
      </c>
      <c r="N32" s="2107">
        <v>0.98</v>
      </c>
      <c r="O32" s="2100">
        <f>M32*N32</f>
        <v>2094.1620000000003</v>
      </c>
      <c r="P32" s="2105">
        <f>O32*2.75</f>
        <v>5758.9455000000007</v>
      </c>
      <c r="Q32" s="2100">
        <f>M32*(1-N32)</f>
        <v>42.738000000000042</v>
      </c>
      <c r="R32" s="2105">
        <f>K32*(1-L32)</f>
        <v>2053.1</v>
      </c>
      <c r="S32" s="2106">
        <v>0.1</v>
      </c>
      <c r="T32" s="2100">
        <f>R32*S32</f>
        <v>205.31</v>
      </c>
      <c r="U32" s="2105">
        <f>R32-T32</f>
        <v>1847.79</v>
      </c>
      <c r="V32" s="2105">
        <f>Q32+U32</f>
        <v>1890.528</v>
      </c>
      <c r="W32" s="2108">
        <f>(V32*$D$87)+J32+P32</f>
        <v>70193.729500000001</v>
      </c>
      <c r="X32" s="4"/>
      <c r="Y32" s="4"/>
      <c r="Z32" s="4"/>
    </row>
    <row r="33" spans="1:26" ht="15.75" customHeight="1" x14ac:dyDescent="0.25">
      <c r="A33" s="4"/>
      <c r="B33" s="2051"/>
      <c r="C33" s="2052"/>
      <c r="D33" s="2056"/>
      <c r="E33" s="2074"/>
      <c r="F33" s="2057"/>
      <c r="G33" s="2071"/>
      <c r="H33" s="2069"/>
      <c r="I33" s="2058"/>
      <c r="J33" s="2060"/>
      <c r="K33" s="2060"/>
      <c r="L33" s="2059"/>
      <c r="M33" s="2060"/>
      <c r="N33" s="2061"/>
      <c r="O33" s="2074"/>
      <c r="P33" s="2060"/>
      <c r="Q33" s="2074"/>
      <c r="R33" s="2060"/>
      <c r="S33" s="2059"/>
      <c r="T33" s="2074"/>
      <c r="U33" s="2060"/>
      <c r="V33" s="2060"/>
      <c r="W33" s="2077"/>
      <c r="X33" s="4"/>
      <c r="Y33" s="4"/>
      <c r="Z33" s="4"/>
    </row>
    <row r="34" spans="1:26" ht="15.75" customHeight="1" x14ac:dyDescent="0.25">
      <c r="A34" s="4"/>
      <c r="B34" s="2051"/>
      <c r="C34" s="2052"/>
      <c r="D34" s="2056"/>
      <c r="E34" s="2074"/>
      <c r="F34" s="2057"/>
      <c r="G34" s="2071"/>
      <c r="H34" s="2069"/>
      <c r="I34" s="2058"/>
      <c r="J34" s="2060"/>
      <c r="K34" s="2060"/>
      <c r="L34" s="2059"/>
      <c r="M34" s="2060"/>
      <c r="N34" s="2061"/>
      <c r="O34" s="2074"/>
      <c r="P34" s="2060"/>
      <c r="Q34" s="2074"/>
      <c r="R34" s="2060"/>
      <c r="S34" s="2052"/>
      <c r="T34" s="2074"/>
      <c r="U34" s="2060"/>
      <c r="V34" s="2060"/>
      <c r="W34" s="2077"/>
      <c r="X34" s="4"/>
      <c r="Y34" s="4"/>
      <c r="Z34" s="4"/>
    </row>
    <row r="35" spans="1:26" ht="15.75" customHeight="1" x14ac:dyDescent="0.25">
      <c r="A35" s="4"/>
      <c r="B35" s="2055" t="s">
        <v>1119</v>
      </c>
      <c r="C35" s="2097" t="s">
        <v>1120</v>
      </c>
      <c r="D35" s="2099">
        <v>4.5049999999999999</v>
      </c>
      <c r="E35" s="2100">
        <f>D35*1000000*0.9071847</f>
        <v>4086867.0734999999</v>
      </c>
      <c r="F35" s="2101"/>
      <c r="G35" s="2102">
        <v>60623.332999999999</v>
      </c>
      <c r="H35" s="2103">
        <v>1978</v>
      </c>
      <c r="I35" s="2104">
        <v>2046</v>
      </c>
      <c r="J35" s="2105">
        <v>11480.181645565875</v>
      </c>
      <c r="K35" s="2105">
        <v>4184.0971050869484</v>
      </c>
      <c r="L35" s="2106">
        <v>0.55800000000000005</v>
      </c>
      <c r="M35" s="2105">
        <f>K35*L35</f>
        <v>2334.7261846385172</v>
      </c>
      <c r="N35" s="2107">
        <v>0.98</v>
      </c>
      <c r="O35" s="2100">
        <f>M35*N35</f>
        <v>2288.0316609457468</v>
      </c>
      <c r="P35" s="2105">
        <f>O35*2.75</f>
        <v>6292.0870676008035</v>
      </c>
      <c r="Q35" s="2100">
        <f>M35*(1-N35)</f>
        <v>46.694523692770389</v>
      </c>
      <c r="R35" s="2105">
        <f>K35*(1-L35)</f>
        <v>1849.370920448431</v>
      </c>
      <c r="S35" s="2106">
        <v>0.1</v>
      </c>
      <c r="T35" s="2100">
        <f>R35*S35</f>
        <v>184.9370920448431</v>
      </c>
      <c r="U35" s="2105">
        <f>R35-T35</f>
        <v>1664.433828403588</v>
      </c>
      <c r="V35" s="2105">
        <f>Q35+U35</f>
        <v>1711.1283520963584</v>
      </c>
      <c r="W35" s="2108">
        <f>(V35*$D$87)+J35+P35</f>
        <v>65683.862571864709</v>
      </c>
      <c r="X35" s="4"/>
      <c r="Y35" s="4"/>
      <c r="Z35" s="4"/>
    </row>
    <row r="36" spans="1:26" ht="15.75" customHeight="1" x14ac:dyDescent="0.25">
      <c r="A36" s="4"/>
      <c r="B36" s="2051"/>
      <c r="C36" s="2052"/>
      <c r="D36" s="2056"/>
      <c r="E36" s="2074"/>
      <c r="F36" s="2057"/>
      <c r="G36" s="2071"/>
      <c r="H36" s="2069"/>
      <c r="I36" s="2058"/>
      <c r="J36" s="2060"/>
      <c r="K36" s="2060"/>
      <c r="L36" s="2059"/>
      <c r="M36" s="2060"/>
      <c r="N36" s="2061"/>
      <c r="O36" s="2074"/>
      <c r="P36" s="2060"/>
      <c r="Q36" s="2074"/>
      <c r="R36" s="2060"/>
      <c r="S36" s="2052"/>
      <c r="T36" s="2074"/>
      <c r="U36" s="2060"/>
      <c r="V36" s="2060"/>
      <c r="W36" s="2077"/>
      <c r="X36" s="4"/>
      <c r="Y36" s="4"/>
      <c r="Z36" s="4"/>
    </row>
    <row r="37" spans="1:26" ht="15.75" customHeight="1" x14ac:dyDescent="0.25">
      <c r="A37" s="4"/>
      <c r="B37" s="2055" t="s">
        <v>1121</v>
      </c>
      <c r="C37" s="2052" t="s">
        <v>1122</v>
      </c>
      <c r="D37" s="2056">
        <v>4.3746999999999998</v>
      </c>
      <c r="E37" s="2074">
        <f t="shared" ref="E37:E38" si="37">D37*1000000*0.9071847</f>
        <v>3968660.9070899999</v>
      </c>
      <c r="F37" s="2057">
        <v>82000</v>
      </c>
      <c r="G37" s="2071">
        <f t="shared" ref="G37:G38" si="38">F37*0.9071847</f>
        <v>74389.145399999994</v>
      </c>
      <c r="H37" s="2069">
        <v>1994</v>
      </c>
      <c r="I37" s="2058">
        <v>2040</v>
      </c>
      <c r="J37" s="2060">
        <f>10640</f>
        <v>10640</v>
      </c>
      <c r="K37" s="2060">
        <f>3878</f>
        <v>3878</v>
      </c>
      <c r="L37" s="2059"/>
      <c r="M37" s="2060"/>
      <c r="N37" s="2061"/>
      <c r="O37" s="2074"/>
      <c r="P37" s="2060"/>
      <c r="Q37" s="2074"/>
      <c r="R37" s="2060">
        <f t="shared" ref="R37:R38" si="39">K37</f>
        <v>3878</v>
      </c>
      <c r="S37" s="2059">
        <v>0.1</v>
      </c>
      <c r="T37" s="2074">
        <f t="shared" ref="T37:T38" si="40">R37*S37</f>
        <v>387.8</v>
      </c>
      <c r="U37" s="2060">
        <f t="shared" ref="U37:U38" si="41">R37-T37</f>
        <v>3490.2</v>
      </c>
      <c r="V37" s="2060">
        <f t="shared" ref="V37:V38" si="42">Q37+U37</f>
        <v>3490.2</v>
      </c>
      <c r="W37" s="2077">
        <f t="shared" ref="W37:W38" si="43">(V37*$D$87)+J37+P37</f>
        <v>108365.59999999999</v>
      </c>
      <c r="X37" s="4"/>
      <c r="Y37" s="4"/>
      <c r="Z37" s="4"/>
    </row>
    <row r="38" spans="1:26" ht="15.75" customHeight="1" x14ac:dyDescent="0.25">
      <c r="A38" s="4"/>
      <c r="B38" s="2051"/>
      <c r="C38" s="2052" t="s">
        <v>1123</v>
      </c>
      <c r="D38" s="2056">
        <v>1.5</v>
      </c>
      <c r="E38" s="2074">
        <f t="shared" si="37"/>
        <v>1360777.05</v>
      </c>
      <c r="F38" s="2057">
        <v>75000</v>
      </c>
      <c r="G38" s="2071">
        <f t="shared" si="38"/>
        <v>68038.852499999994</v>
      </c>
      <c r="H38" s="2069">
        <v>1974</v>
      </c>
      <c r="I38" s="2058">
        <v>1994</v>
      </c>
      <c r="J38" s="2060">
        <v>4534.0886865896227</v>
      </c>
      <c r="K38" s="2060">
        <v>1652.5058516904692</v>
      </c>
      <c r="L38" s="2059"/>
      <c r="M38" s="2060"/>
      <c r="N38" s="2061"/>
      <c r="O38" s="2074"/>
      <c r="P38" s="2060"/>
      <c r="Q38" s="2074"/>
      <c r="R38" s="2060">
        <f t="shared" si="39"/>
        <v>1652.5058516904692</v>
      </c>
      <c r="S38" s="2059">
        <v>0.1</v>
      </c>
      <c r="T38" s="2074">
        <f t="shared" si="40"/>
        <v>165.25058516904693</v>
      </c>
      <c r="U38" s="2060">
        <f t="shared" si="41"/>
        <v>1487.2552665214223</v>
      </c>
      <c r="V38" s="2060">
        <f t="shared" si="42"/>
        <v>1487.2552665214223</v>
      </c>
      <c r="W38" s="2077">
        <f t="shared" si="43"/>
        <v>46177.236149189448</v>
      </c>
      <c r="X38" s="4"/>
      <c r="Y38" s="4"/>
      <c r="Z38" s="4"/>
    </row>
    <row r="39" spans="1:26" ht="15.75" customHeight="1" x14ac:dyDescent="0.25">
      <c r="A39" s="4"/>
      <c r="B39" s="2051"/>
      <c r="C39" s="2052"/>
      <c r="D39" s="2056"/>
      <c r="E39" s="2074"/>
      <c r="F39" s="2057"/>
      <c r="G39" s="2071"/>
      <c r="H39" s="2069"/>
      <c r="I39" s="2058"/>
      <c r="J39" s="2060"/>
      <c r="K39" s="2060"/>
      <c r="L39" s="2059"/>
      <c r="M39" s="2060"/>
      <c r="N39" s="2061"/>
      <c r="O39" s="2074"/>
      <c r="P39" s="2060"/>
      <c r="Q39" s="2074"/>
      <c r="R39" s="2060"/>
      <c r="S39" s="2052"/>
      <c r="T39" s="2074"/>
      <c r="U39" s="2060"/>
      <c r="V39" s="2060"/>
      <c r="W39" s="2077"/>
      <c r="X39" s="4"/>
      <c r="Y39" s="4"/>
      <c r="Z39" s="4"/>
    </row>
    <row r="40" spans="1:26" ht="15.75" customHeight="1" x14ac:dyDescent="0.25">
      <c r="A40" s="4"/>
      <c r="B40" s="2055" t="s">
        <v>1124</v>
      </c>
      <c r="C40" s="2052" t="s">
        <v>1125</v>
      </c>
      <c r="D40" s="2056">
        <v>0.8</v>
      </c>
      <c r="E40" s="2074">
        <f t="shared" ref="E40:E41" si="44">D40*1000000*0.9071847</f>
        <v>725747.76</v>
      </c>
      <c r="F40" s="2057">
        <v>35000</v>
      </c>
      <c r="G40" s="2071">
        <f>F40*0.9071847</f>
        <v>31751.464499999998</v>
      </c>
      <c r="H40" s="2069">
        <v>1973</v>
      </c>
      <c r="I40" s="2058">
        <v>1995</v>
      </c>
      <c r="J40" s="2060">
        <v>1410.6769001584582</v>
      </c>
      <c r="K40" s="2060">
        <v>514.13900201185334</v>
      </c>
      <c r="L40" s="2059"/>
      <c r="M40" s="2060"/>
      <c r="N40" s="2061"/>
      <c r="O40" s="2074"/>
      <c r="P40" s="2060"/>
      <c r="Q40" s="2074"/>
      <c r="R40" s="2060">
        <f t="shared" ref="R40:R41" si="45">K40</f>
        <v>514.13900201185334</v>
      </c>
      <c r="S40" s="2059">
        <v>0.1</v>
      </c>
      <c r="T40" s="2074">
        <f t="shared" ref="T40:T41" si="46">R40*S40</f>
        <v>51.413900201185335</v>
      </c>
      <c r="U40" s="2060">
        <f t="shared" ref="U40:U41" si="47">R40-T40</f>
        <v>462.72510181066798</v>
      </c>
      <c r="V40" s="2060">
        <f t="shared" ref="V40:V41" si="48">Q40+U40</f>
        <v>462.72510181066798</v>
      </c>
      <c r="W40" s="2077">
        <f t="shared" ref="W40:W41" si="49">(V40*$D$87)+J40+P40</f>
        <v>14366.979750857161</v>
      </c>
      <c r="X40" s="4"/>
      <c r="Y40" s="4"/>
      <c r="Z40" s="4"/>
    </row>
    <row r="41" spans="1:26" ht="15.75" customHeight="1" x14ac:dyDescent="0.25">
      <c r="A41" s="4"/>
      <c r="B41" s="2051"/>
      <c r="C41" s="2052" t="s">
        <v>1126</v>
      </c>
      <c r="D41" s="2056">
        <v>4.0999999999999996</v>
      </c>
      <c r="E41" s="2074">
        <f t="shared" si="44"/>
        <v>3719457.2699999996</v>
      </c>
      <c r="F41" s="2057"/>
      <c r="G41" s="2071"/>
      <c r="H41" s="2069">
        <v>1996</v>
      </c>
      <c r="I41" s="2058">
        <v>2010</v>
      </c>
      <c r="J41" s="2060">
        <v>4865</v>
      </c>
      <c r="K41" s="2060">
        <f>1773</f>
        <v>1773</v>
      </c>
      <c r="L41" s="2059"/>
      <c r="M41" s="2060"/>
      <c r="N41" s="2061"/>
      <c r="O41" s="2074"/>
      <c r="P41" s="2060"/>
      <c r="Q41" s="2074"/>
      <c r="R41" s="2060">
        <f t="shared" si="45"/>
        <v>1773</v>
      </c>
      <c r="S41" s="2059">
        <v>0.1</v>
      </c>
      <c r="T41" s="2074">
        <f t="shared" si="46"/>
        <v>177.3</v>
      </c>
      <c r="U41" s="2060">
        <f t="shared" si="47"/>
        <v>1595.7</v>
      </c>
      <c r="V41" s="2060">
        <f t="shared" si="48"/>
        <v>1595.7</v>
      </c>
      <c r="W41" s="2077">
        <f t="shared" si="49"/>
        <v>49544.6</v>
      </c>
      <c r="X41" s="4"/>
      <c r="Y41" s="4"/>
      <c r="Z41" s="4"/>
    </row>
    <row r="42" spans="1:26" ht="15.75" customHeight="1" x14ac:dyDescent="0.25">
      <c r="A42" s="4"/>
      <c r="B42" s="2051"/>
      <c r="C42" s="2052"/>
      <c r="D42" s="2056"/>
      <c r="E42" s="2074"/>
      <c r="F42" s="2057"/>
      <c r="G42" s="2071"/>
      <c r="H42" s="2069"/>
      <c r="I42" s="2058"/>
      <c r="J42" s="2060"/>
      <c r="K42" s="2060"/>
      <c r="L42" s="2059"/>
      <c r="M42" s="2060"/>
      <c r="N42" s="2061"/>
      <c r="O42" s="2074"/>
      <c r="P42" s="2060"/>
      <c r="Q42" s="2074"/>
      <c r="R42" s="2060"/>
      <c r="S42" s="2052"/>
      <c r="T42" s="2074"/>
      <c r="U42" s="2060"/>
      <c r="V42" s="2060"/>
      <c r="W42" s="2077"/>
      <c r="X42" s="4"/>
      <c r="Y42" s="4"/>
      <c r="Z42" s="4"/>
    </row>
    <row r="43" spans="1:26" ht="15.75" customHeight="1" x14ac:dyDescent="0.25">
      <c r="A43" s="4"/>
      <c r="B43" s="2055" t="s">
        <v>1127</v>
      </c>
      <c r="C43" s="2052" t="s">
        <v>1128</v>
      </c>
      <c r="D43" s="2056">
        <v>1.0008999999999999</v>
      </c>
      <c r="E43" s="2074">
        <f t="shared" ref="E43:E45" si="50">D43*1000000*0.9071847</f>
        <v>908001.16622999986</v>
      </c>
      <c r="F43" s="2057"/>
      <c r="G43" s="2071">
        <f t="shared" ref="G43:G45" si="51">F43*0.9071847</f>
        <v>0</v>
      </c>
      <c r="H43" s="2069">
        <v>1991</v>
      </c>
      <c r="I43" s="2058">
        <v>2504</v>
      </c>
      <c r="J43" s="2060">
        <v>156.40998798909908</v>
      </c>
      <c r="K43" s="2060">
        <v>57.005594350037462</v>
      </c>
      <c r="L43" s="2059"/>
      <c r="M43" s="2060"/>
      <c r="N43" s="2061"/>
      <c r="O43" s="2074"/>
      <c r="P43" s="2060"/>
      <c r="Q43" s="2074"/>
      <c r="R43" s="2060">
        <f>K43</f>
        <v>57.005594350037462</v>
      </c>
      <c r="S43" s="2059">
        <v>0.1</v>
      </c>
      <c r="T43" s="2074">
        <f t="shared" ref="T43:T45" si="52">R43*S43</f>
        <v>5.700559435003747</v>
      </c>
      <c r="U43" s="2060">
        <f t="shared" ref="U43:U45" si="53">R43-T43</f>
        <v>51.305034915033715</v>
      </c>
      <c r="V43" s="2060">
        <f t="shared" ref="V43:V45" si="54">Q43+U43</f>
        <v>51.305034915033715</v>
      </c>
      <c r="W43" s="2077">
        <f t="shared" ref="W43:W45" si="55">(V43*$D$87)+J43+P43</f>
        <v>1592.9509656100431</v>
      </c>
      <c r="X43" s="4"/>
      <c r="Y43" s="4"/>
      <c r="Z43" s="4"/>
    </row>
    <row r="44" spans="1:26" ht="15.75" customHeight="1" x14ac:dyDescent="0.25">
      <c r="A44" s="4"/>
      <c r="B44" s="2051"/>
      <c r="C44" s="2097" t="s">
        <v>1889</v>
      </c>
      <c r="D44" s="2099">
        <v>2.1</v>
      </c>
      <c r="E44" s="2100">
        <f t="shared" si="50"/>
        <v>1905087.8699999999</v>
      </c>
      <c r="F44" s="2101">
        <v>69200</v>
      </c>
      <c r="G44" s="2102">
        <f t="shared" si="51"/>
        <v>62777.181239999998</v>
      </c>
      <c r="H44" s="2103">
        <v>1968</v>
      </c>
      <c r="I44" s="2104">
        <v>1997</v>
      </c>
      <c r="J44" s="2105">
        <f>12280</f>
        <v>12280</v>
      </c>
      <c r="K44" s="2105">
        <f>4476</f>
        <v>4476</v>
      </c>
      <c r="L44" s="2106">
        <v>0.96</v>
      </c>
      <c r="M44" s="2105">
        <f>K44*L44</f>
        <v>4296.96</v>
      </c>
      <c r="N44" s="2107">
        <v>0.98</v>
      </c>
      <c r="O44" s="2100">
        <f>M44*N44</f>
        <v>4211.0208000000002</v>
      </c>
      <c r="P44" s="2105">
        <f>O44*2.75</f>
        <v>11580.307200000001</v>
      </c>
      <c r="Q44" s="2100">
        <f>M44*(1-N44)</f>
        <v>85.939200000000071</v>
      </c>
      <c r="R44" s="2105">
        <f>K44*(1-L44)</f>
        <v>179.04000000000016</v>
      </c>
      <c r="S44" s="2106">
        <v>0.1</v>
      </c>
      <c r="T44" s="2100">
        <f t="shared" si="52"/>
        <v>17.904000000000018</v>
      </c>
      <c r="U44" s="2105">
        <f t="shared" si="53"/>
        <v>161.13600000000014</v>
      </c>
      <c r="V44" s="2105">
        <f t="shared" si="54"/>
        <v>247.07520000000022</v>
      </c>
      <c r="W44" s="2108">
        <f t="shared" si="55"/>
        <v>30778.412800000006</v>
      </c>
      <c r="X44" s="4"/>
      <c r="Y44" s="4"/>
      <c r="Z44" s="4"/>
    </row>
    <row r="45" spans="1:26" ht="15.75" customHeight="1" x14ac:dyDescent="0.25">
      <c r="A45" s="4"/>
      <c r="B45" s="2051"/>
      <c r="C45" s="2052" t="s">
        <v>1886</v>
      </c>
      <c r="D45" s="2056">
        <v>4.2261879999999996</v>
      </c>
      <c r="E45" s="2074">
        <f t="shared" si="50"/>
        <v>3833933.0929235998</v>
      </c>
      <c r="F45" s="2057">
        <v>100000</v>
      </c>
      <c r="G45" s="2071">
        <f t="shared" si="51"/>
        <v>90718.47</v>
      </c>
      <c r="H45" s="2069">
        <v>1995</v>
      </c>
      <c r="I45" s="2058">
        <v>2045</v>
      </c>
      <c r="J45" s="2060">
        <f>728.3</f>
        <v>728.3</v>
      </c>
      <c r="K45" s="2060">
        <f>287.6</f>
        <v>287.60000000000002</v>
      </c>
      <c r="L45" s="2059"/>
      <c r="M45" s="2060"/>
      <c r="N45" s="2061"/>
      <c r="O45" s="2074"/>
      <c r="P45" s="2060"/>
      <c r="Q45" s="2074"/>
      <c r="R45" s="2060">
        <f>K45</f>
        <v>287.60000000000002</v>
      </c>
      <c r="S45" s="2059">
        <v>0.1</v>
      </c>
      <c r="T45" s="2074">
        <f t="shared" si="52"/>
        <v>28.760000000000005</v>
      </c>
      <c r="U45" s="2060">
        <f t="shared" si="53"/>
        <v>258.84000000000003</v>
      </c>
      <c r="V45" s="2060">
        <f t="shared" si="54"/>
        <v>258.84000000000003</v>
      </c>
      <c r="W45" s="2077">
        <f t="shared" si="55"/>
        <v>7975.8200000000006</v>
      </c>
      <c r="X45" s="4"/>
      <c r="Y45" s="4"/>
      <c r="Z45" s="4"/>
    </row>
    <row r="46" spans="1:26" ht="15.75" customHeight="1" x14ac:dyDescent="0.25">
      <c r="A46" s="4"/>
      <c r="B46" s="2051"/>
      <c r="C46" s="2052"/>
      <c r="D46" s="2056"/>
      <c r="E46" s="2074"/>
      <c r="F46" s="2057"/>
      <c r="G46" s="2071"/>
      <c r="H46" s="2069"/>
      <c r="I46" s="2058"/>
      <c r="J46" s="2060"/>
      <c r="K46" s="2060"/>
      <c r="L46" s="2059"/>
      <c r="M46" s="2060"/>
      <c r="N46" s="2061"/>
      <c r="O46" s="2074"/>
      <c r="P46" s="2060"/>
      <c r="Q46" s="2074"/>
      <c r="R46" s="2060"/>
      <c r="S46" s="2052"/>
      <c r="T46" s="2074"/>
      <c r="U46" s="2060"/>
      <c r="V46" s="2060"/>
      <c r="W46" s="2077"/>
      <c r="X46" s="4"/>
      <c r="Y46" s="4"/>
      <c r="Z46" s="4"/>
    </row>
    <row r="47" spans="1:26" ht="15.75" customHeight="1" x14ac:dyDescent="0.25">
      <c r="A47" s="4"/>
      <c r="B47" s="2055" t="s">
        <v>1129</v>
      </c>
      <c r="C47" s="2052" t="s">
        <v>1130</v>
      </c>
      <c r="D47" s="2056">
        <v>1.537185</v>
      </c>
      <c r="E47" s="2074">
        <f t="shared" ref="E47:E48" si="56">D47*1000000*0.9071847</f>
        <v>1394510.7130694999</v>
      </c>
      <c r="F47" s="2057">
        <v>38000</v>
      </c>
      <c r="G47" s="2071">
        <f t="shared" ref="G47:G48" si="57">F47*0.9071847</f>
        <v>34473.018599999996</v>
      </c>
      <c r="H47" s="2069">
        <v>1994</v>
      </c>
      <c r="I47" s="2058">
        <v>2028</v>
      </c>
      <c r="J47" s="2060">
        <v>2554.3807026936006</v>
      </c>
      <c r="K47" s="2060">
        <v>930.97628882538845</v>
      </c>
      <c r="L47" s="2059"/>
      <c r="M47" s="2060"/>
      <c r="N47" s="2061"/>
      <c r="O47" s="2074"/>
      <c r="P47" s="2060"/>
      <c r="Q47" s="2074"/>
      <c r="R47" s="2060">
        <f t="shared" ref="R47:R48" si="58">K47</f>
        <v>930.97628882538845</v>
      </c>
      <c r="S47" s="2059">
        <v>0.1</v>
      </c>
      <c r="T47" s="2074">
        <f t="shared" ref="T47:T48" si="59">R47*S47</f>
        <v>93.097628882538856</v>
      </c>
      <c r="U47" s="2060">
        <f t="shared" ref="U47:U48" si="60">R47-T47</f>
        <v>837.87865994284959</v>
      </c>
      <c r="V47" s="2060">
        <f t="shared" ref="V47:V48" si="61">Q47+U47</f>
        <v>837.87865994284959</v>
      </c>
      <c r="W47" s="2077">
        <f t="shared" ref="W47:W48" si="62">(V47*$D$87)+J47+P47</f>
        <v>26014.98318109339</v>
      </c>
      <c r="X47" s="4"/>
      <c r="Y47" s="4"/>
      <c r="Z47" s="4"/>
    </row>
    <row r="48" spans="1:26" ht="15.75" customHeight="1" x14ac:dyDescent="0.25">
      <c r="A48" s="4"/>
      <c r="B48" s="2051"/>
      <c r="C48" s="2052" t="s">
        <v>1131</v>
      </c>
      <c r="D48" s="2056">
        <v>0.8</v>
      </c>
      <c r="E48" s="2074">
        <f t="shared" si="56"/>
        <v>725747.76</v>
      </c>
      <c r="F48" s="2057">
        <v>20000</v>
      </c>
      <c r="G48" s="2071">
        <f t="shared" si="57"/>
        <v>18143.694</v>
      </c>
      <c r="H48" s="2069">
        <v>1974</v>
      </c>
      <c r="I48" s="2058">
        <v>1994</v>
      </c>
      <c r="J48" s="2060">
        <v>2057.8659282060589</v>
      </c>
      <c r="K48" s="2060">
        <v>750.01521218871108</v>
      </c>
      <c r="L48" s="2059"/>
      <c r="M48" s="2060"/>
      <c r="N48" s="2061"/>
      <c r="O48" s="2074"/>
      <c r="P48" s="2060"/>
      <c r="Q48" s="2074"/>
      <c r="R48" s="2060">
        <f t="shared" si="58"/>
        <v>750.01521218871108</v>
      </c>
      <c r="S48" s="2059">
        <v>0.1</v>
      </c>
      <c r="T48" s="2074">
        <f t="shared" si="59"/>
        <v>75.001521218871105</v>
      </c>
      <c r="U48" s="2060">
        <f t="shared" si="60"/>
        <v>675.01369096984001</v>
      </c>
      <c r="V48" s="2060">
        <f t="shared" si="61"/>
        <v>675.01369096984001</v>
      </c>
      <c r="W48" s="2077">
        <f t="shared" si="62"/>
        <v>20958.249275361577</v>
      </c>
      <c r="X48" s="4"/>
      <c r="Y48" s="4"/>
      <c r="Z48" s="4"/>
    </row>
    <row r="49" spans="1:26" ht="15.75" customHeight="1" x14ac:dyDescent="0.25">
      <c r="A49" s="4"/>
      <c r="B49" s="2051"/>
      <c r="C49" s="2052"/>
      <c r="D49" s="2056"/>
      <c r="E49" s="2074"/>
      <c r="F49" s="2057"/>
      <c r="G49" s="2071"/>
      <c r="H49" s="2069"/>
      <c r="I49" s="2058"/>
      <c r="J49" s="2060"/>
      <c r="K49" s="2060"/>
      <c r="L49" s="2059"/>
      <c r="M49" s="2060"/>
      <c r="N49" s="2061"/>
      <c r="O49" s="2074"/>
      <c r="P49" s="2060"/>
      <c r="Q49" s="2074"/>
      <c r="R49" s="2060"/>
      <c r="S49" s="2052"/>
      <c r="T49" s="2074"/>
      <c r="U49" s="2060"/>
      <c r="V49" s="2060"/>
      <c r="W49" s="2077"/>
      <c r="X49" s="4"/>
      <c r="Y49" s="4"/>
      <c r="Z49" s="4"/>
    </row>
    <row r="50" spans="1:26" ht="15.75" customHeight="1" x14ac:dyDescent="0.25">
      <c r="A50" s="4"/>
      <c r="B50" s="2055" t="s">
        <v>1132</v>
      </c>
      <c r="C50" s="2052" t="s">
        <v>1133</v>
      </c>
      <c r="D50" s="2056">
        <v>2.98</v>
      </c>
      <c r="E50" s="2074">
        <f>D50*1000000*0.9071847</f>
        <v>2703410.406</v>
      </c>
      <c r="F50" s="2057">
        <v>74000</v>
      </c>
      <c r="G50" s="2071">
        <f>F50*0.9071847</f>
        <v>67131.667799999996</v>
      </c>
      <c r="H50" s="2069">
        <v>1986</v>
      </c>
      <c r="I50" s="2058">
        <v>2008</v>
      </c>
      <c r="J50" s="2060">
        <f>4613</f>
        <v>4613</v>
      </c>
      <c r="K50" s="2060">
        <f>1681</f>
        <v>1681</v>
      </c>
      <c r="L50" s="2059"/>
      <c r="M50" s="2060"/>
      <c r="N50" s="2061"/>
      <c r="O50" s="2074"/>
      <c r="P50" s="2060"/>
      <c r="Q50" s="2074"/>
      <c r="R50" s="2060">
        <f>K50</f>
        <v>1681</v>
      </c>
      <c r="S50" s="2059">
        <v>0.1</v>
      </c>
      <c r="T50" s="2074">
        <f>R50*S50</f>
        <v>168.10000000000002</v>
      </c>
      <c r="U50" s="2060">
        <f>R50-T50</f>
        <v>1512.9</v>
      </c>
      <c r="V50" s="2060">
        <f>Q50+U50</f>
        <v>1512.9</v>
      </c>
      <c r="W50" s="2077">
        <f>(V50*$D$87)+J50+P50</f>
        <v>46974.200000000004</v>
      </c>
      <c r="X50" s="4"/>
      <c r="Y50" s="4"/>
      <c r="Z50" s="4"/>
    </row>
    <row r="51" spans="1:26" ht="15.75" customHeight="1" x14ac:dyDescent="0.25">
      <c r="A51" s="4"/>
      <c r="B51" s="2051"/>
      <c r="C51" s="2052"/>
      <c r="D51" s="2056"/>
      <c r="E51" s="2074"/>
      <c r="F51" s="2057"/>
      <c r="G51" s="2071"/>
      <c r="H51" s="2069"/>
      <c r="I51" s="2058"/>
      <c r="J51" s="2060"/>
      <c r="K51" s="2060"/>
      <c r="L51" s="2059"/>
      <c r="M51" s="2060"/>
      <c r="N51" s="2061"/>
      <c r="O51" s="2074"/>
      <c r="P51" s="2060"/>
      <c r="Q51" s="2074"/>
      <c r="R51" s="2060"/>
      <c r="S51" s="2052"/>
      <c r="T51" s="2074"/>
      <c r="U51" s="2060"/>
      <c r="V51" s="2060"/>
      <c r="W51" s="2077"/>
      <c r="X51" s="4"/>
      <c r="Y51" s="4"/>
      <c r="Z51" s="4"/>
    </row>
    <row r="52" spans="1:26" ht="15.75" customHeight="1" x14ac:dyDescent="0.25">
      <c r="A52" s="4"/>
      <c r="B52" s="2055" t="s">
        <v>1134</v>
      </c>
      <c r="C52" s="2097" t="s">
        <v>1135</v>
      </c>
      <c r="D52" s="2099">
        <v>9.9779999999999998</v>
      </c>
      <c r="E52" s="2100">
        <f>D52*1000000*0.9071847</f>
        <v>9051888.9365999997</v>
      </c>
      <c r="F52" s="2101">
        <v>225000</v>
      </c>
      <c r="G52" s="2102">
        <f>F52*0.9071847</f>
        <v>204116.5575</v>
      </c>
      <c r="H52" s="2103">
        <v>1980</v>
      </c>
      <c r="I52" s="2104">
        <v>2122</v>
      </c>
      <c r="J52" s="2105">
        <v>11278.871894096137</v>
      </c>
      <c r="K52" s="2105">
        <v>4110.727225205681</v>
      </c>
      <c r="L52" s="2106">
        <v>0.79</v>
      </c>
      <c r="M52" s="2105">
        <f>K52*L52</f>
        <v>3247.4745079124882</v>
      </c>
      <c r="N52" s="2107">
        <v>0.98</v>
      </c>
      <c r="O52" s="2100">
        <f>M52*N52</f>
        <v>3182.5250177542384</v>
      </c>
      <c r="P52" s="2105">
        <f>O52*2.75</f>
        <v>8751.9437988241552</v>
      </c>
      <c r="Q52" s="2100">
        <f>M52*(1-N52)</f>
        <v>64.949490158249816</v>
      </c>
      <c r="R52" s="2105">
        <f>K52*(1-L52)</f>
        <v>863.25271729319286</v>
      </c>
      <c r="S52" s="2106">
        <v>0.1</v>
      </c>
      <c r="T52" s="2100">
        <f>R52*S52</f>
        <v>86.325271729319297</v>
      </c>
      <c r="U52" s="2105">
        <f>R52-T52</f>
        <v>776.92744556387356</v>
      </c>
      <c r="V52" s="2105">
        <f>Q52+U52</f>
        <v>841.87693572212333</v>
      </c>
      <c r="W52" s="2108">
        <f>(V52*$D$87)+J52+P52</f>
        <v>43603.369893139745</v>
      </c>
      <c r="X52" s="4"/>
      <c r="Y52" s="4"/>
      <c r="Z52" s="4"/>
    </row>
    <row r="53" spans="1:26" ht="15.75" customHeight="1" x14ac:dyDescent="0.25">
      <c r="A53" s="4"/>
      <c r="B53" s="2055"/>
      <c r="C53" s="2052"/>
      <c r="D53" s="2056"/>
      <c r="E53" s="2074"/>
      <c r="F53" s="2057"/>
      <c r="G53" s="2071"/>
      <c r="H53" s="2069"/>
      <c r="I53" s="2058"/>
      <c r="J53" s="2060"/>
      <c r="K53" s="2060"/>
      <c r="L53" s="2059"/>
      <c r="M53" s="2060"/>
      <c r="N53" s="2061"/>
      <c r="O53" s="2074"/>
      <c r="P53" s="2060"/>
      <c r="Q53" s="2074"/>
      <c r="R53" s="2060"/>
      <c r="S53" s="2052"/>
      <c r="T53" s="2074"/>
      <c r="U53" s="2060"/>
      <c r="V53" s="2060"/>
      <c r="W53" s="2077"/>
      <c r="X53" s="4"/>
      <c r="Y53" s="4"/>
      <c r="Z53" s="4"/>
    </row>
    <row r="54" spans="1:26" ht="15.75" customHeight="1" x14ac:dyDescent="0.25">
      <c r="A54" s="4"/>
      <c r="B54" s="2055" t="s">
        <v>1136</v>
      </c>
      <c r="C54" s="2052" t="s">
        <v>1137</v>
      </c>
      <c r="D54" s="2056">
        <v>0.6</v>
      </c>
      <c r="E54" s="2074">
        <f>D54*1000000*0.9071847</f>
        <v>544310.81999999995</v>
      </c>
      <c r="F54" s="2057">
        <v>20000</v>
      </c>
      <c r="G54" s="2071">
        <f>F54*0.9071847</f>
        <v>18143.694</v>
      </c>
      <c r="H54" s="2069">
        <v>1964</v>
      </c>
      <c r="I54" s="2058">
        <v>1992</v>
      </c>
      <c r="J54" s="2060">
        <v>1289.4798012419974</v>
      </c>
      <c r="K54" s="2060">
        <v>469.9671895460495</v>
      </c>
      <c r="L54" s="2059"/>
      <c r="M54" s="2060"/>
      <c r="N54" s="2061"/>
      <c r="O54" s="2074"/>
      <c r="P54" s="2060"/>
      <c r="Q54" s="2074"/>
      <c r="R54" s="2060">
        <f>K54</f>
        <v>469.9671895460495</v>
      </c>
      <c r="S54" s="2059">
        <v>0.1</v>
      </c>
      <c r="T54" s="2074">
        <f>R54*S54</f>
        <v>46.996718954604951</v>
      </c>
      <c r="U54" s="2060">
        <f>R54-T54</f>
        <v>422.97047059144455</v>
      </c>
      <c r="V54" s="2060">
        <f>Q54+U54</f>
        <v>422.97047059144455</v>
      </c>
      <c r="W54" s="2077">
        <f>(V54*$D$87)+J54+P54</f>
        <v>13132.652977802445</v>
      </c>
      <c r="X54" s="4"/>
      <c r="Y54" s="4"/>
      <c r="Z54" s="4"/>
    </row>
    <row r="55" spans="1:26" ht="15.75" customHeight="1" x14ac:dyDescent="0.25">
      <c r="A55" s="4"/>
      <c r="B55" s="2051"/>
      <c r="C55" s="2052"/>
      <c r="D55" s="2056"/>
      <c r="E55" s="2074"/>
      <c r="F55" s="2057"/>
      <c r="G55" s="2071"/>
      <c r="H55" s="2069"/>
      <c r="I55" s="2058"/>
      <c r="J55" s="2060"/>
      <c r="K55" s="2060"/>
      <c r="L55" s="2059"/>
      <c r="M55" s="2060"/>
      <c r="N55" s="2061"/>
      <c r="O55" s="2074"/>
      <c r="P55" s="2060"/>
      <c r="Q55" s="2074"/>
      <c r="R55" s="2060"/>
      <c r="S55" s="2059"/>
      <c r="T55" s="2074"/>
      <c r="U55" s="2060"/>
      <c r="V55" s="2060"/>
      <c r="W55" s="2077"/>
      <c r="X55" s="4"/>
      <c r="Y55" s="4"/>
      <c r="Z55" s="4"/>
    </row>
    <row r="56" spans="1:26" ht="15.75" customHeight="1" x14ac:dyDescent="0.25">
      <c r="A56" s="4"/>
      <c r="B56" s="2055" t="s">
        <v>1138</v>
      </c>
      <c r="C56" s="2119" t="s">
        <v>1139</v>
      </c>
      <c r="D56" s="2120">
        <f>4354487*1.1023/10000000</f>
        <v>0.47999510201000001</v>
      </c>
      <c r="E56" s="2121">
        <v>4354487</v>
      </c>
      <c r="F56" s="2122"/>
      <c r="G56" s="2123"/>
      <c r="H56" s="2124">
        <v>1962</v>
      </c>
      <c r="I56" s="2125">
        <v>1983</v>
      </c>
      <c r="J56" s="2126">
        <f>14010</f>
        <v>14010</v>
      </c>
      <c r="K56" s="2126">
        <f>5107</f>
        <v>5107</v>
      </c>
      <c r="L56" s="2127">
        <v>0.88200000000000001</v>
      </c>
      <c r="M56" s="2126">
        <f t="shared" ref="M56:M57" si="63">K56*L56</f>
        <v>4504.3739999999998</v>
      </c>
      <c r="N56" s="2128">
        <v>0.97699999999999998</v>
      </c>
      <c r="O56" s="2121">
        <f t="shared" ref="O56:O57" si="64">M56*N56</f>
        <v>4400.7733979999994</v>
      </c>
      <c r="P56" s="2126">
        <f t="shared" ref="P56:P57" si="65">O56*2.75</f>
        <v>12102.126844499999</v>
      </c>
      <c r="Q56" s="2121">
        <f t="shared" ref="Q56:Q57" si="66">M56*(1-N56)</f>
        <v>103.60060200000008</v>
      </c>
      <c r="R56" s="2126">
        <f t="shared" ref="R56:R57" si="67">K56*(1-L56)</f>
        <v>602.62599999999998</v>
      </c>
      <c r="S56" s="2127">
        <v>0.1</v>
      </c>
      <c r="T56" s="2121">
        <f t="shared" ref="T56:T57" si="68">R56*S56</f>
        <v>60.262599999999999</v>
      </c>
      <c r="U56" s="2126">
        <f t="shared" ref="U56:U57" si="69">R56-T56</f>
        <v>542.36339999999996</v>
      </c>
      <c r="V56" s="2126">
        <f t="shared" ref="V56:V57" si="70">Q56+U56</f>
        <v>645.96400200000005</v>
      </c>
      <c r="W56" s="2129">
        <f t="shared" ref="W56:W57" si="71">(V56*$D$87)+J56+P56</f>
        <v>44199.118900500005</v>
      </c>
      <c r="X56" s="4"/>
      <c r="Y56" s="4"/>
      <c r="Z56" s="4"/>
    </row>
    <row r="57" spans="1:26" ht="15.75" customHeight="1" x14ac:dyDescent="0.25">
      <c r="A57" s="4"/>
      <c r="B57" s="2051"/>
      <c r="C57" s="2119" t="s">
        <v>1140</v>
      </c>
      <c r="D57" s="2130">
        <f>4560132*1.1023/1000000</f>
        <v>5.0266335036000003</v>
      </c>
      <c r="E57" s="2121">
        <v>4560132</v>
      </c>
      <c r="F57" s="2122"/>
      <c r="G57" s="2123"/>
      <c r="H57" s="2124">
        <v>1982</v>
      </c>
      <c r="I57" s="2125">
        <v>1998</v>
      </c>
      <c r="J57" s="2126">
        <f>15800</f>
        <v>15800</v>
      </c>
      <c r="K57" s="2126">
        <f>5758</f>
        <v>5758</v>
      </c>
      <c r="L57" s="2127">
        <v>0.88200000000000001</v>
      </c>
      <c r="M57" s="2126">
        <f t="shared" si="63"/>
        <v>5078.5559999999996</v>
      </c>
      <c r="N57" s="2128">
        <v>0.98</v>
      </c>
      <c r="O57" s="2121">
        <f t="shared" si="64"/>
        <v>4976.9848799999991</v>
      </c>
      <c r="P57" s="2126">
        <f t="shared" si="65"/>
        <v>13686.708419999997</v>
      </c>
      <c r="Q57" s="2121">
        <f t="shared" si="66"/>
        <v>101.57112000000008</v>
      </c>
      <c r="R57" s="2126">
        <f t="shared" si="67"/>
        <v>679.44399999999996</v>
      </c>
      <c r="S57" s="2127">
        <v>0.1</v>
      </c>
      <c r="T57" s="2121">
        <f t="shared" si="68"/>
        <v>67.944400000000002</v>
      </c>
      <c r="U57" s="2126">
        <f t="shared" si="69"/>
        <v>611.49959999999999</v>
      </c>
      <c r="V57" s="2126">
        <f t="shared" si="70"/>
        <v>713.07072000000005</v>
      </c>
      <c r="W57" s="2129">
        <f t="shared" si="71"/>
        <v>49452.688580000002</v>
      </c>
      <c r="X57" s="4"/>
      <c r="Y57" s="4"/>
      <c r="Z57" s="4"/>
    </row>
    <row r="58" spans="1:26" ht="15.75" customHeight="1" x14ac:dyDescent="0.25">
      <c r="A58" s="4"/>
      <c r="B58" s="2051"/>
      <c r="C58" s="2052"/>
      <c r="D58" s="2056"/>
      <c r="E58" s="2074"/>
      <c r="F58" s="2057"/>
      <c r="G58" s="2071"/>
      <c r="H58" s="2069"/>
      <c r="I58" s="2058"/>
      <c r="J58" s="2060"/>
      <c r="K58" s="2060"/>
      <c r="L58" s="2059"/>
      <c r="M58" s="2060"/>
      <c r="N58" s="2061"/>
      <c r="O58" s="2074"/>
      <c r="P58" s="2060"/>
      <c r="Q58" s="2074"/>
      <c r="R58" s="2060"/>
      <c r="S58" s="2059"/>
      <c r="T58" s="2074"/>
      <c r="U58" s="2060"/>
      <c r="V58" s="2060"/>
      <c r="W58" s="2077"/>
      <c r="X58" s="4"/>
      <c r="Y58" s="4"/>
      <c r="Z58" s="4"/>
    </row>
    <row r="59" spans="1:26" ht="15.75" customHeight="1" x14ac:dyDescent="0.25">
      <c r="A59" s="4"/>
      <c r="B59" s="2051"/>
      <c r="C59" s="2052"/>
      <c r="D59" s="2056"/>
      <c r="E59" s="2074"/>
      <c r="F59" s="2057"/>
      <c r="G59" s="2071"/>
      <c r="H59" s="2069"/>
      <c r="I59" s="2058"/>
      <c r="J59" s="2060"/>
      <c r="K59" s="2060"/>
      <c r="L59" s="2059"/>
      <c r="M59" s="2060"/>
      <c r="N59" s="2061"/>
      <c r="O59" s="2074"/>
      <c r="P59" s="2060"/>
      <c r="Q59" s="2074"/>
      <c r="R59" s="2060"/>
      <c r="S59" s="2052"/>
      <c r="T59" s="2074"/>
      <c r="U59" s="2060"/>
      <c r="V59" s="2060"/>
      <c r="W59" s="2077"/>
      <c r="X59" s="4"/>
      <c r="Y59" s="4"/>
      <c r="Z59" s="4"/>
    </row>
    <row r="60" spans="1:26" ht="15.75" customHeight="1" x14ac:dyDescent="0.25">
      <c r="A60" s="4"/>
      <c r="B60" s="2055" t="s">
        <v>1141</v>
      </c>
      <c r="C60" s="2119" t="s">
        <v>1142</v>
      </c>
      <c r="D60" s="2130">
        <v>7.1</v>
      </c>
      <c r="E60" s="2121">
        <f t="shared" ref="E60:E63" si="72">D60*1000000*0.9071847</f>
        <v>6441011.3700000001</v>
      </c>
      <c r="F60" s="2122">
        <v>284000</v>
      </c>
      <c r="G60" s="2123">
        <f t="shared" ref="G60:G63" si="73">F60*0.9071847</f>
        <v>257640.45479999998</v>
      </c>
      <c r="H60" s="2124">
        <v>1968</v>
      </c>
      <c r="I60" s="2125">
        <v>1993</v>
      </c>
      <c r="J60" s="2126">
        <v>16607.422082836656</v>
      </c>
      <c r="K60" s="2126">
        <v>6052.7845991524637</v>
      </c>
      <c r="L60" s="2127">
        <v>0.58899999999999997</v>
      </c>
      <c r="M60" s="2126">
        <f t="shared" ref="M60:M62" si="74">K60*L60</f>
        <v>3565.0901289008011</v>
      </c>
      <c r="N60" s="2128">
        <v>0.997</v>
      </c>
      <c r="O60" s="2121">
        <f t="shared" ref="O60:O62" si="75">M60*N60</f>
        <v>3554.3948585140988</v>
      </c>
      <c r="P60" s="2126">
        <f t="shared" ref="P60:P62" si="76">O60*2.75</f>
        <v>9774.5858609137722</v>
      </c>
      <c r="Q60" s="2121">
        <f t="shared" ref="Q60:Q62" si="77">M60*(1-N60)</f>
        <v>10.695270386702413</v>
      </c>
      <c r="R60" s="2126">
        <f t="shared" ref="R60:R62" si="78">K60*(1-L60)</f>
        <v>2487.6944702516626</v>
      </c>
      <c r="S60" s="2127">
        <v>0.1</v>
      </c>
      <c r="T60" s="2121">
        <f t="shared" ref="T60:T63" si="79">R60*S60</f>
        <v>248.76944702516627</v>
      </c>
      <c r="U60" s="2126">
        <f t="shared" ref="U60:U63" si="80">R60-T60</f>
        <v>2238.9250232264963</v>
      </c>
      <c r="V60" s="2126">
        <f t="shared" ref="V60:V63" si="81">Q60+U60</f>
        <v>2249.6202936131986</v>
      </c>
      <c r="W60" s="2129">
        <f t="shared" ref="W60:W63" si="82">(V60*$D$87)+J60+P60</f>
        <v>89371.376164919988</v>
      </c>
      <c r="X60" s="4"/>
      <c r="Y60" s="4"/>
      <c r="Z60" s="4"/>
    </row>
    <row r="61" spans="1:26" ht="15.75" customHeight="1" x14ac:dyDescent="0.25">
      <c r="A61" s="4"/>
      <c r="B61" s="2051"/>
      <c r="C61" s="2119" t="s">
        <v>1143</v>
      </c>
      <c r="D61" s="2130">
        <v>16</v>
      </c>
      <c r="E61" s="2121">
        <f t="shared" si="72"/>
        <v>14514955.199999999</v>
      </c>
      <c r="F61" s="2122">
        <v>280000</v>
      </c>
      <c r="G61" s="2123">
        <f t="shared" si="73"/>
        <v>254011.71599999999</v>
      </c>
      <c r="H61" s="2124">
        <v>1992</v>
      </c>
      <c r="I61" s="2125">
        <v>2016</v>
      </c>
      <c r="J61" s="2126">
        <v>35409.47552727571</v>
      </c>
      <c r="K61" s="2126">
        <v>12905.430298966197</v>
      </c>
      <c r="L61" s="2127">
        <v>0.58899999999999997</v>
      </c>
      <c r="M61" s="2126">
        <f t="shared" si="74"/>
        <v>7601.2984460910902</v>
      </c>
      <c r="N61" s="2128">
        <v>0.97199999999999998</v>
      </c>
      <c r="O61" s="2121">
        <f t="shared" si="75"/>
        <v>7388.4620896005399</v>
      </c>
      <c r="P61" s="2126">
        <f t="shared" si="76"/>
        <v>20318.270746401486</v>
      </c>
      <c r="Q61" s="2121">
        <f t="shared" si="77"/>
        <v>212.83635649055071</v>
      </c>
      <c r="R61" s="2126">
        <f t="shared" si="78"/>
        <v>5304.1318528751071</v>
      </c>
      <c r="S61" s="2127">
        <v>0.1</v>
      </c>
      <c r="T61" s="2121">
        <f t="shared" si="79"/>
        <v>530.41318528751071</v>
      </c>
      <c r="U61" s="2126">
        <f t="shared" si="80"/>
        <v>4773.7186675875964</v>
      </c>
      <c r="V61" s="2126">
        <f t="shared" si="81"/>
        <v>4986.5550240781467</v>
      </c>
      <c r="W61" s="2129">
        <f t="shared" si="82"/>
        <v>195351.2869478653</v>
      </c>
      <c r="X61" s="4"/>
      <c r="Y61" s="4"/>
      <c r="Z61" s="4"/>
    </row>
    <row r="62" spans="1:26" ht="15.75" customHeight="1" x14ac:dyDescent="0.25">
      <c r="A62" s="4"/>
      <c r="B62" s="2051"/>
      <c r="C62" s="2097" t="s">
        <v>1144</v>
      </c>
      <c r="D62" s="2099">
        <v>7.5</v>
      </c>
      <c r="E62" s="2100">
        <f t="shared" si="72"/>
        <v>6803885.25</v>
      </c>
      <c r="F62" s="2101">
        <v>280000</v>
      </c>
      <c r="G62" s="2102">
        <f t="shared" si="73"/>
        <v>254011.71599999999</v>
      </c>
      <c r="H62" s="2103">
        <v>1978</v>
      </c>
      <c r="I62" s="2104">
        <v>2000</v>
      </c>
      <c r="J62" s="2105">
        <v>17807.627469267703</v>
      </c>
      <c r="K62" s="2105">
        <v>7643.5279974526075</v>
      </c>
      <c r="L62" s="2106">
        <v>0.94699999999999995</v>
      </c>
      <c r="M62" s="2105">
        <f t="shared" si="74"/>
        <v>7238.4210135876192</v>
      </c>
      <c r="N62" s="2107">
        <v>0.98</v>
      </c>
      <c r="O62" s="2100">
        <f t="shared" si="75"/>
        <v>7093.6525933158664</v>
      </c>
      <c r="P62" s="2105">
        <f t="shared" si="76"/>
        <v>19507.544631618632</v>
      </c>
      <c r="Q62" s="2100">
        <f t="shared" si="77"/>
        <v>144.76842027175252</v>
      </c>
      <c r="R62" s="2105">
        <f t="shared" si="78"/>
        <v>405.10698386498854</v>
      </c>
      <c r="S62" s="2106">
        <v>0.1</v>
      </c>
      <c r="T62" s="2100">
        <f t="shared" si="79"/>
        <v>40.510698386498859</v>
      </c>
      <c r="U62" s="2105">
        <f t="shared" si="80"/>
        <v>364.59628547848968</v>
      </c>
      <c r="V62" s="2105">
        <f t="shared" si="81"/>
        <v>509.36470575024219</v>
      </c>
      <c r="W62" s="2108">
        <f t="shared" si="82"/>
        <v>51577.383861893119</v>
      </c>
      <c r="X62" s="4"/>
      <c r="Y62" s="4"/>
      <c r="Z62" s="4"/>
    </row>
    <row r="63" spans="1:26" ht="15.75" customHeight="1" x14ac:dyDescent="0.25">
      <c r="A63" s="4"/>
      <c r="B63" s="2051"/>
      <c r="C63" s="2052" t="s">
        <v>1145</v>
      </c>
      <c r="D63" s="2056">
        <v>1.6</v>
      </c>
      <c r="E63" s="2074">
        <f t="shared" si="72"/>
        <v>1451495.52</v>
      </c>
      <c r="F63" s="2057">
        <v>34000</v>
      </c>
      <c r="G63" s="2071">
        <f t="shared" si="73"/>
        <v>30844.2798</v>
      </c>
      <c r="H63" s="2069">
        <v>1960</v>
      </c>
      <c r="I63" s="2058">
        <v>2004</v>
      </c>
      <c r="J63" s="2060">
        <v>4249.888437850791</v>
      </c>
      <c r="K63" s="2060">
        <v>1548.9254838247368</v>
      </c>
      <c r="L63" s="2059"/>
      <c r="M63" s="2060"/>
      <c r="N63" s="2061"/>
      <c r="O63" s="2074"/>
      <c r="P63" s="2060"/>
      <c r="Q63" s="2074"/>
      <c r="R63" s="2060">
        <f>K63</f>
        <v>1548.9254838247368</v>
      </c>
      <c r="S63" s="2059">
        <v>0.1</v>
      </c>
      <c r="T63" s="2074">
        <f t="shared" si="79"/>
        <v>154.89254838247371</v>
      </c>
      <c r="U63" s="2060">
        <f t="shared" si="80"/>
        <v>1394.0329354422631</v>
      </c>
      <c r="V63" s="2060">
        <f t="shared" si="81"/>
        <v>1394.0329354422631</v>
      </c>
      <c r="W63" s="2077">
        <f t="shared" si="82"/>
        <v>43282.810630234162</v>
      </c>
      <c r="X63" s="4"/>
      <c r="Y63" s="4"/>
      <c r="Z63" s="4"/>
    </row>
    <row r="64" spans="1:26" ht="15.75" customHeight="1" x14ac:dyDescent="0.25">
      <c r="A64" s="4"/>
      <c r="B64" s="2051"/>
      <c r="C64" s="2052"/>
      <c r="D64" s="2056"/>
      <c r="E64" s="2074"/>
      <c r="F64" s="2057"/>
      <c r="G64" s="2071"/>
      <c r="H64" s="2069"/>
      <c r="I64" s="2058"/>
      <c r="J64" s="2060"/>
      <c r="K64" s="2060"/>
      <c r="L64" s="2059"/>
      <c r="M64" s="2060"/>
      <c r="N64" s="2061"/>
      <c r="O64" s="2074"/>
      <c r="P64" s="2060"/>
      <c r="Q64" s="2074"/>
      <c r="R64" s="2060"/>
      <c r="S64" s="2052"/>
      <c r="T64" s="2074"/>
      <c r="U64" s="2060"/>
      <c r="V64" s="2060"/>
      <c r="W64" s="2077"/>
      <c r="X64" s="4"/>
      <c r="Y64" s="4"/>
      <c r="Z64" s="4"/>
    </row>
    <row r="65" spans="1:26" ht="15.75" customHeight="1" x14ac:dyDescent="0.25">
      <c r="A65" s="4"/>
      <c r="B65" s="2055" t="s">
        <v>1146</v>
      </c>
      <c r="C65" s="2052" t="s">
        <v>1147</v>
      </c>
      <c r="D65" s="2056">
        <v>1.61</v>
      </c>
      <c r="E65" s="2074">
        <v>393341</v>
      </c>
      <c r="F65" s="2057"/>
      <c r="G65" s="2071">
        <f t="shared" ref="G65:G66" si="83">F65*0.9071847</f>
        <v>0</v>
      </c>
      <c r="H65" s="2072">
        <v>1998</v>
      </c>
      <c r="I65" s="2058">
        <v>2023</v>
      </c>
      <c r="J65" s="2060">
        <v>1622.9005712111855</v>
      </c>
      <c r="K65" s="2060">
        <v>591.48659764206809</v>
      </c>
      <c r="L65" s="2059"/>
      <c r="M65" s="2060"/>
      <c r="N65" s="2061"/>
      <c r="O65" s="2074"/>
      <c r="P65" s="2060"/>
      <c r="Q65" s="2074"/>
      <c r="R65" s="2060">
        <f t="shared" ref="R65:R66" si="84">K65</f>
        <v>591.48659764206809</v>
      </c>
      <c r="S65" s="2059">
        <v>0.1</v>
      </c>
      <c r="T65" s="2074">
        <f t="shared" ref="T65:T66" si="85">R65*S65</f>
        <v>59.148659764206812</v>
      </c>
      <c r="U65" s="2060">
        <f t="shared" ref="U65:U66" si="86">R65-T65</f>
        <v>532.33793787786124</v>
      </c>
      <c r="V65" s="2060">
        <f t="shared" ref="V65:V66" si="87">Q65+U65</f>
        <v>532.33793787786124</v>
      </c>
      <c r="W65" s="2077">
        <f t="shared" ref="W65:W66" si="88">(V65*$D$87)+J65+P65</f>
        <v>16528.362831791299</v>
      </c>
      <c r="X65" s="4"/>
      <c r="Y65" s="4"/>
      <c r="Z65" s="4"/>
    </row>
    <row r="66" spans="1:26" ht="15.75" customHeight="1" x14ac:dyDescent="0.25">
      <c r="A66" s="4"/>
      <c r="B66" s="2051"/>
      <c r="C66" s="2052" t="s">
        <v>1148</v>
      </c>
      <c r="D66" s="2056"/>
      <c r="E66" s="2074">
        <v>368200</v>
      </c>
      <c r="F66" s="2057"/>
      <c r="G66" s="2071">
        <f t="shared" si="83"/>
        <v>0</v>
      </c>
      <c r="H66" s="2069">
        <v>1977</v>
      </c>
      <c r="I66" s="2058">
        <v>1998</v>
      </c>
      <c r="J66" s="2060">
        <v>1350.520395631233</v>
      </c>
      <c r="K66" s="2060">
        <v>492.21420463360545</v>
      </c>
      <c r="L66" s="2059"/>
      <c r="M66" s="2060"/>
      <c r="N66" s="2061"/>
      <c r="O66" s="2074"/>
      <c r="P66" s="2060"/>
      <c r="Q66" s="2074"/>
      <c r="R66" s="2060">
        <f t="shared" si="84"/>
        <v>492.21420463360545</v>
      </c>
      <c r="S66" s="2059">
        <v>0.1</v>
      </c>
      <c r="T66" s="2074">
        <f t="shared" si="85"/>
        <v>49.221420463360545</v>
      </c>
      <c r="U66" s="2060">
        <f t="shared" si="86"/>
        <v>442.99278417024493</v>
      </c>
      <c r="V66" s="2060">
        <f t="shared" si="87"/>
        <v>442.99278417024493</v>
      </c>
      <c r="W66" s="2077">
        <f t="shared" si="88"/>
        <v>13754.318352398092</v>
      </c>
      <c r="X66" s="4"/>
      <c r="Y66" s="4"/>
      <c r="Z66" s="4"/>
    </row>
    <row r="67" spans="1:26" ht="15.75" customHeight="1" x14ac:dyDescent="0.25">
      <c r="A67" s="4"/>
      <c r="B67" s="2051"/>
      <c r="C67" s="2052"/>
      <c r="D67" s="2056"/>
      <c r="E67" s="2074">
        <f t="shared" ref="E67:E68" si="89">D67*1000000*0.9071847</f>
        <v>0</v>
      </c>
      <c r="F67" s="2057"/>
      <c r="G67" s="2071"/>
      <c r="H67" s="2069"/>
      <c r="I67" s="2058"/>
      <c r="J67" s="2060"/>
      <c r="K67" s="2060"/>
      <c r="L67" s="2059"/>
      <c r="M67" s="2060"/>
      <c r="N67" s="2061"/>
      <c r="O67" s="2074"/>
      <c r="P67" s="2060"/>
      <c r="Q67" s="2074"/>
      <c r="R67" s="2060"/>
      <c r="S67" s="2052"/>
      <c r="T67" s="2074"/>
      <c r="U67" s="2060"/>
      <c r="V67" s="2060"/>
      <c r="W67" s="2077"/>
      <c r="X67" s="4"/>
      <c r="Y67" s="4"/>
      <c r="Z67" s="4"/>
    </row>
    <row r="68" spans="1:26" ht="15.75" customHeight="1" x14ac:dyDescent="0.25">
      <c r="A68" s="4"/>
      <c r="B68" s="2055" t="s">
        <v>1149</v>
      </c>
      <c r="C68" s="2052" t="s">
        <v>1150</v>
      </c>
      <c r="D68" s="2056">
        <v>3.7512439999999998</v>
      </c>
      <c r="E68" s="2074">
        <f t="shared" si="89"/>
        <v>3403071.1627667998</v>
      </c>
      <c r="F68" s="2057">
        <v>81800</v>
      </c>
      <c r="G68" s="2071">
        <f>F68*0.9071847</f>
        <v>74207.708459999994</v>
      </c>
      <c r="H68" s="2069">
        <v>1991</v>
      </c>
      <c r="I68" s="2058">
        <v>2010</v>
      </c>
      <c r="J68" s="2060">
        <v>10044.344450339966</v>
      </c>
      <c r="K68" s="2060">
        <v>3660.7881159612143</v>
      </c>
      <c r="L68" s="2059"/>
      <c r="M68" s="2060"/>
      <c r="N68" s="2061"/>
      <c r="O68" s="2074"/>
      <c r="P68" s="2060"/>
      <c r="Q68" s="2074"/>
      <c r="R68" s="2060">
        <f>K68</f>
        <v>3660.7881159612143</v>
      </c>
      <c r="S68" s="2059">
        <v>0.1</v>
      </c>
      <c r="T68" s="2074">
        <f>R68*S68</f>
        <v>366.07881159612145</v>
      </c>
      <c r="U68" s="2060">
        <f>R68-T68</f>
        <v>3294.709304365093</v>
      </c>
      <c r="V68" s="2060">
        <f>Q68+U68</f>
        <v>3294.709304365093</v>
      </c>
      <c r="W68" s="2077">
        <f>(V68*$D$87)+J68+P68</f>
        <v>102296.20497256257</v>
      </c>
      <c r="X68" s="4"/>
      <c r="Y68" s="4"/>
      <c r="Z68" s="4"/>
    </row>
    <row r="69" spans="1:26" ht="15.75" customHeight="1" x14ac:dyDescent="0.25">
      <c r="A69" s="4"/>
      <c r="B69" s="2051"/>
      <c r="C69" s="2052"/>
      <c r="D69" s="2056"/>
      <c r="E69" s="2074"/>
      <c r="F69" s="2057"/>
      <c r="G69" s="2071"/>
      <c r="H69" s="2069"/>
      <c r="I69" s="2058"/>
      <c r="J69" s="2060"/>
      <c r="K69" s="2060"/>
      <c r="L69" s="2059"/>
      <c r="M69" s="2060"/>
      <c r="N69" s="2061"/>
      <c r="O69" s="2074"/>
      <c r="P69" s="2060"/>
      <c r="Q69" s="2074"/>
      <c r="R69" s="2060"/>
      <c r="S69" s="2052"/>
      <c r="T69" s="2074"/>
      <c r="U69" s="2060"/>
      <c r="V69" s="2060"/>
      <c r="W69" s="2077"/>
      <c r="X69" s="4"/>
      <c r="Y69" s="4"/>
      <c r="Z69" s="4"/>
    </row>
    <row r="70" spans="1:26" ht="15.75" customHeight="1" x14ac:dyDescent="0.25">
      <c r="A70" s="4"/>
      <c r="B70" s="2055" t="s">
        <v>1151</v>
      </c>
      <c r="C70" s="2052" t="s">
        <v>1152</v>
      </c>
      <c r="D70" s="2052"/>
      <c r="E70" s="2074">
        <v>89729.73</v>
      </c>
      <c r="F70" s="2054"/>
      <c r="G70" s="2071">
        <f t="shared" ref="G70:G72" si="90">F70*0.9071847</f>
        <v>0</v>
      </c>
      <c r="H70" s="2069">
        <v>1981</v>
      </c>
      <c r="I70" s="2058">
        <v>1993</v>
      </c>
      <c r="J70" s="2060">
        <v>309.92217252081514</v>
      </c>
      <c r="K70" s="2060">
        <v>112.95504765357589</v>
      </c>
      <c r="L70" s="2059"/>
      <c r="M70" s="2060"/>
      <c r="N70" s="2061"/>
      <c r="O70" s="2074"/>
      <c r="P70" s="2060"/>
      <c r="Q70" s="2074"/>
      <c r="R70" s="2060">
        <f t="shared" ref="R70:R72" si="91">K70</f>
        <v>112.95504765357589</v>
      </c>
      <c r="S70" s="2059">
        <v>0.1</v>
      </c>
      <c r="T70" s="2074">
        <f t="shared" ref="T70:T72" si="92">R70*S70</f>
        <v>11.29550476535759</v>
      </c>
      <c r="U70" s="2060">
        <f t="shared" ref="U70:U72" si="93">R70-T70</f>
        <v>101.6595428882183</v>
      </c>
      <c r="V70" s="2060">
        <f t="shared" ref="V70:V72" si="94">Q70+U70</f>
        <v>101.6595428882183</v>
      </c>
      <c r="W70" s="2077">
        <f t="shared" ref="W70:W72" si="95">(V70*$D$87)+J70+P70</f>
        <v>3156.3893733909272</v>
      </c>
      <c r="X70" s="4"/>
      <c r="Y70" s="4"/>
      <c r="Z70" s="4"/>
    </row>
    <row r="71" spans="1:26" ht="15.75" customHeight="1" x14ac:dyDescent="0.25">
      <c r="A71" s="4"/>
      <c r="B71" s="2051"/>
      <c r="C71" s="2052" t="s">
        <v>1887</v>
      </c>
      <c r="D71" s="2056">
        <v>2.5499999999999998</v>
      </c>
      <c r="E71" s="2074">
        <f t="shared" ref="E71:E72" si="96">D71*1000000*0.9071847</f>
        <v>2313320.9849999999</v>
      </c>
      <c r="F71" s="2057">
        <v>150000</v>
      </c>
      <c r="G71" s="2071">
        <f t="shared" si="90"/>
        <v>136077.70499999999</v>
      </c>
      <c r="H71" s="2069">
        <v>1982</v>
      </c>
      <c r="I71" s="2058">
        <v>2000</v>
      </c>
      <c r="J71" s="2060">
        <v>1636.2416568530507</v>
      </c>
      <c r="K71" s="2060">
        <v>596.34892469718079</v>
      </c>
      <c r="L71" s="2059"/>
      <c r="M71" s="2060"/>
      <c r="N71" s="2061"/>
      <c r="O71" s="2074"/>
      <c r="P71" s="2060"/>
      <c r="Q71" s="2074"/>
      <c r="R71" s="2060">
        <f t="shared" si="91"/>
        <v>596.34892469718079</v>
      </c>
      <c r="S71" s="2059">
        <v>0.1</v>
      </c>
      <c r="T71" s="2074">
        <f t="shared" si="92"/>
        <v>59.634892469718082</v>
      </c>
      <c r="U71" s="2060">
        <f t="shared" si="93"/>
        <v>536.71403222746267</v>
      </c>
      <c r="V71" s="2060">
        <f t="shared" si="94"/>
        <v>536.71403222746267</v>
      </c>
      <c r="W71" s="2077">
        <f t="shared" si="95"/>
        <v>16664.234559222004</v>
      </c>
      <c r="X71" s="4"/>
      <c r="Y71" s="4"/>
      <c r="Z71" s="4"/>
    </row>
    <row r="72" spans="1:26" ht="15.75" customHeight="1" x14ac:dyDescent="0.25">
      <c r="A72" s="4"/>
      <c r="B72" s="2051"/>
      <c r="C72" s="2052" t="s">
        <v>1153</v>
      </c>
      <c r="D72" s="2056">
        <v>20.273</v>
      </c>
      <c r="E72" s="2074">
        <f t="shared" si="96"/>
        <v>18391355.423099998</v>
      </c>
      <c r="F72" s="2057"/>
      <c r="G72" s="2071">
        <f t="shared" si="90"/>
        <v>0</v>
      </c>
      <c r="H72" s="2069">
        <v>2000</v>
      </c>
      <c r="I72" s="2058">
        <v>2047</v>
      </c>
      <c r="J72" s="2060">
        <f>13730</f>
        <v>13730</v>
      </c>
      <c r="K72" s="2060">
        <f>5005</f>
        <v>5005</v>
      </c>
      <c r="L72" s="2059"/>
      <c r="M72" s="2060"/>
      <c r="N72" s="2061"/>
      <c r="O72" s="2074"/>
      <c r="P72" s="2060"/>
      <c r="Q72" s="2074"/>
      <c r="R72" s="2060">
        <f t="shared" si="91"/>
        <v>5005</v>
      </c>
      <c r="S72" s="2059">
        <v>0.1</v>
      </c>
      <c r="T72" s="2074">
        <f t="shared" si="92"/>
        <v>500.5</v>
      </c>
      <c r="U72" s="2060">
        <f t="shared" si="93"/>
        <v>4504.5</v>
      </c>
      <c r="V72" s="2060">
        <f t="shared" si="94"/>
        <v>4504.5</v>
      </c>
      <c r="W72" s="2077">
        <f t="shared" si="95"/>
        <v>139856</v>
      </c>
      <c r="X72" s="4"/>
      <c r="Y72" s="4"/>
      <c r="Z72" s="4"/>
    </row>
    <row r="73" spans="1:26" ht="15.75" customHeight="1" x14ac:dyDescent="0.25">
      <c r="A73" s="4"/>
      <c r="B73" s="2051"/>
      <c r="C73" s="2052"/>
      <c r="D73" s="2056"/>
      <c r="E73" s="2074"/>
      <c r="F73" s="2057"/>
      <c r="G73" s="2071"/>
      <c r="H73" s="2069"/>
      <c r="I73" s="2058"/>
      <c r="J73" s="2060"/>
      <c r="K73" s="2060"/>
      <c r="L73" s="2059"/>
      <c r="M73" s="2060"/>
      <c r="N73" s="2061"/>
      <c r="O73" s="2074"/>
      <c r="P73" s="2060"/>
      <c r="Q73" s="2074"/>
      <c r="R73" s="2060"/>
      <c r="S73" s="2052"/>
      <c r="T73" s="2074"/>
      <c r="U73" s="2060"/>
      <c r="V73" s="2060"/>
      <c r="W73" s="2077"/>
      <c r="X73" s="4"/>
      <c r="Y73" s="4"/>
      <c r="Z73" s="4"/>
    </row>
    <row r="74" spans="1:26" ht="15.75" customHeight="1" x14ac:dyDescent="0.25">
      <c r="A74" s="4"/>
      <c r="B74" s="2055" t="s">
        <v>1154</v>
      </c>
      <c r="C74" s="2097" t="s">
        <v>1888</v>
      </c>
      <c r="D74" s="2099">
        <v>7.2</v>
      </c>
      <c r="E74" s="2100">
        <f>D74*1000000*0.9071847</f>
        <v>6531729.8399999999</v>
      </c>
      <c r="F74" s="2101">
        <v>82000</v>
      </c>
      <c r="G74" s="2102">
        <f>F74*0.9071847</f>
        <v>74389.145399999994</v>
      </c>
      <c r="H74" s="2103">
        <v>1955</v>
      </c>
      <c r="I74" s="2104">
        <v>2031</v>
      </c>
      <c r="J74" s="2105">
        <v>15382.052875921469</v>
      </c>
      <c r="K74" s="2105">
        <v>5606.1833249211622</v>
      </c>
      <c r="L74" s="2106">
        <v>0.378</v>
      </c>
      <c r="M74" s="2105">
        <f>K74*L74</f>
        <v>2119.1372968201995</v>
      </c>
      <c r="N74" s="2107">
        <v>0.98</v>
      </c>
      <c r="O74" s="2100">
        <f>M74*N74</f>
        <v>2076.7545508837957</v>
      </c>
      <c r="P74" s="2105">
        <f>O74*2.75</f>
        <v>5711.0750149304386</v>
      </c>
      <c r="Q74" s="2100">
        <f>M74*(1-N74)</f>
        <v>42.382745936404028</v>
      </c>
      <c r="R74" s="2105">
        <f>K74*(1-L74)</f>
        <v>3487.0460281009628</v>
      </c>
      <c r="S74" s="2106">
        <v>0.1</v>
      </c>
      <c r="T74" s="2100">
        <f>R74*S74</f>
        <v>348.70460281009628</v>
      </c>
      <c r="U74" s="2105">
        <f>R74-T74</f>
        <v>3138.3414252908665</v>
      </c>
      <c r="V74" s="2105">
        <f>Q74+U74</f>
        <v>3180.7241712272703</v>
      </c>
      <c r="W74" s="2108">
        <f>(V74*$D$87)+J74+P74</f>
        <v>110153.40468521547</v>
      </c>
      <c r="X74" s="4"/>
      <c r="Y74" s="4"/>
      <c r="Z74" s="4"/>
    </row>
    <row r="75" spans="1:26" ht="15.75" customHeight="1" x14ac:dyDescent="0.25">
      <c r="A75" s="4"/>
      <c r="B75" s="2051"/>
      <c r="C75" s="2052"/>
      <c r="D75" s="2052"/>
      <c r="E75" s="2074"/>
      <c r="F75" s="2052"/>
      <c r="G75" s="2067"/>
      <c r="H75" s="2067"/>
      <c r="I75" s="2052"/>
      <c r="J75" s="2060"/>
      <c r="K75" s="2060"/>
      <c r="L75" s="2059"/>
      <c r="M75" s="2060"/>
      <c r="N75" s="2061"/>
      <c r="O75" s="2074"/>
      <c r="P75" s="2060"/>
      <c r="Q75" s="2074"/>
      <c r="R75" s="2060"/>
      <c r="S75" s="2052"/>
      <c r="T75" s="2074"/>
      <c r="U75" s="2060"/>
      <c r="V75" s="2060"/>
      <c r="W75" s="2077"/>
      <c r="X75" s="4"/>
      <c r="Y75" s="4"/>
      <c r="Z75" s="4"/>
    </row>
    <row r="76" spans="1:26" ht="15.75" customHeight="1" x14ac:dyDescent="0.25">
      <c r="A76" s="4"/>
      <c r="B76" s="2055" t="s">
        <v>1155</v>
      </c>
      <c r="C76" s="2052" t="s">
        <v>1873</v>
      </c>
      <c r="D76" s="2056">
        <v>4.8</v>
      </c>
      <c r="E76" s="2074">
        <f>D76*1000000*0.9071847</f>
        <v>4354486.5599999996</v>
      </c>
      <c r="F76" s="2057">
        <v>70000</v>
      </c>
      <c r="G76" s="2071">
        <f>F76*0.9071847</f>
        <v>63502.928999999996</v>
      </c>
      <c r="H76" s="2069">
        <v>1990</v>
      </c>
      <c r="I76" s="2058">
        <v>2028</v>
      </c>
      <c r="J76" s="2060">
        <v>2513</v>
      </c>
      <c r="K76" s="2060">
        <f t="shared" ref="K76:K77" si="97">915.9</f>
        <v>915.9</v>
      </c>
      <c r="L76" s="2059"/>
      <c r="M76" s="2060"/>
      <c r="N76" s="2061"/>
      <c r="O76" s="2074"/>
      <c r="P76" s="2060"/>
      <c r="Q76" s="2074"/>
      <c r="R76" s="2060">
        <f>K76</f>
        <v>915.9</v>
      </c>
      <c r="S76" s="2059">
        <v>0.1</v>
      </c>
      <c r="T76" s="2074">
        <f t="shared" ref="T76:T77" si="98">R76*S76</f>
        <v>91.59</v>
      </c>
      <c r="U76" s="2060">
        <f t="shared" ref="U76:U77" si="99">R76-T76</f>
        <v>824.31</v>
      </c>
      <c r="V76" s="2060">
        <f t="shared" ref="V76:V77" si="100">Q76+U76</f>
        <v>824.31</v>
      </c>
      <c r="W76" s="2077">
        <f t="shared" ref="W76:W77" si="101">(V76*$D$87)+J76+P76</f>
        <v>25593.68</v>
      </c>
      <c r="X76" s="4"/>
      <c r="Y76" s="4"/>
      <c r="Z76" s="4"/>
    </row>
    <row r="77" spans="1:26" ht="15.75" customHeight="1" x14ac:dyDescent="0.25">
      <c r="A77" s="4"/>
      <c r="B77" s="2051"/>
      <c r="C77" s="2097" t="s">
        <v>1156</v>
      </c>
      <c r="D77" s="2097"/>
      <c r="E77" s="2100"/>
      <c r="F77" s="2097"/>
      <c r="G77" s="2098"/>
      <c r="H77" s="2098"/>
      <c r="I77" s="2097"/>
      <c r="J77" s="2105">
        <f>2513</f>
        <v>2513</v>
      </c>
      <c r="K77" s="2105">
        <f t="shared" si="97"/>
        <v>915.9</v>
      </c>
      <c r="L77" s="2106">
        <v>0.89390000000000003</v>
      </c>
      <c r="M77" s="2105">
        <f>K77*L77</f>
        <v>818.72301000000004</v>
      </c>
      <c r="N77" s="2107">
        <v>0.98</v>
      </c>
      <c r="O77" s="2100">
        <f>M77*N77</f>
        <v>802.3485498</v>
      </c>
      <c r="P77" s="2105">
        <f>O77*2.75</f>
        <v>2206.4585119499998</v>
      </c>
      <c r="Q77" s="2100">
        <f>M77*(1-N77)</f>
        <v>16.374460200000016</v>
      </c>
      <c r="R77" s="2105">
        <f>K77*(1-L77)</f>
        <v>97.176989999999975</v>
      </c>
      <c r="S77" s="2106">
        <v>0.1</v>
      </c>
      <c r="T77" s="2100">
        <f t="shared" si="98"/>
        <v>9.7176989999999979</v>
      </c>
      <c r="U77" s="2105">
        <f t="shared" si="99"/>
        <v>87.459290999999979</v>
      </c>
      <c r="V77" s="2105">
        <f t="shared" si="100"/>
        <v>103.83375119999999</v>
      </c>
      <c r="W77" s="2108">
        <f t="shared" si="101"/>
        <v>7626.8035455499994</v>
      </c>
      <c r="X77" s="1395"/>
      <c r="Y77" s="4"/>
      <c r="Z77" s="4"/>
    </row>
    <row r="78" spans="1:26" ht="15.75" customHeight="1" x14ac:dyDescent="0.25">
      <c r="A78" s="4"/>
      <c r="B78" s="2051"/>
      <c r="C78" s="2052"/>
      <c r="D78" s="2052"/>
      <c r="E78" s="2074"/>
      <c r="F78" s="2052"/>
      <c r="G78" s="2067"/>
      <c r="H78" s="2067"/>
      <c r="I78" s="2052"/>
      <c r="J78" s="2060"/>
      <c r="K78" s="2060"/>
      <c r="L78" s="2052"/>
      <c r="M78" s="2060"/>
      <c r="N78" s="2061"/>
      <c r="O78" s="2074"/>
      <c r="P78" s="2060"/>
      <c r="Q78" s="2074"/>
      <c r="R78" s="2060"/>
      <c r="S78" s="2052"/>
      <c r="T78" s="2074"/>
      <c r="U78" s="2060"/>
      <c r="V78" s="2060"/>
      <c r="W78" s="2077"/>
      <c r="X78" s="4"/>
      <c r="Y78" s="4"/>
      <c r="Z78" s="4"/>
    </row>
    <row r="79" spans="1:26" ht="15.75" customHeight="1" x14ac:dyDescent="0.25">
      <c r="A79" s="4"/>
      <c r="B79" s="2063"/>
      <c r="C79" s="2064"/>
      <c r="D79" s="2064"/>
      <c r="E79" s="2068"/>
      <c r="F79" s="2064"/>
      <c r="G79" s="2068"/>
      <c r="H79" s="2068"/>
      <c r="I79" s="2064"/>
      <c r="J79" s="2075">
        <f t="shared" ref="J79:K79" si="102">SUM(J11:J78)</f>
        <v>371373.21108895435</v>
      </c>
      <c r="K79" s="2075">
        <f t="shared" si="102"/>
        <v>138951.01014377782</v>
      </c>
      <c r="L79" s="2064"/>
      <c r="M79" s="2065"/>
      <c r="N79" s="2066"/>
      <c r="O79" s="2082">
        <f t="shared" ref="O79:Q79" si="103">SUM(O11:O78)</f>
        <v>63459.540145816973</v>
      </c>
      <c r="P79" s="2075">
        <f t="shared" si="103"/>
        <v>174513.73540099672</v>
      </c>
      <c r="Q79" s="2082">
        <f t="shared" si="103"/>
        <v>1136.3436025790863</v>
      </c>
      <c r="R79" s="2065"/>
      <c r="S79" s="2064"/>
      <c r="T79" s="2082">
        <f>SUM(T11:T78)</f>
        <v>7435.5126395381767</v>
      </c>
      <c r="U79" s="2065"/>
      <c r="V79" s="2065"/>
      <c r="W79" s="2079"/>
      <c r="X79" s="4"/>
      <c r="Y79" s="4"/>
      <c r="Z79" s="4"/>
    </row>
    <row r="80" spans="1:26" ht="15.75" customHeight="1" x14ac:dyDescent="0.25">
      <c r="A80" s="4"/>
      <c r="B80" s="4"/>
      <c r="C80" s="4"/>
      <c r="D80" s="4"/>
      <c r="E80" s="4"/>
      <c r="F80" s="4"/>
      <c r="G80" s="1"/>
      <c r="H80" s="4"/>
      <c r="I80" s="4"/>
      <c r="J80" s="65"/>
      <c r="K80" s="4"/>
      <c r="L80" s="4"/>
      <c r="M80" s="809"/>
      <c r="N80" s="4"/>
      <c r="O80" s="868"/>
      <c r="P80" s="4"/>
      <c r="Q80" s="1"/>
      <c r="R80" s="4"/>
      <c r="S80" s="4"/>
      <c r="T80" s="4"/>
      <c r="U80" s="65"/>
      <c r="V80" s="4"/>
      <c r="W80" s="4"/>
      <c r="X80" s="4"/>
      <c r="Y80" s="4"/>
      <c r="Z80" s="4"/>
    </row>
    <row r="81" spans="1:26" ht="15.75" customHeight="1" x14ac:dyDescent="0.25">
      <c r="A81" s="4"/>
      <c r="B81" s="4"/>
      <c r="C81" s="4"/>
      <c r="D81" s="4"/>
      <c r="E81" s="4"/>
      <c r="F81" s="4"/>
      <c r="G81" s="4"/>
      <c r="H81" s="4"/>
      <c r="I81" s="4"/>
      <c r="J81" s="4"/>
      <c r="K81" s="4"/>
      <c r="L81" s="4"/>
      <c r="M81" s="809"/>
      <c r="N81" s="4"/>
      <c r="O81" s="868"/>
      <c r="P81" s="4"/>
      <c r="Q81" s="4"/>
      <c r="R81" s="4"/>
      <c r="S81" s="4"/>
      <c r="T81" s="4"/>
      <c r="U81" s="4"/>
      <c r="V81" s="4"/>
      <c r="W81" s="1396"/>
      <c r="X81" s="4"/>
      <c r="Y81" s="4"/>
      <c r="Z81" s="4"/>
    </row>
    <row r="82" spans="1:26" ht="15.75" customHeight="1" x14ac:dyDescent="0.25">
      <c r="A82" s="4"/>
      <c r="B82" s="4"/>
      <c r="C82" s="4"/>
      <c r="D82" s="4"/>
      <c r="E82" s="4"/>
      <c r="F82" s="4"/>
      <c r="G82" s="4"/>
      <c r="H82" s="4"/>
      <c r="I82" s="4"/>
      <c r="J82" s="4"/>
      <c r="K82" s="4"/>
      <c r="L82" s="4"/>
      <c r="M82" s="809"/>
      <c r="N82" s="4"/>
      <c r="O82" s="868"/>
      <c r="P82" s="4"/>
      <c r="Q82" s="4"/>
      <c r="R82" s="4"/>
      <c r="S82" s="4"/>
      <c r="T82" s="4"/>
      <c r="U82" s="4"/>
      <c r="V82" s="4"/>
      <c r="W82" s="4"/>
      <c r="X82" s="4"/>
      <c r="Y82" s="4"/>
      <c r="Z82" s="4"/>
    </row>
    <row r="83" spans="1:26" ht="15.75" customHeight="1" x14ac:dyDescent="0.25">
      <c r="A83" s="4"/>
      <c r="B83" s="4"/>
      <c r="C83" s="4"/>
      <c r="D83" s="4"/>
      <c r="E83" s="4"/>
      <c r="F83" s="4"/>
      <c r="G83" s="2080" t="s">
        <v>1890</v>
      </c>
      <c r="H83" s="1397"/>
      <c r="I83" s="1397"/>
      <c r="J83" s="1398"/>
      <c r="K83" s="1399">
        <f>K79</f>
        <v>138951.01014377782</v>
      </c>
      <c r="L83" s="1400"/>
      <c r="M83" s="1401" t="s">
        <v>1157</v>
      </c>
      <c r="N83" s="1402"/>
      <c r="O83" s="1403">
        <f>O11+O16+O18+O22+O23+O30+O32+O35+O44+O52+O62+O74+O77</f>
        <v>43138.924919702338</v>
      </c>
      <c r="P83" s="1400"/>
      <c r="Q83" s="2188" t="s">
        <v>1158</v>
      </c>
      <c r="R83" s="2189"/>
      <c r="S83" s="2190"/>
      <c r="T83" s="1404"/>
      <c r="U83" s="2132">
        <f>O56+O57+O60+O61</f>
        <v>20320.615226114634</v>
      </c>
      <c r="V83" s="4"/>
      <c r="W83" s="1337"/>
      <c r="X83" s="4"/>
      <c r="Y83" s="4"/>
      <c r="Z83" s="4"/>
    </row>
    <row r="84" spans="1:26" ht="15.75" customHeight="1" x14ac:dyDescent="0.3">
      <c r="A84" s="4"/>
      <c r="B84" s="4"/>
      <c r="C84" s="2146" t="s">
        <v>0</v>
      </c>
      <c r="D84" s="2147"/>
      <c r="E84" s="4"/>
      <c r="F84" s="4"/>
      <c r="G84" s="231" t="s">
        <v>1159</v>
      </c>
      <c r="H84" s="107"/>
      <c r="I84" s="107"/>
      <c r="J84" s="107"/>
      <c r="K84" s="107">
        <f>$D$87</f>
        <v>28</v>
      </c>
      <c r="L84" s="107"/>
      <c r="M84" s="107" t="s">
        <v>1160</v>
      </c>
      <c r="N84" s="107"/>
      <c r="O84" s="107">
        <f>$D$87</f>
        <v>28</v>
      </c>
      <c r="P84" s="107"/>
      <c r="Q84" s="107" t="s">
        <v>1161</v>
      </c>
      <c r="R84" s="107"/>
      <c r="S84" s="107"/>
      <c r="T84" s="107"/>
      <c r="U84" s="1085">
        <f>$D$87</f>
        <v>28</v>
      </c>
      <c r="V84" s="4"/>
      <c r="W84" s="4"/>
      <c r="X84" s="4"/>
      <c r="Y84" s="4"/>
      <c r="Z84" s="4"/>
    </row>
    <row r="85" spans="1:26" ht="15.75" customHeight="1" x14ac:dyDescent="0.25">
      <c r="A85" s="4"/>
      <c r="B85" s="4"/>
      <c r="C85" s="120"/>
      <c r="D85" s="120"/>
      <c r="E85" s="4"/>
      <c r="F85" s="4"/>
      <c r="G85" s="2191" t="s">
        <v>1891</v>
      </c>
      <c r="H85" s="2192"/>
      <c r="I85" s="2193"/>
      <c r="J85" s="1405"/>
      <c r="K85" s="1406">
        <f>(K83*K84)*0.907184</f>
        <v>3529515.7292156424</v>
      </c>
      <c r="L85" s="107"/>
      <c r="M85" s="2194" t="s">
        <v>1162</v>
      </c>
      <c r="N85" s="2193"/>
      <c r="O85" s="1407">
        <f>(O83*O84)*0.907184</f>
        <v>1095778.3890019469</v>
      </c>
      <c r="P85" s="107"/>
      <c r="Q85" s="1408" t="s">
        <v>1163</v>
      </c>
      <c r="R85" s="1408"/>
      <c r="S85" s="1408"/>
      <c r="T85" s="1408"/>
      <c r="U85" s="1409">
        <f>(U83*U84)*0.907184</f>
        <v>516167.03609205218</v>
      </c>
      <c r="V85" s="4"/>
      <c r="W85" s="4"/>
      <c r="X85" s="4"/>
      <c r="Y85" s="4"/>
      <c r="Z85" s="4"/>
    </row>
    <row r="86" spans="1:26" ht="15.75" customHeight="1" x14ac:dyDescent="0.25">
      <c r="A86" s="4"/>
      <c r="B86" s="4"/>
      <c r="C86" s="124" t="s">
        <v>4</v>
      </c>
      <c r="D86" s="125">
        <f>'Summ GHG Rpt Expanded'!G4</f>
        <v>1</v>
      </c>
      <c r="E86" s="4"/>
      <c r="F86" s="4"/>
      <c r="G86" s="2195" t="s">
        <v>1164</v>
      </c>
      <c r="H86" s="2192"/>
      <c r="I86" s="2193"/>
      <c r="J86" s="1410"/>
      <c r="K86" s="1411">
        <f>K85*7%</f>
        <v>247066.10104509498</v>
      </c>
      <c r="L86" s="107"/>
      <c r="M86" s="107"/>
      <c r="N86" s="107"/>
      <c r="O86" s="107"/>
      <c r="P86" s="107"/>
      <c r="Q86" s="107"/>
      <c r="R86" s="107"/>
      <c r="S86" s="107"/>
      <c r="T86" s="107"/>
      <c r="U86" s="1085"/>
      <c r="V86" s="4"/>
      <c r="W86" s="4"/>
      <c r="X86" s="4"/>
      <c r="Y86" s="4"/>
      <c r="Z86" s="4"/>
    </row>
    <row r="87" spans="1:26" ht="15.75" customHeight="1" x14ac:dyDescent="0.25">
      <c r="A87" s="4"/>
      <c r="B87" s="4"/>
      <c r="C87" s="124" t="s">
        <v>5</v>
      </c>
      <c r="D87" s="125">
        <f>'Summ GHG Rpt Expanded'!G5</f>
        <v>28</v>
      </c>
      <c r="E87" s="4"/>
      <c r="F87" s="4"/>
      <c r="G87" s="231"/>
      <c r="H87" s="107"/>
      <c r="I87" s="107"/>
      <c r="J87" s="107"/>
      <c r="K87" s="232"/>
      <c r="L87" s="107"/>
      <c r="M87" s="783"/>
      <c r="N87" s="107"/>
      <c r="O87" s="232"/>
      <c r="P87" s="107"/>
      <c r="Q87" s="105" t="s">
        <v>1165</v>
      </c>
      <c r="R87" s="105"/>
      <c r="S87" s="105"/>
      <c r="T87" s="105"/>
      <c r="U87" s="1412">
        <f>U85*(12/44)</f>
        <v>140772.82802510512</v>
      </c>
      <c r="V87" s="4"/>
      <c r="W87" s="4"/>
      <c r="X87" s="4"/>
      <c r="Y87" s="4"/>
      <c r="Z87" s="4"/>
    </row>
    <row r="88" spans="1:26" ht="15.75" customHeight="1" x14ac:dyDescent="0.25">
      <c r="A88" s="4"/>
      <c r="B88" s="4"/>
      <c r="C88" s="124" t="s">
        <v>6</v>
      </c>
      <c r="D88" s="125">
        <f>'Summ GHG Rpt Expanded'!G6</f>
        <v>265</v>
      </c>
      <c r="E88" s="4"/>
      <c r="F88" s="4"/>
      <c r="G88" s="231"/>
      <c r="H88" s="107"/>
      <c r="I88" s="107"/>
      <c r="J88" s="107"/>
      <c r="K88" s="107"/>
      <c r="L88" s="107"/>
      <c r="M88" s="107"/>
      <c r="N88" s="107"/>
      <c r="O88" s="107"/>
      <c r="P88" s="107"/>
      <c r="Q88" s="107"/>
      <c r="R88" s="107"/>
      <c r="S88" s="107"/>
      <c r="T88" s="107"/>
      <c r="U88" s="1085"/>
      <c r="V88" s="4"/>
      <c r="W88" s="4"/>
      <c r="X88" s="4"/>
      <c r="Y88" s="4"/>
      <c r="Z88" s="4"/>
    </row>
    <row r="89" spans="1:26" ht="15.75" customHeight="1" x14ac:dyDescent="0.25">
      <c r="A89" s="4"/>
      <c r="B89" s="4"/>
      <c r="C89" s="124" t="s">
        <v>7</v>
      </c>
      <c r="D89" s="129">
        <f>'Summ GHG Rpt Expanded'!G7</f>
        <v>23500</v>
      </c>
      <c r="E89" s="4"/>
      <c r="F89" s="4"/>
      <c r="G89" s="2196" t="s">
        <v>1166</v>
      </c>
      <c r="H89" s="2197"/>
      <c r="I89" s="2198"/>
      <c r="J89" s="1415"/>
      <c r="K89" s="2131">
        <f>(K85+K86)</f>
        <v>3776581.8302607373</v>
      </c>
      <c r="L89" s="107"/>
      <c r="M89" s="2186" t="s">
        <v>1167</v>
      </c>
      <c r="N89" s="2187"/>
      <c r="O89" s="1413">
        <f>O85+U85</f>
        <v>1611945.4250939991</v>
      </c>
      <c r="P89" s="107"/>
      <c r="Q89" s="1414" t="s">
        <v>1168</v>
      </c>
      <c r="R89" s="1414"/>
      <c r="S89" s="1414"/>
      <c r="T89" s="107"/>
      <c r="U89" s="2133">
        <f>T79</f>
        <v>7435.5126395381767</v>
      </c>
      <c r="V89" s="4"/>
      <c r="W89" s="4"/>
      <c r="X89" s="4"/>
      <c r="Y89" s="4"/>
      <c r="Z89" s="4"/>
    </row>
    <row r="90" spans="1:26" ht="15.75" customHeight="1" x14ac:dyDescent="0.3">
      <c r="A90" s="4"/>
      <c r="B90" s="4"/>
      <c r="C90" s="124" t="s">
        <v>8</v>
      </c>
      <c r="D90" s="129">
        <f>'Summ GHG Rpt Expanded'!G8</f>
        <v>11100</v>
      </c>
      <c r="E90" s="4"/>
      <c r="F90" s="4"/>
      <c r="G90" s="231"/>
      <c r="H90" s="107"/>
      <c r="I90" s="107"/>
      <c r="J90" s="107"/>
      <c r="K90" s="107"/>
      <c r="L90" s="107"/>
      <c r="M90" s="107"/>
      <c r="N90" s="107"/>
      <c r="O90" s="107"/>
      <c r="P90" s="107"/>
      <c r="Q90" s="107" t="s">
        <v>1169</v>
      </c>
      <c r="R90" s="107"/>
      <c r="S90" s="107"/>
      <c r="T90" s="107"/>
      <c r="U90" s="1085">
        <f>$D$87</f>
        <v>28</v>
      </c>
      <c r="V90" s="4"/>
      <c r="W90" s="4"/>
      <c r="X90" s="4"/>
      <c r="Y90" s="4"/>
      <c r="Z90" s="4"/>
    </row>
    <row r="91" spans="1:26" ht="15.75" customHeight="1" x14ac:dyDescent="0.25">
      <c r="A91" s="4"/>
      <c r="B91" s="4"/>
      <c r="C91" s="4"/>
      <c r="D91" s="4"/>
      <c r="E91" s="4"/>
      <c r="F91" s="4"/>
      <c r="G91" s="2196" t="s">
        <v>1170</v>
      </c>
      <c r="H91" s="2192"/>
      <c r="I91" s="2193"/>
      <c r="J91" s="1415"/>
      <c r="K91" s="2131">
        <f>K89*(12/44)</f>
        <v>1029976.8627983829</v>
      </c>
      <c r="L91" s="107"/>
      <c r="M91" s="2186" t="s">
        <v>1171</v>
      </c>
      <c r="N91" s="2187"/>
      <c r="O91" s="1413">
        <f>O89*(12/44)</f>
        <v>439621.47957109066</v>
      </c>
      <c r="P91" s="107"/>
      <c r="Q91" s="1416" t="s">
        <v>1172</v>
      </c>
      <c r="R91" s="1416"/>
      <c r="S91" s="1416"/>
      <c r="T91" s="105"/>
      <c r="U91" s="1412">
        <f>(U89*U90)*0.907184</f>
        <v>188870.58675483044</v>
      </c>
      <c r="V91" s="4"/>
      <c r="W91" s="4"/>
      <c r="X91" s="4"/>
      <c r="Y91" s="4"/>
      <c r="Z91" s="4"/>
    </row>
    <row r="92" spans="1:26" ht="15.75" customHeight="1" x14ac:dyDescent="0.25">
      <c r="A92" s="4"/>
      <c r="B92" s="4"/>
      <c r="C92" s="4"/>
      <c r="D92" s="4"/>
      <c r="E92" s="4"/>
      <c r="F92" s="4"/>
      <c r="G92" s="231"/>
      <c r="H92" s="107"/>
      <c r="I92" s="107"/>
      <c r="J92" s="107"/>
      <c r="K92" s="107"/>
      <c r="L92" s="107"/>
      <c r="M92" s="107"/>
      <c r="N92" s="107"/>
      <c r="O92" s="107"/>
      <c r="P92" s="107"/>
      <c r="Q92" s="107"/>
      <c r="R92" s="107"/>
      <c r="S92" s="107"/>
      <c r="T92" s="107"/>
      <c r="U92" s="1085"/>
      <c r="V92" s="4"/>
      <c r="W92" s="4"/>
      <c r="X92" s="4"/>
      <c r="Y92" s="4"/>
      <c r="Z92" s="4"/>
    </row>
    <row r="93" spans="1:26" ht="15.75" customHeight="1" x14ac:dyDescent="0.25">
      <c r="A93" s="4"/>
      <c r="B93" s="4"/>
      <c r="C93" s="4"/>
      <c r="D93" s="4"/>
      <c r="E93" s="4"/>
      <c r="F93" s="4"/>
      <c r="G93" s="231"/>
      <c r="H93" s="107"/>
      <c r="I93" s="107"/>
      <c r="J93" s="107"/>
      <c r="K93" s="107"/>
      <c r="L93" s="107"/>
      <c r="M93" s="107"/>
      <c r="N93" s="107"/>
      <c r="O93" s="107"/>
      <c r="P93" s="107"/>
      <c r="Q93" s="105" t="s">
        <v>1173</v>
      </c>
      <c r="R93" s="105"/>
      <c r="S93" s="105"/>
      <c r="T93" s="105"/>
      <c r="U93" s="1412">
        <f>U91*(12/44)</f>
        <v>51510.160024044664</v>
      </c>
      <c r="V93" s="4"/>
      <c r="W93" s="4"/>
      <c r="X93" s="4"/>
      <c r="Y93" s="4"/>
      <c r="Z93" s="4"/>
    </row>
    <row r="94" spans="1:26" ht="15.75" customHeight="1" x14ac:dyDescent="0.25">
      <c r="A94" s="4"/>
      <c r="B94" s="4"/>
      <c r="C94" s="4"/>
      <c r="D94" s="4"/>
      <c r="E94" s="4"/>
      <c r="F94" s="4"/>
      <c r="G94" s="231"/>
      <c r="H94" s="107"/>
      <c r="I94" s="107"/>
      <c r="J94" s="107"/>
      <c r="K94" s="107"/>
      <c r="L94" s="107"/>
      <c r="M94" s="107"/>
      <c r="N94" s="107"/>
      <c r="O94" s="107"/>
      <c r="P94" s="107"/>
      <c r="Q94" s="107"/>
      <c r="R94" s="107"/>
      <c r="S94" s="107"/>
      <c r="T94" s="107"/>
      <c r="U94" s="1085"/>
      <c r="V94" s="4"/>
      <c r="W94" s="4"/>
      <c r="X94" s="4"/>
      <c r="Y94" s="4"/>
      <c r="Z94" s="4"/>
    </row>
    <row r="95" spans="1:26" ht="15.75" customHeight="1" x14ac:dyDescent="0.25">
      <c r="A95" s="4"/>
      <c r="B95" s="4"/>
      <c r="C95" s="4"/>
      <c r="D95" s="4"/>
      <c r="E95" s="4"/>
      <c r="F95" s="4"/>
      <c r="G95" s="231"/>
      <c r="H95" s="107"/>
      <c r="I95" s="107"/>
      <c r="J95" s="107"/>
      <c r="K95" s="107"/>
      <c r="L95" s="107"/>
      <c r="M95" s="107"/>
      <c r="N95" s="107"/>
      <c r="O95" s="107"/>
      <c r="P95" s="107"/>
      <c r="Q95" s="1417" t="s">
        <v>1174</v>
      </c>
      <c r="R95" s="1417"/>
      <c r="S95" s="1417"/>
      <c r="T95" s="1417"/>
      <c r="U95" s="1418">
        <f>U91*7%</f>
        <v>13220.941072838132</v>
      </c>
      <c r="V95" s="4"/>
      <c r="W95" s="4"/>
      <c r="X95" s="4"/>
      <c r="Y95" s="4"/>
      <c r="Z95" s="4"/>
    </row>
    <row r="96" spans="1:26" ht="15.75" customHeight="1" x14ac:dyDescent="0.25">
      <c r="A96" s="4"/>
      <c r="B96" s="4"/>
      <c r="C96" s="4"/>
      <c r="D96" s="4"/>
      <c r="E96" s="4"/>
      <c r="F96" s="4"/>
      <c r="G96" s="231"/>
      <c r="H96" s="107"/>
      <c r="I96" s="107"/>
      <c r="J96" s="107"/>
      <c r="K96" s="107"/>
      <c r="L96" s="107"/>
      <c r="M96" s="107"/>
      <c r="N96" s="107"/>
      <c r="O96" s="107"/>
      <c r="P96" s="107"/>
      <c r="Q96" s="107"/>
      <c r="R96" s="107"/>
      <c r="S96" s="107"/>
      <c r="T96" s="107"/>
      <c r="U96" s="1085"/>
      <c r="V96" s="4"/>
      <c r="W96" s="4"/>
      <c r="X96" s="4"/>
      <c r="Y96" s="4"/>
      <c r="Z96" s="4"/>
    </row>
    <row r="97" spans="1:26" ht="15.75" customHeight="1" x14ac:dyDescent="0.25">
      <c r="A97" s="4"/>
      <c r="B97" s="4"/>
      <c r="C97" s="4"/>
      <c r="D97" s="4"/>
      <c r="E97" s="4"/>
      <c r="F97" s="4"/>
      <c r="G97" s="231"/>
      <c r="H97" s="107"/>
      <c r="I97" s="107"/>
      <c r="J97" s="107"/>
      <c r="K97" s="107"/>
      <c r="L97" s="107"/>
      <c r="M97" s="107"/>
      <c r="N97" s="107"/>
      <c r="O97" s="107"/>
      <c r="P97" s="107"/>
      <c r="Q97" s="1417" t="s">
        <v>1175</v>
      </c>
      <c r="R97" s="1417"/>
      <c r="S97" s="1417"/>
      <c r="T97" s="1417"/>
      <c r="U97" s="1418">
        <f>U95*(12/44)</f>
        <v>3605.7112016831265</v>
      </c>
      <c r="V97" s="4"/>
      <c r="W97" s="4"/>
      <c r="X97" s="4"/>
      <c r="Y97" s="4"/>
      <c r="Z97" s="4"/>
    </row>
    <row r="98" spans="1:26" ht="15.75" customHeight="1" x14ac:dyDescent="0.25">
      <c r="A98" s="4"/>
      <c r="B98" s="4"/>
      <c r="C98" s="4"/>
      <c r="D98" s="4"/>
      <c r="E98" s="4"/>
      <c r="F98" s="4"/>
      <c r="G98" s="231"/>
      <c r="H98" s="107"/>
      <c r="I98" s="107"/>
      <c r="J98" s="107"/>
      <c r="K98" s="107"/>
      <c r="L98" s="107"/>
      <c r="M98" s="107"/>
      <c r="N98" s="107"/>
      <c r="O98" s="107"/>
      <c r="P98" s="107"/>
      <c r="Q98" s="107"/>
      <c r="R98" s="107"/>
      <c r="S98" s="107"/>
      <c r="T98" s="107"/>
      <c r="U98" s="1085"/>
      <c r="V98" s="4"/>
      <c r="W98" s="4"/>
      <c r="X98" s="4"/>
      <c r="Y98" s="4"/>
      <c r="Z98" s="4"/>
    </row>
    <row r="99" spans="1:26" ht="15.75" customHeight="1" x14ac:dyDescent="0.25">
      <c r="A99" s="4"/>
      <c r="B99" s="4"/>
      <c r="C99" s="4"/>
      <c r="D99" s="4"/>
      <c r="E99" s="4"/>
      <c r="F99" s="4"/>
      <c r="G99" s="231"/>
      <c r="H99" s="107"/>
      <c r="I99" s="107"/>
      <c r="J99" s="107"/>
      <c r="K99" s="107"/>
      <c r="L99" s="107"/>
      <c r="M99" s="107"/>
      <c r="N99" s="107"/>
      <c r="O99" s="107"/>
      <c r="P99" s="107"/>
      <c r="Q99" s="1419" t="s">
        <v>1176</v>
      </c>
      <c r="R99" s="1391"/>
      <c r="S99" s="1391"/>
      <c r="T99" s="1391"/>
      <c r="U99" s="1420">
        <f>K89-O89-U91-U95</f>
        <v>1962544.8773390695</v>
      </c>
      <c r="V99" s="4"/>
      <c r="W99" s="4"/>
      <c r="X99" s="4"/>
      <c r="Y99" s="4"/>
      <c r="Z99" s="4"/>
    </row>
    <row r="100" spans="1:26" ht="15.75" customHeight="1" x14ac:dyDescent="0.25">
      <c r="A100" s="4"/>
      <c r="B100" s="4"/>
      <c r="C100" s="4"/>
      <c r="D100" s="4"/>
      <c r="E100" s="4"/>
      <c r="F100" s="4"/>
      <c r="G100" s="231"/>
      <c r="H100" s="107"/>
      <c r="I100" s="107"/>
      <c r="J100" s="107"/>
      <c r="K100" s="107"/>
      <c r="L100" s="107"/>
      <c r="M100" s="107"/>
      <c r="N100" s="107"/>
      <c r="O100" s="107"/>
      <c r="P100" s="107"/>
      <c r="Q100" s="107"/>
      <c r="R100" s="107"/>
      <c r="S100" s="107"/>
      <c r="T100" s="107"/>
      <c r="U100" s="1085"/>
      <c r="V100" s="4"/>
      <c r="W100" s="4"/>
      <c r="X100" s="4"/>
      <c r="Y100" s="4"/>
      <c r="Z100" s="4"/>
    </row>
    <row r="101" spans="1:26" ht="15.75" customHeight="1" x14ac:dyDescent="0.25">
      <c r="A101" s="4"/>
      <c r="B101" s="4"/>
      <c r="C101" s="4"/>
      <c r="D101" s="4"/>
      <c r="E101" s="4"/>
      <c r="F101" s="4"/>
      <c r="G101" s="231"/>
      <c r="H101" s="107"/>
      <c r="I101" s="107"/>
      <c r="J101" s="107"/>
      <c r="K101" s="107"/>
      <c r="L101" s="107"/>
      <c r="M101" s="107"/>
      <c r="N101" s="107"/>
      <c r="O101" s="107"/>
      <c r="P101" s="107"/>
      <c r="Q101" s="1421" t="s">
        <v>1177</v>
      </c>
      <c r="R101" s="1422"/>
      <c r="S101" s="1422"/>
      <c r="T101" s="1422"/>
      <c r="U101" s="1423">
        <f>P79*0.907184</f>
        <v>158316.06853601782</v>
      </c>
      <c r="V101" s="4"/>
      <c r="W101" s="4"/>
      <c r="X101" s="4"/>
      <c r="Y101" s="4"/>
      <c r="Z101" s="4"/>
    </row>
    <row r="102" spans="1:26" ht="15.75" customHeight="1" x14ac:dyDescent="0.25">
      <c r="A102" s="4"/>
      <c r="B102" s="4"/>
      <c r="C102" s="4"/>
      <c r="D102" s="4"/>
      <c r="E102" s="4"/>
      <c r="F102" s="4"/>
      <c r="G102" s="231"/>
      <c r="H102" s="107"/>
      <c r="I102" s="107"/>
      <c r="J102" s="107"/>
      <c r="K102" s="107"/>
      <c r="L102" s="107"/>
      <c r="M102" s="107"/>
      <c r="N102" s="107"/>
      <c r="O102" s="107"/>
      <c r="P102" s="107"/>
      <c r="Q102" s="1421"/>
      <c r="R102" s="1422"/>
      <c r="S102" s="1422"/>
      <c r="T102" s="1422"/>
      <c r="U102" s="1423"/>
      <c r="V102" s="4"/>
      <c r="W102" s="4"/>
      <c r="X102" s="4"/>
      <c r="Y102" s="4"/>
      <c r="Z102" s="4"/>
    </row>
    <row r="103" spans="1:26" ht="15.75" customHeight="1" x14ac:dyDescent="0.25">
      <c r="A103" s="4"/>
      <c r="B103" s="4"/>
      <c r="C103" s="4"/>
      <c r="D103" s="4"/>
      <c r="E103" s="4"/>
      <c r="F103" s="4"/>
      <c r="G103" s="231"/>
      <c r="H103" s="107"/>
      <c r="I103" s="107"/>
      <c r="J103" s="107"/>
      <c r="K103" s="107"/>
      <c r="L103" s="107"/>
      <c r="M103" s="107"/>
      <c r="N103" s="107"/>
      <c r="O103" s="107"/>
      <c r="P103" s="107"/>
      <c r="Q103" s="105" t="s">
        <v>1178</v>
      </c>
      <c r="R103" s="107"/>
      <c r="S103" s="107"/>
      <c r="T103" s="107"/>
      <c r="U103" s="1125">
        <f>U101/1000000</f>
        <v>0.15831606853601782</v>
      </c>
      <c r="V103" s="4"/>
      <c r="W103" s="4"/>
      <c r="X103" s="4"/>
      <c r="Y103" s="4"/>
      <c r="Z103" s="4"/>
    </row>
    <row r="104" spans="1:26" ht="15.75" customHeight="1" x14ac:dyDescent="0.25">
      <c r="A104" s="4"/>
      <c r="B104" s="4"/>
      <c r="C104" s="4"/>
      <c r="D104" s="4"/>
      <c r="E104" s="4"/>
      <c r="F104" s="4"/>
      <c r="G104" s="231"/>
      <c r="H104" s="107"/>
      <c r="I104" s="107"/>
      <c r="J104" s="107"/>
      <c r="K104" s="107"/>
      <c r="L104" s="107"/>
      <c r="M104" s="107"/>
      <c r="N104" s="107"/>
      <c r="O104" s="107"/>
      <c r="P104" s="107"/>
      <c r="Q104" s="1421"/>
      <c r="R104" s="1422"/>
      <c r="S104" s="1422"/>
      <c r="T104" s="1422"/>
      <c r="U104" s="1423"/>
      <c r="V104" s="4"/>
      <c r="W104" s="4"/>
      <c r="X104" s="4"/>
      <c r="Y104" s="4"/>
      <c r="Z104" s="4"/>
    </row>
    <row r="105" spans="1:26" ht="18" customHeight="1" x14ac:dyDescent="0.35">
      <c r="A105" s="4"/>
      <c r="B105" s="4"/>
      <c r="C105" s="4"/>
      <c r="D105" s="4"/>
      <c r="E105" s="4"/>
      <c r="F105" s="4"/>
      <c r="G105" s="231"/>
      <c r="H105" s="107"/>
      <c r="I105" s="107"/>
      <c r="J105" s="107"/>
      <c r="K105" s="107"/>
      <c r="L105" s="107"/>
      <c r="M105" s="107"/>
      <c r="N105" s="107"/>
      <c r="O105" s="107"/>
      <c r="P105" s="107"/>
      <c r="Q105" s="1421" t="s">
        <v>1179</v>
      </c>
      <c r="R105" s="1422"/>
      <c r="S105" s="1422"/>
      <c r="T105" s="1422"/>
      <c r="U105" s="1423">
        <f>J79*0.907184</f>
        <v>336903.83512852195</v>
      </c>
      <c r="V105" s="4"/>
      <c r="W105" s="4"/>
      <c r="X105" s="4"/>
      <c r="Y105" s="4"/>
      <c r="Z105" s="4"/>
    </row>
    <row r="106" spans="1:26" ht="15.75" customHeight="1" x14ac:dyDescent="0.25">
      <c r="A106" s="4"/>
      <c r="B106" s="4"/>
      <c r="C106" s="4"/>
      <c r="D106" s="4"/>
      <c r="E106" s="4"/>
      <c r="F106" s="4"/>
      <c r="G106" s="231"/>
      <c r="H106" s="107"/>
      <c r="I106" s="107"/>
      <c r="J106" s="107"/>
      <c r="K106" s="107"/>
      <c r="L106" s="107"/>
      <c r="M106" s="107"/>
      <c r="N106" s="107"/>
      <c r="O106" s="107"/>
      <c r="P106" s="107"/>
      <c r="Q106" s="1421"/>
      <c r="R106" s="1422"/>
      <c r="S106" s="1422"/>
      <c r="T106" s="1422"/>
      <c r="U106" s="1423"/>
      <c r="V106" s="4"/>
      <c r="W106" s="4"/>
      <c r="X106" s="4"/>
      <c r="Y106" s="4"/>
      <c r="Z106" s="4"/>
    </row>
    <row r="107" spans="1:26" ht="18" customHeight="1" x14ac:dyDescent="0.35">
      <c r="A107" s="4"/>
      <c r="B107" s="4"/>
      <c r="C107" s="4"/>
      <c r="D107" s="4"/>
      <c r="E107" s="4"/>
      <c r="F107" s="4"/>
      <c r="G107" s="231"/>
      <c r="H107" s="107"/>
      <c r="I107" s="107"/>
      <c r="J107" s="107"/>
      <c r="K107" s="107"/>
      <c r="L107" s="107"/>
      <c r="M107" s="107"/>
      <c r="N107" s="107"/>
      <c r="O107" s="107"/>
      <c r="P107" s="107"/>
      <c r="Q107" s="105" t="s">
        <v>1180</v>
      </c>
      <c r="R107" s="107"/>
      <c r="S107" s="107"/>
      <c r="T107" s="107"/>
      <c r="U107" s="1125">
        <f>U105/1000000</f>
        <v>0.33690383512852196</v>
      </c>
      <c r="V107" s="4"/>
      <c r="W107" s="4"/>
      <c r="X107" s="4"/>
      <c r="Y107" s="4"/>
      <c r="Z107" s="4"/>
    </row>
    <row r="108" spans="1:26" ht="15.75" customHeight="1" x14ac:dyDescent="0.25">
      <c r="A108" s="4"/>
      <c r="B108" s="4"/>
      <c r="C108" s="4"/>
      <c r="D108" s="4"/>
      <c r="E108" s="4"/>
      <c r="F108" s="4"/>
      <c r="G108" s="231"/>
      <c r="H108" s="107"/>
      <c r="I108" s="107"/>
      <c r="J108" s="107"/>
      <c r="K108" s="107"/>
      <c r="L108" s="107"/>
      <c r="M108" s="107"/>
      <c r="N108" s="107"/>
      <c r="O108" s="107"/>
      <c r="P108" s="107"/>
      <c r="Q108" s="1421"/>
      <c r="R108" s="1422"/>
      <c r="S108" s="1422"/>
      <c r="T108" s="1422"/>
      <c r="U108" s="1423"/>
      <c r="V108" s="4"/>
      <c r="W108" s="4"/>
      <c r="X108" s="4"/>
      <c r="Y108" s="4"/>
      <c r="Z108" s="4"/>
    </row>
    <row r="109" spans="1:26" ht="15.75" customHeight="1" x14ac:dyDescent="0.25">
      <c r="A109" s="4"/>
      <c r="B109" s="4"/>
      <c r="C109" s="4"/>
      <c r="D109" s="4"/>
      <c r="E109" s="4"/>
      <c r="F109" s="4"/>
      <c r="G109" s="231"/>
      <c r="H109" s="107"/>
      <c r="I109" s="107"/>
      <c r="J109" s="107"/>
      <c r="K109" s="107"/>
      <c r="L109" s="107"/>
      <c r="M109" s="107"/>
      <c r="N109" s="107"/>
      <c r="O109" s="107"/>
      <c r="P109" s="107"/>
      <c r="Q109" s="107"/>
      <c r="R109" s="107"/>
      <c r="S109" s="107"/>
      <c r="T109" s="107"/>
      <c r="U109" s="1085"/>
      <c r="V109" s="4"/>
      <c r="W109" s="4"/>
      <c r="X109" s="4"/>
      <c r="Y109" s="4"/>
      <c r="Z109" s="4"/>
    </row>
    <row r="110" spans="1:26" ht="15.75" customHeight="1" x14ac:dyDescent="0.25">
      <c r="A110" s="4"/>
      <c r="B110" s="4"/>
      <c r="C110" s="4"/>
      <c r="D110" s="4"/>
      <c r="E110" s="4"/>
      <c r="F110" s="4"/>
      <c r="G110" s="231"/>
      <c r="H110" s="107"/>
      <c r="I110" s="107"/>
      <c r="J110" s="107"/>
      <c r="K110" s="107"/>
      <c r="L110" s="107"/>
      <c r="M110" s="107"/>
      <c r="N110" s="107"/>
      <c r="O110" s="107"/>
      <c r="P110" s="107"/>
      <c r="Q110" s="105" t="s">
        <v>1181</v>
      </c>
      <c r="R110" s="107"/>
      <c r="S110" s="107"/>
      <c r="T110" s="107"/>
      <c r="U110" s="1125">
        <f>U99/1000000</f>
        <v>1.9625448773390695</v>
      </c>
      <c r="V110" s="4"/>
      <c r="W110" s="4"/>
      <c r="X110" s="4"/>
      <c r="Y110" s="4"/>
      <c r="Z110" s="4"/>
    </row>
    <row r="111" spans="1:26" ht="15.75" customHeight="1" x14ac:dyDescent="0.25">
      <c r="A111" s="4"/>
      <c r="B111" s="4"/>
      <c r="C111" s="4"/>
      <c r="D111" s="4"/>
      <c r="E111" s="4"/>
      <c r="F111" s="4"/>
      <c r="G111" s="1119"/>
      <c r="H111" s="1120"/>
      <c r="I111" s="1120"/>
      <c r="J111" s="1120"/>
      <c r="K111" s="1120"/>
      <c r="L111" s="1120"/>
      <c r="M111" s="1120"/>
      <c r="N111" s="1120"/>
      <c r="O111" s="1120"/>
      <c r="P111" s="1120"/>
      <c r="Q111" s="1120"/>
      <c r="R111" s="1120"/>
      <c r="S111" s="1120"/>
      <c r="T111" s="1120"/>
      <c r="U111" s="1126"/>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5">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x14ac:dyDescent="0.25">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sheetProtection algorithmName="SHA-512" hashValue="PmDizMqNjtDyCVzgVyFvn/3y1IQ3BsAsdSlG4rSYdC/jfhiA7Zou0ERyrs6beQPRXm5MsrkSBdgFT4K8XLLImQ==" saltValue="pxzACmFUn86aF6egoSin2Q==" spinCount="100000" sheet="1" objects="1" scenarios="1"/>
  <mergeCells count="9">
    <mergeCell ref="M89:N89"/>
    <mergeCell ref="M91:N91"/>
    <mergeCell ref="Q83:S83"/>
    <mergeCell ref="C84:D84"/>
    <mergeCell ref="G85:I85"/>
    <mergeCell ref="M85:N85"/>
    <mergeCell ref="G86:I86"/>
    <mergeCell ref="G89:I89"/>
    <mergeCell ref="G91:I91"/>
  </mergeCells>
  <pageMargins left="0.7" right="0.7" top="0.75" bottom="0.75" header="0" footer="0"/>
  <pageSetup orientation="landscape"/>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D1000"/>
  <sheetViews>
    <sheetView workbookViewId="0"/>
  </sheetViews>
  <sheetFormatPr defaultColWidth="16.83203125" defaultRowHeight="15" customHeight="1" x14ac:dyDescent="0.2"/>
  <cols>
    <col min="1" max="1" width="6.33203125" customWidth="1"/>
    <col min="2" max="2" width="35.6640625" customWidth="1"/>
    <col min="3" max="3" width="21.6640625" customWidth="1"/>
    <col min="4" max="5" width="18.1640625" customWidth="1"/>
    <col min="6" max="6" width="17.1640625" customWidth="1"/>
    <col min="7" max="7" width="11.5" customWidth="1"/>
    <col min="8" max="8" width="3" customWidth="1"/>
    <col min="9" max="9" width="33.6640625" customWidth="1"/>
    <col min="10" max="10" width="25.5" customWidth="1"/>
    <col min="11" max="12" width="20.5" customWidth="1"/>
    <col min="13" max="13" width="16.33203125" customWidth="1"/>
    <col min="14" max="14" width="11.5" customWidth="1"/>
    <col min="15" max="15" width="2" customWidth="1"/>
    <col min="16" max="16" width="32.33203125" customWidth="1"/>
    <col min="17" max="18" width="15.5" customWidth="1"/>
    <col min="19" max="20" width="14.83203125" customWidth="1"/>
    <col min="21" max="21" width="9.5" customWidth="1"/>
    <col min="22" max="22" width="9.33203125" customWidth="1"/>
    <col min="23" max="23" width="4.1640625" customWidth="1"/>
    <col min="24" max="24" width="31.6640625" customWidth="1"/>
    <col min="25" max="25" width="21.33203125" customWidth="1"/>
    <col min="26" max="26" width="9.33203125" customWidth="1"/>
    <col min="27" max="27" width="4" customWidth="1"/>
    <col min="28" max="28" width="38.1640625" customWidth="1"/>
    <col min="29" max="29" width="19.83203125" customWidth="1"/>
    <col min="30" max="30" width="12.5" customWidth="1"/>
  </cols>
  <sheetData>
    <row r="1" spans="1:30" x14ac:dyDescent="0.25">
      <c r="A1" s="4" t="s">
        <v>1182</v>
      </c>
      <c r="B1" s="260"/>
      <c r="C1" s="3" t="s">
        <v>268</v>
      </c>
      <c r="D1" s="4"/>
      <c r="E1" s="4"/>
      <c r="F1" s="4"/>
      <c r="G1" s="4"/>
      <c r="H1" s="4"/>
      <c r="I1" s="4"/>
      <c r="J1" s="4"/>
      <c r="K1" s="4"/>
      <c r="L1" s="4"/>
      <c r="M1" s="4"/>
      <c r="N1" s="4"/>
      <c r="O1" s="4"/>
      <c r="P1" s="4"/>
      <c r="Q1" s="4"/>
      <c r="R1" s="4"/>
      <c r="S1" s="4"/>
      <c r="T1" s="4"/>
      <c r="U1" s="4"/>
      <c r="V1" s="4"/>
      <c r="W1" s="4"/>
      <c r="X1" s="4"/>
      <c r="Y1" s="4"/>
      <c r="Z1" s="4"/>
      <c r="AA1" s="4"/>
      <c r="AB1" s="4"/>
      <c r="AC1" s="4"/>
      <c r="AD1" s="4"/>
    </row>
    <row r="2" spans="1:30" ht="60.75" customHeight="1"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row>
    <row r="3" spans="1:30"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row>
    <row r="4" spans="1:30"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row>
    <row r="5" spans="1:30" x14ac:dyDescent="0.25">
      <c r="A5" s="4"/>
      <c r="B5" s="99"/>
      <c r="C5" s="775">
        <v>2011</v>
      </c>
      <c r="D5" s="100"/>
      <c r="E5" s="100"/>
      <c r="F5" s="100"/>
      <c r="G5" s="1424"/>
      <c r="H5" s="4"/>
      <c r="I5" s="99"/>
      <c r="J5" s="100">
        <v>2011</v>
      </c>
      <c r="K5" s="100"/>
      <c r="L5" s="100"/>
      <c r="M5" s="100"/>
      <c r="N5" s="1424"/>
      <c r="O5" s="4"/>
      <c r="P5" s="99"/>
      <c r="Q5" s="100">
        <v>2011</v>
      </c>
      <c r="R5" s="100"/>
      <c r="S5" s="100"/>
      <c r="T5" s="100"/>
      <c r="U5" s="100"/>
      <c r="V5" s="1424"/>
      <c r="W5" s="4"/>
      <c r="X5" s="99"/>
      <c r="Y5" s="100">
        <v>2011</v>
      </c>
      <c r="Z5" s="1424"/>
      <c r="AA5" s="4"/>
      <c r="AB5" s="1175"/>
      <c r="AC5" s="1400">
        <v>2011</v>
      </c>
      <c r="AD5" s="1425"/>
    </row>
    <row r="6" spans="1:30" x14ac:dyDescent="0.25">
      <c r="A6" s="4"/>
      <c r="B6" s="104"/>
      <c r="C6" s="107"/>
      <c r="D6" s="107"/>
      <c r="E6" s="107"/>
      <c r="F6" s="107"/>
      <c r="G6" s="108"/>
      <c r="H6" s="4"/>
      <c r="I6" s="104"/>
      <c r="J6" s="107"/>
      <c r="K6" s="107"/>
      <c r="L6" s="107"/>
      <c r="M6" s="107"/>
      <c r="N6" s="108"/>
      <c r="O6" s="4"/>
      <c r="P6" s="104"/>
      <c r="Q6" s="107"/>
      <c r="R6" s="107"/>
      <c r="S6" s="107"/>
      <c r="T6" s="107"/>
      <c r="U6" s="107"/>
      <c r="V6" s="108"/>
      <c r="W6" s="4"/>
      <c r="X6" s="1426" t="s">
        <v>1132</v>
      </c>
      <c r="Y6" s="107"/>
      <c r="Z6" s="108"/>
      <c r="AA6" s="4"/>
      <c r="AB6" s="1427" t="s">
        <v>1183</v>
      </c>
      <c r="AC6" s="107"/>
      <c r="AD6" s="1085"/>
    </row>
    <row r="7" spans="1:30" x14ac:dyDescent="0.25">
      <c r="A7" s="4"/>
      <c r="B7" s="1362" t="s">
        <v>1184</v>
      </c>
      <c r="C7" s="105" t="s">
        <v>298</v>
      </c>
      <c r="D7" s="105" t="s">
        <v>302</v>
      </c>
      <c r="E7" s="105" t="s">
        <v>319</v>
      </c>
      <c r="F7" s="105" t="s">
        <v>222</v>
      </c>
      <c r="G7" s="108"/>
      <c r="H7" s="4"/>
      <c r="I7" s="1362" t="s">
        <v>1138</v>
      </c>
      <c r="J7" s="105" t="s">
        <v>298</v>
      </c>
      <c r="K7" s="105" t="s">
        <v>302</v>
      </c>
      <c r="L7" s="105" t="s">
        <v>319</v>
      </c>
      <c r="M7" s="105" t="s">
        <v>222</v>
      </c>
      <c r="N7" s="108"/>
      <c r="O7" s="4"/>
      <c r="P7" s="1362" t="s">
        <v>1185</v>
      </c>
      <c r="Q7" s="107" t="s">
        <v>1186</v>
      </c>
      <c r="R7" s="107" t="s">
        <v>1187</v>
      </c>
      <c r="S7" s="107" t="s">
        <v>1188</v>
      </c>
      <c r="T7" s="107" t="s">
        <v>1189</v>
      </c>
      <c r="U7" s="105" t="s">
        <v>222</v>
      </c>
      <c r="V7" s="108"/>
      <c r="W7" s="4"/>
      <c r="X7" s="104"/>
      <c r="Y7" s="107"/>
      <c r="Z7" s="108"/>
      <c r="AA7" s="4"/>
      <c r="AB7" s="231"/>
      <c r="AC7" s="107"/>
      <c r="AD7" s="1085"/>
    </row>
    <row r="8" spans="1:30" x14ac:dyDescent="0.25">
      <c r="A8" s="4"/>
      <c r="B8" s="104"/>
      <c r="C8" s="107"/>
      <c r="D8" s="107"/>
      <c r="E8" s="107"/>
      <c r="F8" s="107"/>
      <c r="G8" s="108"/>
      <c r="H8" s="4"/>
      <c r="I8" s="104"/>
      <c r="J8" s="107"/>
      <c r="K8" s="107"/>
      <c r="L8" s="107"/>
      <c r="M8" s="107"/>
      <c r="N8" s="108"/>
      <c r="O8" s="4"/>
      <c r="P8" s="104"/>
      <c r="Q8" s="107"/>
      <c r="R8" s="107"/>
      <c r="S8" s="107"/>
      <c r="T8" s="107"/>
      <c r="U8" s="107"/>
      <c r="V8" s="108"/>
      <c r="W8" s="4"/>
      <c r="X8" s="104"/>
      <c r="Y8" s="107"/>
      <c r="Z8" s="108"/>
      <c r="AA8" s="4"/>
      <c r="AB8" s="231"/>
      <c r="AC8" s="107"/>
      <c r="AD8" s="1085"/>
    </row>
    <row r="9" spans="1:30" x14ac:dyDescent="0.25">
      <c r="A9" s="4"/>
      <c r="B9" s="104" t="s">
        <v>1190</v>
      </c>
      <c r="C9" s="232">
        <v>237676</v>
      </c>
      <c r="D9" s="232">
        <v>234367</v>
      </c>
      <c r="E9" s="232">
        <v>231974</v>
      </c>
      <c r="F9" s="1413">
        <f>SUM(C9:E9)</f>
        <v>704017</v>
      </c>
      <c r="G9" s="108"/>
      <c r="H9" s="4"/>
      <c r="I9" s="104" t="s">
        <v>1190</v>
      </c>
      <c r="J9" s="232">
        <v>183061</v>
      </c>
      <c r="K9" s="232">
        <v>185329</v>
      </c>
      <c r="L9" s="232">
        <v>188523</v>
      </c>
      <c r="M9" s="1413">
        <f>SUM(J9:L9)</f>
        <v>556913</v>
      </c>
      <c r="N9" s="108"/>
      <c r="O9" s="4"/>
      <c r="P9" s="104" t="s">
        <v>1190</v>
      </c>
      <c r="Q9" s="253">
        <f>1945493*0.0005</f>
        <v>972.74649999999997</v>
      </c>
      <c r="R9" s="253">
        <f>1687072*0.0005</f>
        <v>843.53600000000006</v>
      </c>
      <c r="S9" s="253">
        <f>653682*0.0005</f>
        <v>326.84100000000001</v>
      </c>
      <c r="T9" s="253">
        <f>600688*0.0005</f>
        <v>300.34399999999999</v>
      </c>
      <c r="U9" s="850">
        <f>SUM(Q9:S9)</f>
        <v>2143.1235000000001</v>
      </c>
      <c r="V9" s="108"/>
      <c r="W9" s="4"/>
      <c r="X9" s="104" t="s">
        <v>1190</v>
      </c>
      <c r="Y9" s="1413">
        <v>118186</v>
      </c>
      <c r="Z9" s="108"/>
      <c r="AA9" s="4"/>
      <c r="AB9" s="231" t="s">
        <v>1190</v>
      </c>
      <c r="AC9" s="232">
        <f>F9+M9+U9+Y9</f>
        <v>1381259.1235</v>
      </c>
      <c r="AD9" s="1085"/>
    </row>
    <row r="10" spans="1:30" x14ac:dyDescent="0.25">
      <c r="A10" s="4"/>
      <c r="B10" s="104"/>
      <c r="C10" s="232"/>
      <c r="D10" s="232"/>
      <c r="E10" s="232"/>
      <c r="F10" s="232"/>
      <c r="G10" s="108"/>
      <c r="H10" s="4"/>
      <c r="I10" s="104"/>
      <c r="J10" s="253"/>
      <c r="K10" s="253"/>
      <c r="L10" s="253"/>
      <c r="M10" s="253"/>
      <c r="N10" s="108"/>
      <c r="O10" s="4"/>
      <c r="P10" s="104"/>
      <c r="Q10" s="107"/>
      <c r="R10" s="107"/>
      <c r="S10" s="107"/>
      <c r="T10" s="107"/>
      <c r="U10" s="107"/>
      <c r="V10" s="108"/>
      <c r="W10" s="4"/>
      <c r="X10" s="104"/>
      <c r="Y10" s="107"/>
      <c r="Z10" s="108"/>
      <c r="AA10" s="4"/>
      <c r="AB10" s="231"/>
      <c r="AC10" s="107"/>
      <c r="AD10" s="1085"/>
    </row>
    <row r="11" spans="1:30" x14ac:dyDescent="0.25">
      <c r="A11" s="4"/>
      <c r="B11" s="104" t="s">
        <v>1191</v>
      </c>
      <c r="C11" s="253">
        <v>9.9499999999999993</v>
      </c>
      <c r="D11" s="253">
        <v>9.9499999999999993</v>
      </c>
      <c r="E11" s="253">
        <v>9.9499999999999993</v>
      </c>
      <c r="F11" s="253"/>
      <c r="G11" s="108"/>
      <c r="H11" s="4"/>
      <c r="I11" s="104" t="s">
        <v>1191</v>
      </c>
      <c r="J11" s="253">
        <v>9.9499999999999993</v>
      </c>
      <c r="K11" s="253">
        <v>9.9499999999999993</v>
      </c>
      <c r="L11" s="253">
        <v>9.9499999999999993</v>
      </c>
      <c r="M11" s="253"/>
      <c r="N11" s="108" t="s">
        <v>1192</v>
      </c>
      <c r="O11" s="4"/>
      <c r="P11" s="104" t="s">
        <v>1191</v>
      </c>
      <c r="Q11" s="107">
        <v>9.9499999999999993</v>
      </c>
      <c r="R11" s="107">
        <v>9.9499999999999993</v>
      </c>
      <c r="S11" s="107">
        <v>9.9499999999999993</v>
      </c>
      <c r="T11" s="107">
        <v>9.9499999999999993</v>
      </c>
      <c r="U11" s="107"/>
      <c r="V11" s="108" t="s">
        <v>1192</v>
      </c>
      <c r="W11" s="4"/>
      <c r="X11" s="104" t="s">
        <v>1191</v>
      </c>
      <c r="Y11" s="107">
        <v>9.9499999999999993</v>
      </c>
      <c r="Z11" s="108" t="s">
        <v>1192</v>
      </c>
      <c r="AA11" s="4"/>
      <c r="AB11" s="231" t="s">
        <v>1191</v>
      </c>
      <c r="AC11" s="107">
        <v>9.9499999999999993</v>
      </c>
      <c r="AD11" s="1085" t="s">
        <v>1192</v>
      </c>
    </row>
    <row r="12" spans="1:30" x14ac:dyDescent="0.25">
      <c r="A12" s="4"/>
      <c r="B12" s="104"/>
      <c r="C12" s="253"/>
      <c r="D12" s="253"/>
      <c r="E12" s="253"/>
      <c r="F12" s="253"/>
      <c r="G12" s="108"/>
      <c r="H12" s="4"/>
      <c r="I12" s="104"/>
      <c r="J12" s="253"/>
      <c r="K12" s="253"/>
      <c r="L12" s="253"/>
      <c r="M12" s="253"/>
      <c r="N12" s="108"/>
      <c r="O12" s="4"/>
      <c r="P12" s="104"/>
      <c r="Q12" s="107"/>
      <c r="R12" s="107"/>
      <c r="S12" s="107"/>
      <c r="T12" s="107"/>
      <c r="U12" s="107"/>
      <c r="V12" s="108"/>
      <c r="W12" s="4"/>
      <c r="X12" s="104"/>
      <c r="Y12" s="107"/>
      <c r="Z12" s="108"/>
      <c r="AA12" s="4"/>
      <c r="AB12" s="231"/>
      <c r="AC12" s="107"/>
      <c r="AD12" s="1085"/>
    </row>
    <row r="13" spans="1:30" x14ac:dyDescent="0.25">
      <c r="A13" s="4"/>
      <c r="B13" s="104" t="s">
        <v>1193</v>
      </c>
      <c r="C13" s="253">
        <f t="shared" ref="C13:E13" si="0">C9*C11</f>
        <v>2364876.1999999997</v>
      </c>
      <c r="D13" s="253">
        <f t="shared" si="0"/>
        <v>2331951.65</v>
      </c>
      <c r="E13" s="253">
        <f t="shared" si="0"/>
        <v>2308141.2999999998</v>
      </c>
      <c r="F13" s="253"/>
      <c r="G13" s="108"/>
      <c r="H13" s="4"/>
      <c r="I13" s="104" t="s">
        <v>1193</v>
      </c>
      <c r="J13" s="253">
        <f t="shared" ref="J13:L13" si="1">J9*J11</f>
        <v>1821456.95</v>
      </c>
      <c r="K13" s="253">
        <f t="shared" si="1"/>
        <v>1844023.5499999998</v>
      </c>
      <c r="L13" s="253">
        <f t="shared" si="1"/>
        <v>1875803.8499999999</v>
      </c>
      <c r="M13" s="253"/>
      <c r="N13" s="108"/>
      <c r="O13" s="4"/>
      <c r="P13" s="104" t="s">
        <v>1193</v>
      </c>
      <c r="Q13" s="253">
        <f t="shared" ref="Q13:T13" si="2">Q9*Q11</f>
        <v>9678.8276749999986</v>
      </c>
      <c r="R13" s="253">
        <f t="shared" si="2"/>
        <v>8393.1831999999995</v>
      </c>
      <c r="S13" s="253">
        <f t="shared" si="2"/>
        <v>3252.0679499999997</v>
      </c>
      <c r="T13" s="253">
        <f t="shared" si="2"/>
        <v>2988.4227999999998</v>
      </c>
      <c r="U13" s="107"/>
      <c r="V13" s="108"/>
      <c r="W13" s="4"/>
      <c r="X13" s="104" t="s">
        <v>1193</v>
      </c>
      <c r="Y13" s="232">
        <f>Y9*Y11</f>
        <v>1175950.7</v>
      </c>
      <c r="Z13" s="108"/>
      <c r="AA13" s="4"/>
      <c r="AB13" s="231" t="s">
        <v>1193</v>
      </c>
      <c r="AC13" s="232">
        <f>AC9*AC11</f>
        <v>13743528.278824998</v>
      </c>
      <c r="AD13" s="1085"/>
    </row>
    <row r="14" spans="1:30" x14ac:dyDescent="0.25">
      <c r="A14" s="4"/>
      <c r="B14" s="104"/>
      <c r="C14" s="253"/>
      <c r="D14" s="253"/>
      <c r="E14" s="253"/>
      <c r="F14" s="253"/>
      <c r="G14" s="108"/>
      <c r="H14" s="4"/>
      <c r="I14" s="104"/>
      <c r="J14" s="253"/>
      <c r="K14" s="253"/>
      <c r="L14" s="253"/>
      <c r="M14" s="253"/>
      <c r="N14" s="108"/>
      <c r="O14" s="4"/>
      <c r="P14" s="104"/>
      <c r="Q14" s="107"/>
      <c r="R14" s="107"/>
      <c r="S14" s="107"/>
      <c r="T14" s="107"/>
      <c r="U14" s="107"/>
      <c r="V14" s="108"/>
      <c r="W14" s="4"/>
      <c r="X14" s="104"/>
      <c r="Y14" s="107"/>
      <c r="Z14" s="108"/>
      <c r="AA14" s="4"/>
      <c r="AB14" s="231"/>
      <c r="AC14" s="107"/>
      <c r="AD14" s="1085"/>
    </row>
    <row r="15" spans="1:30" x14ac:dyDescent="0.25">
      <c r="A15" s="4"/>
      <c r="B15" s="104" t="s">
        <v>1194</v>
      </c>
      <c r="C15" s="253">
        <v>90.7</v>
      </c>
      <c r="D15" s="253">
        <v>90.7</v>
      </c>
      <c r="E15" s="253">
        <v>90.7</v>
      </c>
      <c r="F15" s="253"/>
      <c r="G15" s="108"/>
      <c r="H15" s="4"/>
      <c r="I15" s="104" t="s">
        <v>1195</v>
      </c>
      <c r="J15" s="253">
        <v>90.7</v>
      </c>
      <c r="K15" s="253">
        <v>90.7</v>
      </c>
      <c r="L15" s="253">
        <v>90.7</v>
      </c>
      <c r="M15" s="253"/>
      <c r="N15" s="108" t="s">
        <v>1192</v>
      </c>
      <c r="O15" s="4"/>
      <c r="P15" s="104" t="s">
        <v>1196</v>
      </c>
      <c r="Q15" s="107">
        <v>90.7</v>
      </c>
      <c r="R15" s="107">
        <v>90.7</v>
      </c>
      <c r="S15" s="107">
        <v>90.7</v>
      </c>
      <c r="T15" s="107">
        <v>90.7</v>
      </c>
      <c r="U15" s="107"/>
      <c r="V15" s="108"/>
      <c r="W15" s="4"/>
      <c r="X15" s="104" t="s">
        <v>1197</v>
      </c>
      <c r="Y15" s="107">
        <v>90.7</v>
      </c>
      <c r="Z15" s="108" t="s">
        <v>1192</v>
      </c>
      <c r="AA15" s="4"/>
      <c r="AB15" s="231" t="s">
        <v>1198</v>
      </c>
      <c r="AC15" s="107">
        <v>90.7</v>
      </c>
      <c r="AD15" s="1085" t="s">
        <v>1192</v>
      </c>
    </row>
    <row r="16" spans="1:30" x14ac:dyDescent="0.25">
      <c r="A16" s="4"/>
      <c r="B16" s="104"/>
      <c r="C16" s="253"/>
      <c r="D16" s="253"/>
      <c r="E16" s="253"/>
      <c r="F16" s="253"/>
      <c r="G16" s="108"/>
      <c r="H16" s="4"/>
      <c r="I16" s="104"/>
      <c r="J16" s="253"/>
      <c r="K16" s="253"/>
      <c r="L16" s="253"/>
      <c r="M16" s="253"/>
      <c r="N16" s="108"/>
      <c r="O16" s="4"/>
      <c r="P16" s="104"/>
      <c r="Q16" s="107"/>
      <c r="R16" s="107"/>
      <c r="S16" s="107"/>
      <c r="T16" s="107"/>
      <c r="U16" s="107"/>
      <c r="V16" s="108"/>
      <c r="W16" s="4"/>
      <c r="X16" s="104"/>
      <c r="Y16" s="107"/>
      <c r="Z16" s="108"/>
      <c r="AA16" s="4"/>
      <c r="AB16" s="231"/>
      <c r="AC16" s="107"/>
      <c r="AD16" s="1085"/>
    </row>
    <row r="17" spans="1:30" x14ac:dyDescent="0.25">
      <c r="A17" s="4"/>
      <c r="B17" s="104" t="s">
        <v>1199</v>
      </c>
      <c r="C17" s="232">
        <f t="shared" ref="C17:E17" si="3">C13*C15</f>
        <v>214494271.33999997</v>
      </c>
      <c r="D17" s="232">
        <f t="shared" si="3"/>
        <v>211508014.655</v>
      </c>
      <c r="E17" s="232">
        <f t="shared" si="3"/>
        <v>209348415.91</v>
      </c>
      <c r="F17" s="253"/>
      <c r="G17" s="108"/>
      <c r="H17" s="4"/>
      <c r="I17" s="104" t="s">
        <v>1200</v>
      </c>
      <c r="J17" s="253">
        <f t="shared" ref="J17:L17" si="4">J13*J15</f>
        <v>165206145.36500001</v>
      </c>
      <c r="K17" s="253">
        <f t="shared" si="4"/>
        <v>167252935.98499998</v>
      </c>
      <c r="L17" s="253">
        <f t="shared" si="4"/>
        <v>170135409.19499999</v>
      </c>
      <c r="M17" s="253"/>
      <c r="N17" s="108"/>
      <c r="O17" s="4"/>
      <c r="P17" s="104" t="s">
        <v>1201</v>
      </c>
      <c r="Q17" s="253">
        <f t="shared" ref="Q17:T17" si="5">Q13*Q15</f>
        <v>877869.67012249993</v>
      </c>
      <c r="R17" s="253">
        <f t="shared" si="5"/>
        <v>761261.71623999998</v>
      </c>
      <c r="S17" s="253">
        <f t="shared" si="5"/>
        <v>294962.56306499999</v>
      </c>
      <c r="T17" s="253">
        <f t="shared" si="5"/>
        <v>271049.94796000002</v>
      </c>
      <c r="U17" s="107"/>
      <c r="V17" s="108"/>
      <c r="W17" s="4"/>
      <c r="X17" s="104" t="s">
        <v>1202</v>
      </c>
      <c r="Y17" s="253">
        <f>Y13*Y15</f>
        <v>106658728.48999999</v>
      </c>
      <c r="Z17" s="108"/>
      <c r="AA17" s="4"/>
      <c r="AB17" s="231" t="s">
        <v>1203</v>
      </c>
      <c r="AC17" s="232">
        <f>AC13*AC15</f>
        <v>1246538014.8894274</v>
      </c>
      <c r="AD17" s="1085"/>
    </row>
    <row r="18" spans="1:30" x14ac:dyDescent="0.25">
      <c r="A18" s="4"/>
      <c r="B18" s="104"/>
      <c r="C18" s="253"/>
      <c r="D18" s="253"/>
      <c r="E18" s="253"/>
      <c r="F18" s="253"/>
      <c r="G18" s="108"/>
      <c r="H18" s="4"/>
      <c r="I18" s="104"/>
      <c r="J18" s="253"/>
      <c r="K18" s="253"/>
      <c r="L18" s="253"/>
      <c r="M18" s="253"/>
      <c r="N18" s="108"/>
      <c r="O18" s="4"/>
      <c r="P18" s="104"/>
      <c r="Q18" s="107"/>
      <c r="R18" s="107"/>
      <c r="S18" s="107"/>
      <c r="T18" s="107"/>
      <c r="U18" s="107"/>
      <c r="V18" s="108"/>
      <c r="W18" s="4"/>
      <c r="X18" s="104"/>
      <c r="Y18" s="107"/>
      <c r="Z18" s="108"/>
      <c r="AA18" s="4"/>
      <c r="AB18" s="231"/>
      <c r="AC18" s="107"/>
      <c r="AD18" s="1085"/>
    </row>
    <row r="19" spans="1:30" x14ac:dyDescent="0.25">
      <c r="A19" s="4"/>
      <c r="B19" s="104" t="s">
        <v>1204</v>
      </c>
      <c r="C19" s="232">
        <f t="shared" ref="C19:E19" si="6">C17*0.0011023</f>
        <v>236437.03529808199</v>
      </c>
      <c r="D19" s="232">
        <f t="shared" si="6"/>
        <v>233145.2845542065</v>
      </c>
      <c r="E19" s="232">
        <f t="shared" si="6"/>
        <v>230764.758857593</v>
      </c>
      <c r="F19" s="850">
        <f>SUM(C19:E19)</f>
        <v>700347.07870988152</v>
      </c>
      <c r="G19" s="108" t="s">
        <v>1192</v>
      </c>
      <c r="H19" s="4"/>
      <c r="I19" s="104" t="s">
        <v>1205</v>
      </c>
      <c r="J19" s="253">
        <f t="shared" ref="J19:L19" si="7">J17*0.0011023</f>
        <v>182106.73403583953</v>
      </c>
      <c r="K19" s="253">
        <f t="shared" si="7"/>
        <v>184362.9113362655</v>
      </c>
      <c r="L19" s="253">
        <f t="shared" si="7"/>
        <v>187540.2615556485</v>
      </c>
      <c r="M19" s="253">
        <v>554009.90692775359</v>
      </c>
      <c r="N19" s="108" t="s">
        <v>1192</v>
      </c>
      <c r="O19" s="4"/>
      <c r="P19" s="104" t="s">
        <v>1206</v>
      </c>
      <c r="Q19" s="253">
        <f t="shared" ref="Q19:T19" si="8">Q17*0.0011023</f>
        <v>967.67573737603175</v>
      </c>
      <c r="R19" s="253">
        <f t="shared" si="8"/>
        <v>839.13878981135201</v>
      </c>
      <c r="S19" s="253">
        <f t="shared" si="8"/>
        <v>325.13723326654952</v>
      </c>
      <c r="T19" s="253">
        <f t="shared" si="8"/>
        <v>298.77835763630804</v>
      </c>
      <c r="U19" s="253">
        <f>SUM(Q19:S19)</f>
        <v>2131.9517604539333</v>
      </c>
      <c r="V19" s="108" t="s">
        <v>1192</v>
      </c>
      <c r="W19" s="4"/>
      <c r="X19" s="104" t="s">
        <v>1207</v>
      </c>
      <c r="Y19" s="1428">
        <f>Y17*0.0011023</f>
        <v>117569.916414527</v>
      </c>
      <c r="Z19" s="108" t="s">
        <v>1192</v>
      </c>
      <c r="AA19" s="4"/>
      <c r="AB19" s="231" t="s">
        <v>1208</v>
      </c>
      <c r="AC19" s="232">
        <f>AC17*0.0011023</f>
        <v>1374058.8538126159</v>
      </c>
      <c r="AD19" s="1085" t="s">
        <v>1192</v>
      </c>
    </row>
    <row r="20" spans="1:30" x14ac:dyDescent="0.25">
      <c r="A20" s="4"/>
      <c r="B20" s="104"/>
      <c r="C20" s="253"/>
      <c r="D20" s="253"/>
      <c r="E20" s="253"/>
      <c r="F20" s="253"/>
      <c r="G20" s="108"/>
      <c r="H20" s="4"/>
      <c r="I20" s="104"/>
      <c r="J20" s="253"/>
      <c r="K20" s="253"/>
      <c r="L20" s="253"/>
      <c r="M20" s="253"/>
      <c r="N20" s="108"/>
      <c r="O20" s="4"/>
      <c r="P20" s="104"/>
      <c r="Q20" s="107"/>
      <c r="R20" s="107"/>
      <c r="S20" s="107"/>
      <c r="T20" s="107"/>
      <c r="U20" s="107"/>
      <c r="V20" s="108"/>
      <c r="W20" s="4"/>
      <c r="X20" s="104"/>
      <c r="Y20" s="1428"/>
      <c r="Z20" s="108"/>
      <c r="AA20" s="4"/>
      <c r="AB20" s="231"/>
      <c r="AC20" s="107"/>
      <c r="AD20" s="1085"/>
    </row>
    <row r="21" spans="1:30" ht="15.75" customHeight="1" x14ac:dyDescent="0.25">
      <c r="A21" s="4"/>
      <c r="B21" s="104" t="s">
        <v>1209</v>
      </c>
      <c r="C21" s="232">
        <v>238291</v>
      </c>
      <c r="D21" s="232">
        <v>199914</v>
      </c>
      <c r="E21" s="232">
        <v>233471</v>
      </c>
      <c r="F21" s="253">
        <v>671676</v>
      </c>
      <c r="G21" s="108" t="s">
        <v>232</v>
      </c>
      <c r="H21" s="4"/>
      <c r="I21" s="104" t="s">
        <v>1210</v>
      </c>
      <c r="J21" s="253">
        <f t="shared" ref="J21:L21" si="9">J23*0.90718474</f>
        <v>222307.79778037601</v>
      </c>
      <c r="K21" s="253">
        <f t="shared" si="9"/>
        <v>214955.88192894199</v>
      </c>
      <c r="L21" s="253">
        <f t="shared" si="9"/>
        <v>213570.06652011801</v>
      </c>
      <c r="M21" s="253"/>
      <c r="N21" s="1429" t="s">
        <v>1211</v>
      </c>
      <c r="O21" s="4"/>
      <c r="P21" s="104" t="s">
        <v>1212</v>
      </c>
      <c r="Q21" s="253">
        <f t="shared" ref="Q21:T21" si="10">Q23*0.90718474</f>
        <v>563.36172354000007</v>
      </c>
      <c r="R21" s="253">
        <f t="shared" si="10"/>
        <v>445.42770734000004</v>
      </c>
      <c r="S21" s="253">
        <f t="shared" si="10"/>
        <v>273.96979148000003</v>
      </c>
      <c r="T21" s="253">
        <f t="shared" si="10"/>
        <v>288.48474732</v>
      </c>
      <c r="U21" s="107"/>
      <c r="V21" s="1429" t="s">
        <v>1211</v>
      </c>
      <c r="W21" s="4"/>
      <c r="X21" s="104" t="s">
        <v>1213</v>
      </c>
      <c r="Y21" s="1428">
        <f>Y23*0.90718474</f>
        <v>105608.09713762</v>
      </c>
      <c r="Z21" s="1429" t="s">
        <v>1211</v>
      </c>
      <c r="AA21" s="4"/>
      <c r="AB21" s="231"/>
      <c r="AC21" s="107"/>
      <c r="AD21" s="1085"/>
    </row>
    <row r="22" spans="1:30" ht="15.75" customHeight="1" x14ac:dyDescent="0.25">
      <c r="A22" s="4"/>
      <c r="B22" s="104"/>
      <c r="C22" s="253"/>
      <c r="D22" s="253"/>
      <c r="E22" s="253"/>
      <c r="F22" s="253"/>
      <c r="G22" s="108"/>
      <c r="H22" s="4"/>
      <c r="I22" s="104"/>
      <c r="J22" s="253"/>
      <c r="K22" s="253"/>
      <c r="L22" s="253"/>
      <c r="M22" s="253"/>
      <c r="N22" s="108"/>
      <c r="O22" s="4"/>
      <c r="P22" s="104"/>
      <c r="Q22" s="107"/>
      <c r="R22" s="107"/>
      <c r="S22" s="107"/>
      <c r="T22" s="107"/>
      <c r="U22" s="107"/>
      <c r="V22" s="108"/>
      <c r="W22" s="4"/>
      <c r="X22" s="104"/>
      <c r="Y22" s="1428"/>
      <c r="Z22" s="108"/>
      <c r="AA22" s="4"/>
      <c r="AB22" s="231"/>
      <c r="AC22" s="107"/>
      <c r="AD22" s="1085"/>
    </row>
    <row r="23" spans="1:30" ht="15.75" customHeight="1" x14ac:dyDescent="0.25">
      <c r="A23" s="4"/>
      <c r="B23" s="1426" t="s">
        <v>1214</v>
      </c>
      <c r="C23" s="1430">
        <f t="shared" ref="C23:E23" si="11">C21*1.1023</f>
        <v>262668.16930000001</v>
      </c>
      <c r="D23" s="1430">
        <f t="shared" si="11"/>
        <v>220365.2022</v>
      </c>
      <c r="E23" s="1430">
        <f t="shared" si="11"/>
        <v>257355.08330000003</v>
      </c>
      <c r="F23" s="1431">
        <f>SUM(C23:E23)</f>
        <v>740388.45480000007</v>
      </c>
      <c r="G23" s="1429" t="s">
        <v>232</v>
      </c>
      <c r="H23" s="4"/>
      <c r="I23" s="1426" t="s">
        <v>1215</v>
      </c>
      <c r="J23" s="1430">
        <v>245052.4</v>
      </c>
      <c r="K23" s="1430">
        <v>236948.3</v>
      </c>
      <c r="L23" s="1430">
        <v>235420.7</v>
      </c>
      <c r="M23" s="1431">
        <f>SUM(J23:L23)</f>
        <v>717421.39999999991</v>
      </c>
      <c r="N23" s="1429" t="s">
        <v>1211</v>
      </c>
      <c r="O23" s="4"/>
      <c r="P23" s="1426" t="s">
        <v>1216</v>
      </c>
      <c r="Q23" s="1432">
        <v>621</v>
      </c>
      <c r="R23" s="1432">
        <v>491</v>
      </c>
      <c r="S23" s="1432">
        <v>302</v>
      </c>
      <c r="T23" s="1432">
        <v>318</v>
      </c>
      <c r="U23" s="1433">
        <f>SUM(Q23:S23)</f>
        <v>1414</v>
      </c>
      <c r="V23" s="1429" t="s">
        <v>1211</v>
      </c>
      <c r="W23" s="4"/>
      <c r="X23" s="1426" t="s">
        <v>1217</v>
      </c>
      <c r="Y23" s="1434">
        <v>116413</v>
      </c>
      <c r="Z23" s="1429" t="s">
        <v>1211</v>
      </c>
      <c r="AA23" s="4"/>
      <c r="AB23" s="1435" t="s">
        <v>1218</v>
      </c>
      <c r="AC23" s="1433">
        <f>F23+M23+U23+Y23</f>
        <v>1575636.8547999999</v>
      </c>
      <c r="AD23" s="1085"/>
    </row>
    <row r="24" spans="1:30" ht="15.75" customHeight="1" x14ac:dyDescent="0.25">
      <c r="A24" s="4"/>
      <c r="B24" s="104"/>
      <c r="C24" s="253"/>
      <c r="D24" s="253"/>
      <c r="E24" s="253"/>
      <c r="F24" s="253"/>
      <c r="G24" s="108"/>
      <c r="H24" s="4"/>
      <c r="I24" s="104"/>
      <c r="J24" s="253"/>
      <c r="K24" s="253"/>
      <c r="L24" s="253"/>
      <c r="M24" s="253"/>
      <c r="N24" s="108"/>
      <c r="O24" s="4"/>
      <c r="P24" s="104"/>
      <c r="Q24" s="107"/>
      <c r="R24" s="107"/>
      <c r="S24" s="107"/>
      <c r="T24" s="107"/>
      <c r="U24" s="107"/>
      <c r="V24" s="108"/>
      <c r="W24" s="4"/>
      <c r="X24" s="104"/>
      <c r="Y24" s="1428"/>
      <c r="Z24" s="108"/>
      <c r="AA24" s="4"/>
      <c r="AB24" s="231"/>
      <c r="AC24" s="107"/>
      <c r="AD24" s="1085"/>
    </row>
    <row r="25" spans="1:30" ht="15.75" customHeight="1" x14ac:dyDescent="0.25">
      <c r="A25" s="4"/>
      <c r="B25" s="104" t="s">
        <v>1219</v>
      </c>
      <c r="C25" s="253">
        <v>3.2000000000000001E-2</v>
      </c>
      <c r="D25" s="253">
        <v>3.2000000000000001E-2</v>
      </c>
      <c r="E25" s="253">
        <v>3.2000000000000001E-2</v>
      </c>
      <c r="F25" s="253"/>
      <c r="G25" s="108"/>
      <c r="H25" s="4"/>
      <c r="I25" s="104" t="s">
        <v>1220</v>
      </c>
      <c r="J25" s="253">
        <v>3.2000000000000001E-2</v>
      </c>
      <c r="K25" s="253">
        <v>3.2000000000000001E-2</v>
      </c>
      <c r="L25" s="253">
        <v>3.2000000000000001E-2</v>
      </c>
      <c r="M25" s="253"/>
      <c r="N25" s="108"/>
      <c r="O25" s="4"/>
      <c r="P25" s="104" t="s">
        <v>1221</v>
      </c>
      <c r="Q25" s="107">
        <v>3.2000000000000001E-2</v>
      </c>
      <c r="R25" s="107">
        <v>3.2000000000000001E-2</v>
      </c>
      <c r="S25" s="107">
        <v>3.2000000000000001E-2</v>
      </c>
      <c r="T25" s="107">
        <v>3.2000000000000001E-2</v>
      </c>
      <c r="U25" s="107"/>
      <c r="V25" s="108" t="s">
        <v>1192</v>
      </c>
      <c r="W25" s="4"/>
      <c r="X25" s="104" t="s">
        <v>1222</v>
      </c>
      <c r="Y25" s="1428">
        <v>3.2000000000000001E-2</v>
      </c>
      <c r="Z25" s="108"/>
      <c r="AA25" s="4"/>
      <c r="AB25" s="231" t="s">
        <v>1223</v>
      </c>
      <c r="AC25" s="107">
        <v>3.2000000000000001E-2</v>
      </c>
      <c r="AD25" s="1085"/>
    </row>
    <row r="26" spans="1:30" ht="15.75" customHeight="1" x14ac:dyDescent="0.25">
      <c r="A26" s="4"/>
      <c r="B26" s="104" t="s">
        <v>1224</v>
      </c>
      <c r="C26" s="253">
        <f t="shared" ref="C26:E26" si="12">C13*C25</f>
        <v>75676.03839999999</v>
      </c>
      <c r="D26" s="253">
        <f t="shared" si="12"/>
        <v>74622.452799999999</v>
      </c>
      <c r="E26" s="253">
        <f t="shared" si="12"/>
        <v>73860.521599999993</v>
      </c>
      <c r="F26" s="253"/>
      <c r="G26" s="108"/>
      <c r="H26" s="4"/>
      <c r="I26" s="104" t="s">
        <v>1225</v>
      </c>
      <c r="J26" s="253">
        <f t="shared" ref="J26:L26" si="13">J13*J25</f>
        <v>58286.6224</v>
      </c>
      <c r="K26" s="253">
        <f t="shared" si="13"/>
        <v>59008.753599999996</v>
      </c>
      <c r="L26" s="253">
        <f t="shared" si="13"/>
        <v>60025.7232</v>
      </c>
      <c r="M26" s="253"/>
      <c r="N26" s="108"/>
      <c r="O26" s="4"/>
      <c r="P26" s="104" t="s">
        <v>1226</v>
      </c>
      <c r="Q26" s="253">
        <f t="shared" ref="Q26:T26" si="14">Q13*Q25</f>
        <v>309.72248559999997</v>
      </c>
      <c r="R26" s="253">
        <f t="shared" si="14"/>
        <v>268.58186239999998</v>
      </c>
      <c r="S26" s="253">
        <f t="shared" si="14"/>
        <v>104.06617439999999</v>
      </c>
      <c r="T26" s="253">
        <f t="shared" si="14"/>
        <v>95.629529599999998</v>
      </c>
      <c r="U26" s="107"/>
      <c r="V26" s="108"/>
      <c r="W26" s="4"/>
      <c r="X26" s="104" t="s">
        <v>1227</v>
      </c>
      <c r="Y26" s="1428">
        <v>37630.422399999996</v>
      </c>
      <c r="Z26" s="108"/>
      <c r="AA26" s="4"/>
      <c r="AB26" s="231" t="s">
        <v>1228</v>
      </c>
      <c r="AC26" s="253">
        <f>AC13*AC25</f>
        <v>439792.90492239996</v>
      </c>
      <c r="AD26" s="1085"/>
    </row>
    <row r="27" spans="1:30" ht="15.75" customHeight="1" x14ac:dyDescent="0.25">
      <c r="A27" s="4"/>
      <c r="B27" s="104" t="s">
        <v>1229</v>
      </c>
      <c r="C27" s="253">
        <f t="shared" ref="C27:E27" si="15">C26*0.0011023</f>
        <v>83.41769712832</v>
      </c>
      <c r="D27" s="253">
        <f t="shared" si="15"/>
        <v>82.256329721440011</v>
      </c>
      <c r="E27" s="253">
        <f t="shared" si="15"/>
        <v>81.416452959680001</v>
      </c>
      <c r="F27" s="253">
        <f>SUM(C27:E27)</f>
        <v>247.09047980944001</v>
      </c>
      <c r="G27" s="108" t="s">
        <v>1192</v>
      </c>
      <c r="H27" s="4"/>
      <c r="I27" s="104" t="s">
        <v>1230</v>
      </c>
      <c r="J27" s="253">
        <v>83.394994316799981</v>
      </c>
      <c r="K27" s="253">
        <v>82.256329721440011</v>
      </c>
      <c r="L27" s="253">
        <v>81.416452959680001</v>
      </c>
      <c r="M27" s="253">
        <v>195.44356166143999</v>
      </c>
      <c r="N27" s="108" t="s">
        <v>1192</v>
      </c>
      <c r="O27" s="4"/>
      <c r="P27" s="104" t="s">
        <v>1231</v>
      </c>
      <c r="Q27" s="253">
        <f t="shared" ref="Q27:T27" si="16">Q26*0.0011023</f>
        <v>0.34140709587688001</v>
      </c>
      <c r="R27" s="253">
        <f t="shared" si="16"/>
        <v>0.29605778692351997</v>
      </c>
      <c r="S27" s="253">
        <f t="shared" si="16"/>
        <v>0.11471214404112</v>
      </c>
      <c r="T27" s="253">
        <f t="shared" si="16"/>
        <v>0.10541243047808001</v>
      </c>
      <c r="U27" s="253">
        <f>SUM(Q27:S27)</f>
        <v>0.75217702684151988</v>
      </c>
      <c r="V27" s="108"/>
      <c r="W27" s="4"/>
      <c r="X27" s="104" t="s">
        <v>1232</v>
      </c>
      <c r="Y27" s="1428">
        <v>41.46872548479999</v>
      </c>
      <c r="Z27" s="108" t="s">
        <v>1192</v>
      </c>
      <c r="AA27" s="4"/>
      <c r="AB27" s="231" t="s">
        <v>1233</v>
      </c>
      <c r="AC27" s="253">
        <f>AC26*0.0011023</f>
        <v>484.78371909596149</v>
      </c>
      <c r="AD27" s="1085" t="s">
        <v>1192</v>
      </c>
    </row>
    <row r="28" spans="1:30" ht="15.75" customHeight="1" x14ac:dyDescent="0.25">
      <c r="A28" s="4"/>
      <c r="B28" s="104"/>
      <c r="C28" s="253"/>
      <c r="D28" s="253"/>
      <c r="E28" s="253"/>
      <c r="F28" s="850"/>
      <c r="G28" s="108"/>
      <c r="H28" s="4"/>
      <c r="I28" s="104"/>
      <c r="J28" s="253"/>
      <c r="K28" s="253"/>
      <c r="L28" s="253"/>
      <c r="M28" s="253"/>
      <c r="N28" s="108"/>
      <c r="O28" s="4"/>
      <c r="P28" s="104"/>
      <c r="Q28" s="253"/>
      <c r="R28" s="253"/>
      <c r="S28" s="253"/>
      <c r="T28" s="253"/>
      <c r="U28" s="107"/>
      <c r="V28" s="108"/>
      <c r="W28" s="4"/>
      <c r="X28" s="104"/>
      <c r="Y28" s="1428"/>
      <c r="Z28" s="108"/>
      <c r="AA28" s="4"/>
      <c r="AB28" s="231"/>
      <c r="AC28" s="107"/>
      <c r="AD28" s="1085"/>
    </row>
    <row r="29" spans="1:30" ht="15.75" customHeight="1" x14ac:dyDescent="0.25">
      <c r="A29" s="4"/>
      <c r="B29" s="1436" t="s">
        <v>1234</v>
      </c>
      <c r="C29" s="1437">
        <v>1.44</v>
      </c>
      <c r="D29" s="1437">
        <v>1.42</v>
      </c>
      <c r="E29" s="1437">
        <v>1.4</v>
      </c>
      <c r="F29" s="1438">
        <f>SUM(C29:E29)</f>
        <v>4.26</v>
      </c>
      <c r="G29" s="1439" t="s">
        <v>232</v>
      </c>
      <c r="H29" s="4"/>
      <c r="I29" s="1436" t="s">
        <v>1235</v>
      </c>
      <c r="J29" s="1440">
        <v>1.29E-2</v>
      </c>
      <c r="K29" s="1440">
        <v>9.5999999999999992E-3</v>
      </c>
      <c r="L29" s="1440">
        <v>7.6E-3</v>
      </c>
      <c r="M29" s="1440">
        <f>SUM(J29:L29)</f>
        <v>3.0099999999999998E-2</v>
      </c>
      <c r="N29" s="1439" t="s">
        <v>1211</v>
      </c>
      <c r="O29" s="4"/>
      <c r="P29" s="1436" t="s">
        <v>1236</v>
      </c>
      <c r="Q29" s="1441">
        <v>1.1900000000000001E-2</v>
      </c>
      <c r="R29" s="1441">
        <v>9.41E-3</v>
      </c>
      <c r="S29" s="1441">
        <v>5.79E-3</v>
      </c>
      <c r="T29" s="1441">
        <v>6.1000000000000004E-3</v>
      </c>
      <c r="U29" s="1442">
        <f>SUM(Q29:T29)</f>
        <v>3.32E-2</v>
      </c>
      <c r="V29" s="1439" t="s">
        <v>1211</v>
      </c>
      <c r="W29" s="4"/>
      <c r="X29" s="1436" t="s">
        <v>1237</v>
      </c>
      <c r="Y29" s="1443">
        <f>Y33</f>
        <v>5.4442519177619992</v>
      </c>
      <c r="Z29" s="1439"/>
      <c r="AA29" s="4"/>
      <c r="AB29" s="1444" t="s">
        <v>1238</v>
      </c>
      <c r="AC29" s="1438">
        <f>(F29+M29+U29+Y29)*$C$44</f>
        <v>273.49145369733594</v>
      </c>
      <c r="AD29" s="1439" t="s">
        <v>1211</v>
      </c>
    </row>
    <row r="30" spans="1:30" ht="15.75" customHeight="1" x14ac:dyDescent="0.25">
      <c r="A30" s="4"/>
      <c r="B30" s="104"/>
      <c r="C30" s="253"/>
      <c r="D30" s="253"/>
      <c r="E30" s="253"/>
      <c r="F30" s="253"/>
      <c r="G30" s="108"/>
      <c r="H30" s="4"/>
      <c r="I30" s="104"/>
      <c r="J30" s="253"/>
      <c r="K30" s="253"/>
      <c r="L30" s="253"/>
      <c r="M30" s="253"/>
      <c r="N30" s="108"/>
      <c r="O30" s="4"/>
      <c r="P30" s="104"/>
      <c r="Q30" s="107"/>
      <c r="R30" s="107"/>
      <c r="S30" s="107"/>
      <c r="T30" s="107"/>
      <c r="U30" s="107"/>
      <c r="V30" s="108"/>
      <c r="W30" s="4"/>
      <c r="X30" s="104"/>
      <c r="Y30" s="1428"/>
      <c r="Z30" s="108"/>
      <c r="AA30" s="4"/>
      <c r="AB30" s="231"/>
      <c r="AC30" s="107"/>
      <c r="AD30" s="1085"/>
    </row>
    <row r="31" spans="1:30" ht="15.75" customHeight="1" x14ac:dyDescent="0.25">
      <c r="A31" s="4"/>
      <c r="B31" s="104" t="s">
        <v>1239</v>
      </c>
      <c r="C31" s="247">
        <v>4.1999999999999997E-3</v>
      </c>
      <c r="D31" s="247">
        <v>4.1999999999999997E-3</v>
      </c>
      <c r="E31" s="247">
        <v>4.1999999999999997E-3</v>
      </c>
      <c r="F31" s="253"/>
      <c r="G31" s="108"/>
      <c r="H31" s="4"/>
      <c r="I31" s="104" t="s">
        <v>1240</v>
      </c>
      <c r="J31" s="247">
        <v>4.1999999999999997E-3</v>
      </c>
      <c r="K31" s="247">
        <v>4.1999999999999997E-3</v>
      </c>
      <c r="L31" s="247">
        <v>4.1999999999999997E-3</v>
      </c>
      <c r="M31" s="253"/>
      <c r="N31" s="108"/>
      <c r="O31" s="4"/>
      <c r="P31" s="104" t="s">
        <v>1241</v>
      </c>
      <c r="Q31" s="107">
        <v>4.1999999999999997E-3</v>
      </c>
      <c r="R31" s="107">
        <v>4.1999999999999997E-3</v>
      </c>
      <c r="S31" s="107">
        <v>4.1999999999999997E-3</v>
      </c>
      <c r="T31" s="107">
        <v>4.1999999999999997E-3</v>
      </c>
      <c r="U31" s="107"/>
      <c r="V31" s="108" t="s">
        <v>1192</v>
      </c>
      <c r="W31" s="4"/>
      <c r="X31" s="104" t="s">
        <v>1242</v>
      </c>
      <c r="Y31" s="247">
        <v>4.1999999999999997E-3</v>
      </c>
      <c r="Z31" s="108"/>
      <c r="AA31" s="4"/>
      <c r="AB31" s="231" t="s">
        <v>1243</v>
      </c>
      <c r="AC31" s="107">
        <v>4.1999999999999997E-3</v>
      </c>
      <c r="AD31" s="1085"/>
    </row>
    <row r="32" spans="1:30" ht="15.75" customHeight="1" x14ac:dyDescent="0.25">
      <c r="A32" s="4"/>
      <c r="B32" s="104" t="s">
        <v>1244</v>
      </c>
      <c r="C32" s="253">
        <f t="shared" ref="C32:E32" si="17">C13*C31</f>
        <v>9932.4800399999986</v>
      </c>
      <c r="D32" s="253">
        <f t="shared" si="17"/>
        <v>9794.1969299999982</v>
      </c>
      <c r="E32" s="253">
        <f t="shared" si="17"/>
        <v>9694.1934599999986</v>
      </c>
      <c r="F32" s="253"/>
      <c r="G32" s="108"/>
      <c r="H32" s="4"/>
      <c r="I32" s="104" t="s">
        <v>1245</v>
      </c>
      <c r="J32" s="253">
        <f t="shared" ref="J32:L32" si="18">J13*J31</f>
        <v>7650.1191899999994</v>
      </c>
      <c r="K32" s="253">
        <f t="shared" si="18"/>
        <v>7744.898909999999</v>
      </c>
      <c r="L32" s="253">
        <f t="shared" si="18"/>
        <v>7878.3761699999986</v>
      </c>
      <c r="M32" s="253"/>
      <c r="N32" s="108"/>
      <c r="O32" s="4"/>
      <c r="P32" s="104" t="s">
        <v>1246</v>
      </c>
      <c r="Q32" s="253">
        <f t="shared" ref="Q32:T32" si="19">Q13*Q31</f>
        <v>40.651076234999991</v>
      </c>
      <c r="R32" s="253">
        <f t="shared" si="19"/>
        <v>35.251369439999998</v>
      </c>
      <c r="S32" s="253">
        <f t="shared" si="19"/>
        <v>13.658685389999997</v>
      </c>
      <c r="T32" s="253">
        <f t="shared" si="19"/>
        <v>12.551375759999999</v>
      </c>
      <c r="U32" s="107"/>
      <c r="V32" s="108"/>
      <c r="W32" s="4"/>
      <c r="X32" s="104" t="s">
        <v>1247</v>
      </c>
      <c r="Y32" s="1428">
        <f>Y13*Y31</f>
        <v>4938.9929399999992</v>
      </c>
      <c r="Z32" s="108"/>
      <c r="AA32" s="4"/>
      <c r="AB32" s="231" t="s">
        <v>1248</v>
      </c>
      <c r="AC32" s="253">
        <f>AC13*AC31</f>
        <v>57722.818771064987</v>
      </c>
      <c r="AD32" s="1085"/>
    </row>
    <row r="33" spans="1:30" ht="15.75" customHeight="1" x14ac:dyDescent="0.25">
      <c r="A33" s="4"/>
      <c r="B33" s="104" t="s">
        <v>1249</v>
      </c>
      <c r="C33" s="253">
        <f t="shared" ref="C33:E33" si="20">C32*0.0011023</f>
        <v>10.948572748091999</v>
      </c>
      <c r="D33" s="253">
        <f t="shared" si="20"/>
        <v>10.796143275938999</v>
      </c>
      <c r="E33" s="253">
        <f t="shared" si="20"/>
        <v>10.685909450957999</v>
      </c>
      <c r="F33" s="850">
        <f>SUM(C33:E33)</f>
        <v>32.430625474989</v>
      </c>
      <c r="G33" s="108" t="s">
        <v>1192</v>
      </c>
      <c r="H33" s="4"/>
      <c r="I33" s="104" t="s">
        <v>1250</v>
      </c>
      <c r="J33" s="253">
        <f t="shared" ref="J33:L33" si="21">J32*0.0011023</f>
        <v>8.4327263831370001</v>
      </c>
      <c r="K33" s="253">
        <f t="shared" si="21"/>
        <v>8.5372020684929986</v>
      </c>
      <c r="L33" s="253">
        <f t="shared" si="21"/>
        <v>8.6843340521909997</v>
      </c>
      <c r="M33" s="253">
        <f>SUM(J33:L33)</f>
        <v>25.654262503820995</v>
      </c>
      <c r="N33" s="108" t="s">
        <v>1192</v>
      </c>
      <c r="O33" s="4"/>
      <c r="P33" s="104" t="s">
        <v>1251</v>
      </c>
      <c r="Q33" s="253">
        <f t="shared" ref="Q33:T33" si="22">Q32*0.0011023</f>
        <v>4.4809681333840494E-2</v>
      </c>
      <c r="R33" s="253">
        <f t="shared" si="22"/>
        <v>3.8857584533711999E-2</v>
      </c>
      <c r="S33" s="253">
        <f t="shared" si="22"/>
        <v>1.5055968905396998E-2</v>
      </c>
      <c r="T33" s="253">
        <f t="shared" si="22"/>
        <v>1.3835381500248E-2</v>
      </c>
      <c r="U33" s="652">
        <v>9.8723234772949489E-2</v>
      </c>
      <c r="V33" s="108"/>
      <c r="W33" s="4"/>
      <c r="X33" s="104" t="s">
        <v>1252</v>
      </c>
      <c r="Y33" s="1428">
        <f>Y32*0.0011023</f>
        <v>5.4442519177619992</v>
      </c>
      <c r="Z33" s="108" t="s">
        <v>1192</v>
      </c>
      <c r="AA33" s="4"/>
      <c r="AB33" s="231" t="s">
        <v>1253</v>
      </c>
      <c r="AC33" s="253">
        <f>AC32*0.0011023</f>
        <v>63.627863131344938</v>
      </c>
      <c r="AD33" s="1085" t="s">
        <v>1192</v>
      </c>
    </row>
    <row r="34" spans="1:30" ht="15.75" customHeight="1" x14ac:dyDescent="0.25">
      <c r="A34" s="4"/>
      <c r="B34" s="798"/>
      <c r="C34" s="855"/>
      <c r="D34" s="855"/>
      <c r="E34" s="855"/>
      <c r="F34" s="855"/>
      <c r="G34" s="1359"/>
      <c r="H34" s="4"/>
      <c r="I34" s="104"/>
      <c r="J34" s="107"/>
      <c r="K34" s="107"/>
      <c r="L34" s="107"/>
      <c r="M34" s="107"/>
      <c r="N34" s="108"/>
      <c r="O34" s="4"/>
      <c r="P34" s="104"/>
      <c r="Q34" s="107"/>
      <c r="R34" s="107"/>
      <c r="S34" s="107"/>
      <c r="T34" s="107"/>
      <c r="U34" s="107"/>
      <c r="V34" s="108"/>
      <c r="W34" s="4"/>
      <c r="X34" s="104"/>
      <c r="Y34" s="107"/>
      <c r="Z34" s="108"/>
      <c r="AA34" s="4"/>
      <c r="AB34" s="235"/>
      <c r="AC34" s="799"/>
      <c r="AD34" s="1445"/>
    </row>
    <row r="35" spans="1:30" ht="15.75" customHeight="1" x14ac:dyDescent="0.25">
      <c r="A35" s="4"/>
      <c r="B35" s="1446" t="s">
        <v>1254</v>
      </c>
      <c r="C35" s="1447">
        <v>12.01</v>
      </c>
      <c r="D35" s="1447">
        <v>11.84</v>
      </c>
      <c r="E35" s="1447">
        <v>11.72</v>
      </c>
      <c r="F35" s="1448">
        <f>SUM(C35:E35)</f>
        <v>35.57</v>
      </c>
      <c r="G35" s="1449" t="s">
        <v>232</v>
      </c>
      <c r="H35" s="4"/>
      <c r="I35" s="1450" t="s">
        <v>1255</v>
      </c>
      <c r="J35" s="1392">
        <v>1.24E-2</v>
      </c>
      <c r="K35" s="1392">
        <v>9.1000000000000004E-3</v>
      </c>
      <c r="L35" s="1392">
        <v>7.3000000000000001E-3</v>
      </c>
      <c r="M35" s="1451">
        <f>SUM(J35:L35)</f>
        <v>2.8799999999999999E-2</v>
      </c>
      <c r="N35" s="1452" t="s">
        <v>1211</v>
      </c>
      <c r="O35" s="4"/>
      <c r="P35" s="1450" t="s">
        <v>1256</v>
      </c>
      <c r="Q35" s="1453">
        <v>1.14E-2</v>
      </c>
      <c r="R35" s="1453">
        <v>8.9999999999999993E-3</v>
      </c>
      <c r="S35" s="1453">
        <v>5.5399999999999998E-3</v>
      </c>
      <c r="T35" s="1453">
        <v>5.8399999999999997E-3</v>
      </c>
      <c r="U35" s="1454">
        <f>SUM(Q35:S35)</f>
        <v>2.5940000000000001E-2</v>
      </c>
      <c r="V35" s="1452" t="s">
        <v>1211</v>
      </c>
      <c r="W35" s="4"/>
      <c r="X35" s="1450" t="s">
        <v>1257</v>
      </c>
      <c r="Y35" s="1455">
        <v>0.5</v>
      </c>
      <c r="Z35" s="1452" t="s">
        <v>1211</v>
      </c>
      <c r="AA35" s="4"/>
      <c r="AB35" s="1456" t="s">
        <v>1258</v>
      </c>
      <c r="AC35" s="1451">
        <f>(F35+M35+U35+Y35)*$C$45</f>
        <v>9573.056099999998</v>
      </c>
      <c r="AD35" s="586"/>
    </row>
    <row r="36" spans="1:30" ht="15.75" customHeight="1" x14ac:dyDescent="0.25">
      <c r="A36" s="4"/>
      <c r="B36" s="173"/>
      <c r="C36" s="39"/>
      <c r="D36" s="39"/>
      <c r="E36" s="39"/>
      <c r="F36" s="39"/>
      <c r="G36" s="174"/>
      <c r="H36" s="4"/>
      <c r="I36" s="39"/>
      <c r="J36" s="39"/>
      <c r="K36" s="39"/>
      <c r="L36" s="39"/>
      <c r="M36" s="39"/>
      <c r="N36" s="1457"/>
      <c r="O36" s="4"/>
      <c r="P36" s="1458"/>
      <c r="Q36" s="1459"/>
      <c r="R36" s="1459"/>
      <c r="S36" s="1459"/>
      <c r="T36" s="1459"/>
      <c r="U36" s="1459"/>
      <c r="V36" s="1457"/>
      <c r="W36" s="4"/>
      <c r="X36" s="173"/>
      <c r="Y36" s="39"/>
      <c r="Z36" s="174"/>
      <c r="AA36" s="4"/>
      <c r="AB36" s="152"/>
      <c r="AC36" s="244"/>
      <c r="AD36" s="591"/>
    </row>
    <row r="37" spans="1:30"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row>
    <row r="38" spans="1:30" ht="15.75" customHeight="1" x14ac:dyDescent="0.25">
      <c r="A38" s="4"/>
      <c r="B38" s="4"/>
      <c r="C38" s="65"/>
      <c r="D38" s="4"/>
      <c r="E38" s="4"/>
      <c r="F38" s="4"/>
      <c r="G38" s="4"/>
      <c r="H38" s="4"/>
      <c r="I38" s="4"/>
      <c r="J38" s="4"/>
      <c r="K38" s="4"/>
      <c r="L38" s="4"/>
      <c r="M38" s="4"/>
      <c r="N38" s="4"/>
      <c r="O38" s="4"/>
      <c r="P38" s="4"/>
      <c r="Q38" s="4"/>
      <c r="R38" s="4"/>
      <c r="S38" s="4"/>
      <c r="T38" s="4"/>
      <c r="U38" s="4"/>
      <c r="V38" s="4"/>
      <c r="W38" s="4"/>
      <c r="X38" s="4"/>
      <c r="Y38" s="4"/>
      <c r="Z38" s="4"/>
      <c r="AA38" s="4"/>
      <c r="AB38" s="4"/>
      <c r="AC38" s="4"/>
      <c r="AD38" s="4"/>
    </row>
    <row r="39" spans="1:30"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row>
    <row r="40" spans="1:30"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row>
    <row r="41" spans="1:30" ht="15.75" customHeight="1" x14ac:dyDescent="0.25">
      <c r="A41" s="4"/>
      <c r="B41" s="2146" t="s">
        <v>0</v>
      </c>
      <c r="C41" s="2147"/>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ht="15.75" customHeight="1" x14ac:dyDescent="0.25">
      <c r="A42" s="4"/>
      <c r="B42" s="120"/>
      <c r="C42" s="120"/>
      <c r="D42" s="4"/>
      <c r="E42" s="4"/>
      <c r="F42" s="4"/>
      <c r="G42" s="4"/>
      <c r="H42" s="4"/>
      <c r="I42" s="4"/>
      <c r="J42" s="4"/>
      <c r="K42" s="4"/>
      <c r="L42" s="4"/>
      <c r="M42" s="4"/>
      <c r="N42" s="4"/>
      <c r="O42" s="4"/>
      <c r="P42" s="4"/>
      <c r="Q42" s="4"/>
      <c r="R42" s="4"/>
      <c r="S42" s="4"/>
      <c r="T42" s="4"/>
      <c r="U42" s="4"/>
      <c r="V42" s="4"/>
      <c r="W42" s="4"/>
      <c r="X42" s="4"/>
      <c r="Y42" s="4"/>
      <c r="Z42" s="4"/>
      <c r="AA42" s="4"/>
      <c r="AB42" s="4"/>
      <c r="AC42" s="4"/>
      <c r="AD42" s="4"/>
    </row>
    <row r="43" spans="1:30" ht="15.75" customHeight="1" x14ac:dyDescent="0.25">
      <c r="A43" s="4"/>
      <c r="B43" s="124" t="s">
        <v>4</v>
      </c>
      <c r="C43" s="125">
        <f>'Summ GHG Rpt Expanded'!G4</f>
        <v>1</v>
      </c>
      <c r="D43" s="4"/>
      <c r="E43" s="4"/>
      <c r="F43" s="4"/>
      <c r="G43" s="4"/>
      <c r="H43" s="4"/>
      <c r="I43" s="4"/>
      <c r="J43" s="4"/>
      <c r="K43" s="4"/>
      <c r="L43" s="4"/>
      <c r="M43" s="4"/>
      <c r="N43" s="4"/>
      <c r="O43" s="4"/>
      <c r="P43" s="4"/>
      <c r="Q43" s="4"/>
      <c r="R43" s="4"/>
      <c r="S43" s="4"/>
      <c r="T43" s="4"/>
      <c r="U43" s="4"/>
      <c r="V43" s="4"/>
      <c r="W43" s="4"/>
      <c r="X43" s="4"/>
      <c r="Y43" s="4"/>
      <c r="Z43" s="4"/>
      <c r="AA43" s="4"/>
      <c r="AB43" s="4"/>
      <c r="AC43" s="4"/>
      <c r="AD43" s="4"/>
    </row>
    <row r="44" spans="1:30" ht="15.75" customHeight="1" x14ac:dyDescent="0.25">
      <c r="A44" s="4"/>
      <c r="B44" s="124" t="s">
        <v>5</v>
      </c>
      <c r="C44" s="125">
        <f>'Summ GHG Rpt Expanded'!G5</f>
        <v>28</v>
      </c>
      <c r="D44" s="4"/>
      <c r="E44" s="4"/>
      <c r="F44" s="4"/>
      <c r="G44" s="4"/>
      <c r="H44" s="4"/>
      <c r="I44" s="4"/>
      <c r="J44" s="4"/>
      <c r="K44" s="4"/>
      <c r="L44" s="4"/>
      <c r="M44" s="4"/>
      <c r="N44" s="4"/>
      <c r="O44" s="4"/>
      <c r="P44" s="4"/>
      <c r="Q44" s="4"/>
      <c r="R44" s="4"/>
      <c r="S44" s="4"/>
      <c r="T44" s="4"/>
      <c r="U44" s="4"/>
      <c r="V44" s="4"/>
      <c r="W44" s="4"/>
      <c r="X44" s="4"/>
      <c r="Y44" s="4"/>
      <c r="Z44" s="4"/>
      <c r="AA44" s="4"/>
      <c r="AB44" s="4"/>
      <c r="AC44" s="4"/>
      <c r="AD44" s="4"/>
    </row>
    <row r="45" spans="1:30" ht="15.75" customHeight="1" x14ac:dyDescent="0.25">
      <c r="A45" s="4"/>
      <c r="B45" s="124" t="s">
        <v>6</v>
      </c>
      <c r="C45" s="125">
        <f>'Summ GHG Rpt Expanded'!G6</f>
        <v>265</v>
      </c>
      <c r="D45" s="4"/>
      <c r="E45" s="4"/>
      <c r="F45" s="4"/>
      <c r="G45" s="4"/>
      <c r="H45" s="4"/>
      <c r="I45" s="4"/>
      <c r="J45" s="4"/>
      <c r="K45" s="4"/>
      <c r="L45" s="4"/>
      <c r="M45" s="4"/>
      <c r="N45" s="4"/>
      <c r="O45" s="4"/>
      <c r="P45" s="4"/>
      <c r="Q45" s="4"/>
      <c r="R45" s="4"/>
      <c r="S45" s="4"/>
      <c r="T45" s="4"/>
      <c r="U45" s="4"/>
      <c r="V45" s="4"/>
      <c r="W45" s="4"/>
      <c r="X45" s="4"/>
      <c r="Y45" s="4"/>
      <c r="Z45" s="4"/>
      <c r="AA45" s="4"/>
      <c r="AB45" s="4"/>
      <c r="AC45" s="4"/>
      <c r="AD45" s="4"/>
    </row>
    <row r="46" spans="1:30" ht="15.75" customHeight="1" x14ac:dyDescent="0.25">
      <c r="A46" s="4"/>
      <c r="B46" s="124" t="s">
        <v>7</v>
      </c>
      <c r="C46" s="129">
        <f>'Summ GHG Rpt Expanded'!G7</f>
        <v>23500</v>
      </c>
      <c r="D46" s="4"/>
      <c r="E46" s="4"/>
      <c r="F46" s="4"/>
      <c r="G46" s="4"/>
      <c r="H46" s="4"/>
      <c r="I46" s="4"/>
      <c r="J46" s="4"/>
      <c r="K46" s="4"/>
      <c r="L46" s="4"/>
      <c r="M46" s="4"/>
      <c r="N46" s="4"/>
      <c r="O46" s="4"/>
      <c r="P46" s="4"/>
      <c r="Q46" s="4"/>
      <c r="R46" s="4"/>
      <c r="S46" s="4"/>
      <c r="T46" s="4"/>
      <c r="U46" s="4"/>
      <c r="V46" s="4"/>
      <c r="W46" s="4"/>
      <c r="X46" s="4"/>
      <c r="Y46" s="4"/>
      <c r="Z46" s="4"/>
      <c r="AA46" s="4"/>
      <c r="AB46" s="4"/>
      <c r="AC46" s="4"/>
      <c r="AD46" s="4"/>
    </row>
    <row r="47" spans="1:30" ht="15.75" customHeight="1" x14ac:dyDescent="0.25">
      <c r="A47" s="4"/>
      <c r="B47" s="124" t="s">
        <v>8</v>
      </c>
      <c r="C47" s="129">
        <f>'Summ GHG Rpt Expanded'!G8</f>
        <v>11100</v>
      </c>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row>
    <row r="50" spans="1:30"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row>
    <row r="51" spans="1:30"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row>
    <row r="52" spans="1:30"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row>
    <row r="53" spans="1:30"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row>
    <row r="54" spans="1:30"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row>
    <row r="55" spans="1:30"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row>
    <row r="56" spans="1:30"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row>
    <row r="57" spans="1:30"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row>
    <row r="58" spans="1:30"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row>
    <row r="59" spans="1:30"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row>
    <row r="60" spans="1:30"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row>
    <row r="61" spans="1:30"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row>
    <row r="62" spans="1:30"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row>
    <row r="63" spans="1:30"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row>
    <row r="64" spans="1:30"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row>
    <row r="65" spans="1:30"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row>
    <row r="66" spans="1:30"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row>
    <row r="67" spans="1:30"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row>
    <row r="68" spans="1:30"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row>
    <row r="69" spans="1:30"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row>
    <row r="70" spans="1:30"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row>
    <row r="71" spans="1:30"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row>
    <row r="72" spans="1:30"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row>
    <row r="73" spans="1:30"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row>
    <row r="74" spans="1:30"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row>
    <row r="75" spans="1:30"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row>
    <row r="76" spans="1:30"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row>
    <row r="77" spans="1:30"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row>
    <row r="78" spans="1:30"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row>
    <row r="79" spans="1:30"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row>
    <row r="80" spans="1:30"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row>
    <row r="81" spans="1:30"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row>
    <row r="82" spans="1:30"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row>
    <row r="83" spans="1:30"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row>
    <row r="84" spans="1:30"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row>
    <row r="85" spans="1:30"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row>
    <row r="86" spans="1:30"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row>
    <row r="87" spans="1:30"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row>
    <row r="88" spans="1:30"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row>
    <row r="89" spans="1:30"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row>
    <row r="91" spans="1:30"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row>
    <row r="93" spans="1:30"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row>
    <row r="94" spans="1:30"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row>
    <row r="95" spans="1:30"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row>
    <row r="96" spans="1:30"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row>
    <row r="97" spans="1:30"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row>
    <row r="98" spans="1:30"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row>
    <row r="99" spans="1:30"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row>
    <row r="100" spans="1:30"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row>
    <row r="101" spans="1:30"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row>
    <row r="102" spans="1:30"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row>
    <row r="103" spans="1:30"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row>
    <row r="104" spans="1:30"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row>
    <row r="105" spans="1:30"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row>
    <row r="106" spans="1:30"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row>
    <row r="107" spans="1:30"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row>
    <row r="108" spans="1:30"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row>
    <row r="109" spans="1:30"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row>
    <row r="110" spans="1:30"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row>
    <row r="111" spans="1:30"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row>
    <row r="112" spans="1:30"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row>
    <row r="113" spans="1:30"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row>
    <row r="114" spans="1:30"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row>
    <row r="115" spans="1:30"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row>
    <row r="116" spans="1:30"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row>
    <row r="117" spans="1:30"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row>
    <row r="118" spans="1:30"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row>
    <row r="119" spans="1:30"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row>
    <row r="120" spans="1:30"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row>
    <row r="121" spans="1:30"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row>
    <row r="122" spans="1:30"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row>
    <row r="123" spans="1:30"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row>
    <row r="124" spans="1:30"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row>
    <row r="125" spans="1:30"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row>
    <row r="126" spans="1:30"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row>
    <row r="127" spans="1:30"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row>
    <row r="128" spans="1:30"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row>
    <row r="129" spans="1:30"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row>
    <row r="130" spans="1:30"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row>
    <row r="131" spans="1:30"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row>
    <row r="132" spans="1:30"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row>
    <row r="133" spans="1:30"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row>
    <row r="134" spans="1:30"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row>
    <row r="135" spans="1:30"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row>
    <row r="136" spans="1:30"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row>
    <row r="137" spans="1:30"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row>
    <row r="138" spans="1:30"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row>
    <row r="139" spans="1:30"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row>
    <row r="140" spans="1:30"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row>
    <row r="141" spans="1:30"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row>
    <row r="142" spans="1:30"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row>
    <row r="143" spans="1:30"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row>
    <row r="144" spans="1:30"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row>
    <row r="145" spans="1:30"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row>
    <row r="146" spans="1:30"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row>
    <row r="147" spans="1:30"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row>
    <row r="148" spans="1:30"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row>
    <row r="149" spans="1:30"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row>
    <row r="150" spans="1:30"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row>
    <row r="151" spans="1:30"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row>
    <row r="152" spans="1:30"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row>
    <row r="153" spans="1:30"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row>
    <row r="154" spans="1:30"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row>
    <row r="155" spans="1:30"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row>
    <row r="156" spans="1:30"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row>
    <row r="157" spans="1:30"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row>
    <row r="158" spans="1:30"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row>
    <row r="159" spans="1:30"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row>
    <row r="160" spans="1:30"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row>
    <row r="161" spans="1:30"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row>
    <row r="162" spans="1:30"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row>
    <row r="163" spans="1:30"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row>
    <row r="164" spans="1:30"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row>
    <row r="165" spans="1:30"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row>
    <row r="166" spans="1:30"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row>
    <row r="167" spans="1:30"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row>
    <row r="168" spans="1:30"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row>
    <row r="169" spans="1:30"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row>
    <row r="170" spans="1:30"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row>
    <row r="171" spans="1:30"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row>
    <row r="172" spans="1:30"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row>
    <row r="173" spans="1:30"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row>
    <row r="174" spans="1:30"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row>
    <row r="175" spans="1:30"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row>
    <row r="176" spans="1:30"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row>
    <row r="177" spans="1:30"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row>
    <row r="178" spans="1:30"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row>
    <row r="179" spans="1:30"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row>
    <row r="180" spans="1:30"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row>
    <row r="181" spans="1:30"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row>
    <row r="182" spans="1:30"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row>
    <row r="183" spans="1:30"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row>
    <row r="184" spans="1:30"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row>
    <row r="185" spans="1:30"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row>
    <row r="186" spans="1:30"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row>
    <row r="187" spans="1:30"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row>
    <row r="188" spans="1:30"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row>
    <row r="189" spans="1:30"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row>
    <row r="190" spans="1:30"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row>
    <row r="191" spans="1:30"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row>
    <row r="192" spans="1:30"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row>
    <row r="193" spans="1:30"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row>
    <row r="194" spans="1:30"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row>
    <row r="195" spans="1:30"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row>
    <row r="196" spans="1:30"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row>
    <row r="197" spans="1:30"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row>
    <row r="198" spans="1:30"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row>
    <row r="199" spans="1:30"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row>
    <row r="200" spans="1:30"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row>
    <row r="201" spans="1:30"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row>
    <row r="202" spans="1:30"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row>
    <row r="203" spans="1:30"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row>
    <row r="204" spans="1:30"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row>
    <row r="205" spans="1:30"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row>
    <row r="206" spans="1:30"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row>
    <row r="207" spans="1:30"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row>
    <row r="208" spans="1:30"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row>
    <row r="209" spans="1:30"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row>
    <row r="210" spans="1:30"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row>
    <row r="211" spans="1:30"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row>
    <row r="212" spans="1:30"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row>
    <row r="213" spans="1:30"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row>
    <row r="214" spans="1:30"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row>
    <row r="215" spans="1:30"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row>
    <row r="216" spans="1:30"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row>
    <row r="217" spans="1:30"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row>
    <row r="218" spans="1:30"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row>
    <row r="219" spans="1:30"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row>
    <row r="220" spans="1:30"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row>
    <row r="221" spans="1:30"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row>
    <row r="222" spans="1:30"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row>
    <row r="223" spans="1:30"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row>
    <row r="224" spans="1:30"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row>
    <row r="225" spans="1:30"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row>
    <row r="226" spans="1:30"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row>
    <row r="227" spans="1:30"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row>
    <row r="228" spans="1:30"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row>
    <row r="229" spans="1:30"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row>
    <row r="230" spans="1:30"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0"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row>
    <row r="232" spans="1:30"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row>
    <row r="233" spans="1:30"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row>
    <row r="234" spans="1:30"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row>
    <row r="235" spans="1:30"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row>
    <row r="236" spans="1:30"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row>
    <row r="237" spans="1:30"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row>
    <row r="238" spans="1:30"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row>
    <row r="239" spans="1:30"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row>
    <row r="240" spans="1:30"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row>
    <row r="241" spans="1:30"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row>
    <row r="242" spans="1:30"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row>
    <row r="243" spans="1:30"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row>
    <row r="244" spans="1:30"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row>
    <row r="245" spans="1:30"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row>
    <row r="246" spans="1:30"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row>
    <row r="247" spans="1:30"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row>
    <row r="248" spans="1:30"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row>
    <row r="249" spans="1:30"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row>
    <row r="250" spans="1:30"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row>
    <row r="251" spans="1:30"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row>
    <row r="252" spans="1:30"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row>
    <row r="253" spans="1:30"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0"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row>
    <row r="255" spans="1:30"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row>
    <row r="256" spans="1:30"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row>
    <row r="257" spans="1:30"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row>
    <row r="258" spans="1:30"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row>
    <row r="259" spans="1:30"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row>
    <row r="260" spans="1:30"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row>
    <row r="261" spans="1:30"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row>
    <row r="262" spans="1:30"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row>
    <row r="263" spans="1:30"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row>
    <row r="264" spans="1:30"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row>
    <row r="265" spans="1:30"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row>
    <row r="266" spans="1:30"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row>
    <row r="267" spans="1:30"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row>
    <row r="268" spans="1:30"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row>
    <row r="269" spans="1:30"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row>
    <row r="270" spans="1:30"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row>
    <row r="271" spans="1:30"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row>
    <row r="272" spans="1:30"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row>
    <row r="273" spans="1:30"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row>
    <row r="274" spans="1:30"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row>
    <row r="275" spans="1:30"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row>
    <row r="276" spans="1:30"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row>
    <row r="277" spans="1:30"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30"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row>
    <row r="279" spans="1:30"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row>
    <row r="280" spans="1:30"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row>
    <row r="281" spans="1:30"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row>
    <row r="282" spans="1:30"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row>
    <row r="283" spans="1:30"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row>
    <row r="284" spans="1:30"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row>
    <row r="285" spans="1:30"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row>
    <row r="286" spans="1:30"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row>
    <row r="287" spans="1:30"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row>
    <row r="288" spans="1:30"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row>
    <row r="289" spans="1:30"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row>
    <row r="290" spans="1:30"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row>
    <row r="291" spans="1:30"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row>
    <row r="292" spans="1:30"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row>
    <row r="293" spans="1:30"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row>
    <row r="294" spans="1:30"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row>
    <row r="295" spans="1:30"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row>
    <row r="296" spans="1:30"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row>
    <row r="297" spans="1:30"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row>
    <row r="298" spans="1:30"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row>
    <row r="299" spans="1:30"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row>
    <row r="300" spans="1:30"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row>
    <row r="301" spans="1:30"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row>
    <row r="302" spans="1:30"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row>
    <row r="303" spans="1:30"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row>
    <row r="304" spans="1:30"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row>
    <row r="305" spans="1:30"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row>
    <row r="306" spans="1:30"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row>
    <row r="307" spans="1:30"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row>
    <row r="308" spans="1:30"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row>
    <row r="309" spans="1:30"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row>
    <row r="310" spans="1:30"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row>
    <row r="311" spans="1:30"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row>
    <row r="312" spans="1:30"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row>
    <row r="313" spans="1:30"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row>
    <row r="314" spans="1:30"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row>
    <row r="315" spans="1:30"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row>
    <row r="316" spans="1:30"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row>
    <row r="317" spans="1:30"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row>
    <row r="318" spans="1:30"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row>
    <row r="319" spans="1:30"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row>
    <row r="320" spans="1:30"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row>
    <row r="321" spans="1:30"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row>
    <row r="322" spans="1:30"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row>
    <row r="323" spans="1:30"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row>
    <row r="324" spans="1:30"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row>
    <row r="325" spans="1:30"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row>
    <row r="326" spans="1:30"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row>
    <row r="327" spans="1:30"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row>
    <row r="328" spans="1:30"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row>
    <row r="329" spans="1:30"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row>
    <row r="330" spans="1:30"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row>
    <row r="331" spans="1:30"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row>
    <row r="332" spans="1:30"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row>
    <row r="333" spans="1:30"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row>
    <row r="334" spans="1:30"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row>
    <row r="335" spans="1:30"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row>
    <row r="336" spans="1:30"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row>
    <row r="337" spans="1:30"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row>
    <row r="338" spans="1:30"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row>
    <row r="339" spans="1:30"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row>
    <row r="340" spans="1:30"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row>
    <row r="341" spans="1:30"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row>
    <row r="342" spans="1:30"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row>
    <row r="343" spans="1:30"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row>
    <row r="344" spans="1:30"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row>
    <row r="345" spans="1:30"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row>
    <row r="346" spans="1:30"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row>
    <row r="347" spans="1:30"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row>
    <row r="348" spans="1:30"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row>
    <row r="349" spans="1:30"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row>
    <row r="350" spans="1:30"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row>
    <row r="351" spans="1:30"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row>
    <row r="352" spans="1:30"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row>
    <row r="353" spans="1:30"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row>
    <row r="354" spans="1:30"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row>
    <row r="355" spans="1:30"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row>
    <row r="356" spans="1:30"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row>
    <row r="357" spans="1:30"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row>
    <row r="358" spans="1:30"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row>
    <row r="359" spans="1:30"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row>
    <row r="360" spans="1:30"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row>
    <row r="361" spans="1:30"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row>
    <row r="362" spans="1:30"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row>
    <row r="363" spans="1:30"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row>
    <row r="364" spans="1:30"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row>
    <row r="365" spans="1:30"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row>
    <row r="366" spans="1:30"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row>
    <row r="367" spans="1:30"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row>
    <row r="368" spans="1:30"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row>
    <row r="369" spans="1:30"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row>
    <row r="370" spans="1:30"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row>
    <row r="371" spans="1:30"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row>
    <row r="372" spans="1:30"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row>
    <row r="373" spans="1:30"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row>
    <row r="374" spans="1:30"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row>
    <row r="375" spans="1:30"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row>
    <row r="376" spans="1:30"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row>
    <row r="377" spans="1:30"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row>
    <row r="378" spans="1:30"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row>
    <row r="379" spans="1:30"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row>
    <row r="380" spans="1:30"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row>
    <row r="381" spans="1:30"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row>
    <row r="382" spans="1:30"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row>
    <row r="383" spans="1:30"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row>
    <row r="384" spans="1:30"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row>
    <row r="385" spans="1:30"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row>
    <row r="386" spans="1:30"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row>
    <row r="387" spans="1:30"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row>
    <row r="388" spans="1:30"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row>
    <row r="389" spans="1:30"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row>
    <row r="390" spans="1:30"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row>
    <row r="391" spans="1:30"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row>
    <row r="392" spans="1:30"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row>
    <row r="393" spans="1:30"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row>
    <row r="394" spans="1:30"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row>
    <row r="395" spans="1:30"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row>
    <row r="396" spans="1:30"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row>
    <row r="397" spans="1:30"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row>
    <row r="398" spans="1:30"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row>
    <row r="399" spans="1:30"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row>
    <row r="400" spans="1:30"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row>
    <row r="401" spans="1:30"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row>
    <row r="402" spans="1:30"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row>
    <row r="403" spans="1:30"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row>
    <row r="404" spans="1:30"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row>
    <row r="405" spans="1:30"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row>
    <row r="406" spans="1:30"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row>
    <row r="407" spans="1:30"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row>
    <row r="408" spans="1:30"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row>
    <row r="409" spans="1:30"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row>
    <row r="410" spans="1:30"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row>
    <row r="411" spans="1:30"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row>
    <row r="412" spans="1:30"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row>
    <row r="413" spans="1:30"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row>
    <row r="414" spans="1:30"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row>
    <row r="415" spans="1:30"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row>
    <row r="416" spans="1:30"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row>
    <row r="417" spans="1:30"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row>
    <row r="418" spans="1:30"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row>
    <row r="419" spans="1:30"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row>
    <row r="420" spans="1:30"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row>
    <row r="421" spans="1:30"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row>
    <row r="422" spans="1:30"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row>
    <row r="423" spans="1:30"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row>
    <row r="424" spans="1:30"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row>
    <row r="425" spans="1:30"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row>
    <row r="426" spans="1:30"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row>
    <row r="427" spans="1:30"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row>
    <row r="428" spans="1:30"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row>
    <row r="429" spans="1:30"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row>
    <row r="430" spans="1:30"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row>
    <row r="431" spans="1:30"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row>
    <row r="432" spans="1:30"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row>
    <row r="433" spans="1:30"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row>
    <row r="434" spans="1:30"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row>
    <row r="435" spans="1:30"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row>
    <row r="436" spans="1:30"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row>
    <row r="437" spans="1:30"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row>
    <row r="438" spans="1:30"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row>
    <row r="439" spans="1:30"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row>
    <row r="440" spans="1:30"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row>
    <row r="441" spans="1:30"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row>
    <row r="442" spans="1:30"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row>
    <row r="443" spans="1:30"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row>
    <row r="444" spans="1:30"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row>
    <row r="445" spans="1:30"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row>
    <row r="446" spans="1:30"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row>
    <row r="447" spans="1:30"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row>
    <row r="448" spans="1:30"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row>
    <row r="449" spans="1:30"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row>
    <row r="450" spans="1:30"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row>
    <row r="451" spans="1:30"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row>
    <row r="452" spans="1:30"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row>
    <row r="453" spans="1:30"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row>
    <row r="454" spans="1:30"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row>
    <row r="455" spans="1:30"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row>
    <row r="456" spans="1:30"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row>
    <row r="457" spans="1:30"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row>
    <row r="458" spans="1:30"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row>
    <row r="459" spans="1:30"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row>
    <row r="460" spans="1:30"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row>
    <row r="461" spans="1:30"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row>
    <row r="462" spans="1:30"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row>
    <row r="463" spans="1:30"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row>
    <row r="464" spans="1:30"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row>
    <row r="465" spans="1:30"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row>
    <row r="466" spans="1:30"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row>
    <row r="467" spans="1:30"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row>
    <row r="468" spans="1:30"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row>
    <row r="469" spans="1:30"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row>
    <row r="470" spans="1:30"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row>
    <row r="471" spans="1:30"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row>
    <row r="472" spans="1:30"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row>
    <row r="473" spans="1:30"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row>
    <row r="474" spans="1:30"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row>
    <row r="475" spans="1:30"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row>
    <row r="476" spans="1:30"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row>
    <row r="477" spans="1:30"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row>
    <row r="478" spans="1:30"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row>
    <row r="479" spans="1:30"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row>
    <row r="480" spans="1:30"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row>
    <row r="481" spans="1:30"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row>
    <row r="482" spans="1:30"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row>
    <row r="483" spans="1:30"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row>
    <row r="484" spans="1:30"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row>
    <row r="485" spans="1:30"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row>
    <row r="486" spans="1:30"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row>
    <row r="487" spans="1:30"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row>
    <row r="488" spans="1:30"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row>
    <row r="489" spans="1:30"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row>
    <row r="490" spans="1:30"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row>
    <row r="491" spans="1:30"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row>
    <row r="492" spans="1:30"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row>
    <row r="493" spans="1:30"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row>
    <row r="494" spans="1:30"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row>
    <row r="495" spans="1:30"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row>
    <row r="496" spans="1:30"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row>
    <row r="497" spans="1:30"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row>
    <row r="498" spans="1:30"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row>
    <row r="499" spans="1:30"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row>
    <row r="500" spans="1:30"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row>
    <row r="501" spans="1:30"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row>
    <row r="502" spans="1:30"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row>
    <row r="503" spans="1:30"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row>
    <row r="504" spans="1:30"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row>
    <row r="505" spans="1:30"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row>
    <row r="506" spans="1:30"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row>
    <row r="507" spans="1:30"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row>
    <row r="508" spans="1:30"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row>
    <row r="509" spans="1:30"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0" spans="1:30"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row>
    <row r="511" spans="1:30"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row>
    <row r="512" spans="1:30"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row>
    <row r="513" spans="1:30"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row>
    <row r="514" spans="1:30"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row>
    <row r="515" spans="1:30"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row>
    <row r="516" spans="1:30"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row>
    <row r="517" spans="1:30"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row>
    <row r="518" spans="1:30"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row>
    <row r="519" spans="1:30"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row>
    <row r="520" spans="1:30"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row>
    <row r="521" spans="1:30"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row>
    <row r="522" spans="1:30"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row>
    <row r="523" spans="1:30"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row>
    <row r="524" spans="1:30"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row>
    <row r="525" spans="1:30"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row>
    <row r="526" spans="1:30"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row>
    <row r="527" spans="1:30"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row>
    <row r="528" spans="1:30"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row>
    <row r="529" spans="1:30"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row>
    <row r="530" spans="1:30"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row>
    <row r="531" spans="1:30"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row>
    <row r="532" spans="1:30"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row>
    <row r="533" spans="1:30"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0"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row>
    <row r="535" spans="1:30"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row>
    <row r="536" spans="1:30"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row>
    <row r="537" spans="1:30"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row>
    <row r="538" spans="1:30"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row>
    <row r="539" spans="1:30"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row>
    <row r="540" spans="1:30"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row>
    <row r="541" spans="1:30"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row>
    <row r="542" spans="1:30"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row>
    <row r="543" spans="1:30"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row>
    <row r="544" spans="1:30"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row>
    <row r="545" spans="1:30"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row>
    <row r="546" spans="1:30"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row>
    <row r="547" spans="1:30"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row>
    <row r="548" spans="1:30"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row>
    <row r="549" spans="1:30"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row>
    <row r="550" spans="1:30"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row>
    <row r="551" spans="1:30"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row>
    <row r="552" spans="1:30"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row>
    <row r="553" spans="1:30"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row>
    <row r="554" spans="1:30"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row>
    <row r="555" spans="1:30"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row>
    <row r="556" spans="1:30"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row r="557" spans="1:30"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row>
    <row r="558" spans="1:30"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row>
    <row r="559" spans="1:30"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row>
    <row r="560" spans="1:30"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row>
    <row r="561" spans="1:30"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row>
    <row r="562" spans="1:30"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row>
    <row r="563" spans="1:30"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row>
    <row r="564" spans="1:30"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row>
    <row r="565" spans="1:30"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row>
    <row r="566" spans="1:30"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row>
    <row r="567" spans="1:30"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row>
    <row r="568" spans="1:30"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row>
    <row r="569" spans="1:30"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row>
    <row r="570" spans="1:30"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row>
    <row r="571" spans="1:30"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row>
    <row r="572" spans="1:30"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row>
    <row r="573" spans="1:30"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row>
    <row r="574" spans="1:30"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row>
    <row r="575" spans="1:30"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row>
    <row r="576" spans="1:30"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row>
    <row r="577" spans="1:30"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row>
    <row r="578" spans="1:30"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row>
    <row r="579" spans="1:30"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row>
    <row r="580" spans="1:30"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row>
    <row r="581" spans="1:30"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row>
    <row r="582" spans="1:30"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row>
    <row r="583" spans="1:30"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row>
    <row r="584" spans="1:30"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row>
    <row r="585" spans="1:30"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row>
    <row r="586" spans="1:30"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row>
    <row r="587" spans="1:30"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row>
    <row r="588" spans="1:30"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row>
    <row r="589" spans="1:30"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row>
    <row r="590" spans="1:30"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row>
    <row r="591" spans="1:30"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row>
    <row r="592" spans="1:30"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row>
    <row r="593" spans="1:30"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row>
    <row r="594" spans="1:30"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row>
    <row r="595" spans="1:30"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row>
    <row r="596" spans="1:30"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row>
    <row r="597" spans="1:30"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row>
    <row r="598" spans="1:30"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row>
    <row r="599" spans="1:30"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row>
    <row r="600" spans="1:30"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row>
    <row r="601" spans="1:30"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row>
    <row r="602" spans="1:30"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row>
    <row r="603" spans="1:30"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row>
    <row r="604" spans="1:30"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row>
    <row r="605" spans="1:30"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row>
    <row r="606" spans="1:30"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row>
    <row r="607" spans="1:30"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row>
    <row r="608" spans="1:30"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row>
    <row r="609" spans="1:30"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row>
    <row r="610" spans="1:30"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row>
    <row r="611" spans="1:30"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row>
    <row r="612" spans="1:30"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row>
    <row r="613" spans="1:30"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row>
    <row r="614" spans="1:30"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row>
    <row r="615" spans="1:30"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row>
    <row r="616" spans="1:30"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row>
    <row r="617" spans="1:30"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row>
    <row r="618" spans="1:30"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row>
    <row r="619" spans="1:30"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row>
    <row r="620" spans="1:30"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row>
    <row r="621" spans="1:30"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row>
    <row r="622" spans="1:30"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row>
    <row r="623" spans="1:30"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row>
    <row r="624" spans="1:30"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row>
    <row r="625" spans="1:30"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row>
    <row r="626" spans="1:30"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row>
    <row r="627" spans="1:30"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row>
    <row r="628" spans="1:30"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row>
    <row r="629" spans="1:30"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row>
    <row r="630" spans="1:30"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row>
    <row r="631" spans="1:30"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row>
    <row r="632" spans="1:30"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row>
    <row r="633" spans="1:30"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row>
    <row r="634" spans="1:30"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row>
    <row r="635" spans="1:30"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row>
    <row r="636" spans="1:30"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row>
    <row r="637" spans="1:30"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row>
    <row r="638" spans="1:30"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row>
    <row r="639" spans="1:30"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row>
    <row r="640" spans="1:30"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row>
    <row r="641" spans="1:30"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row>
    <row r="642" spans="1:30"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row>
    <row r="643" spans="1:30"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row>
    <row r="644" spans="1:30"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row>
    <row r="645" spans="1:30"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row>
    <row r="646" spans="1:30"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row>
    <row r="647" spans="1:30"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row>
    <row r="648" spans="1:30"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row>
    <row r="649" spans="1:30"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row>
    <row r="650" spans="1:30"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row>
    <row r="651" spans="1:30"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row>
    <row r="652" spans="1:30"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row>
    <row r="653" spans="1:30"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row>
    <row r="654" spans="1:30"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row>
    <row r="655" spans="1:30"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row>
    <row r="656" spans="1:30"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row>
    <row r="657" spans="1:30"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row>
    <row r="658" spans="1:30"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row>
    <row r="659" spans="1:30"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row>
    <row r="660" spans="1:30"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row>
    <row r="661" spans="1:30"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row>
    <row r="662" spans="1:30"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row>
    <row r="663" spans="1:30"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row>
    <row r="664" spans="1:30"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row>
    <row r="665" spans="1:30"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row>
    <row r="666" spans="1:30"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row>
    <row r="667" spans="1:30"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row>
    <row r="668" spans="1:30"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row>
    <row r="669" spans="1:30"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row>
    <row r="670" spans="1:30"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row>
    <row r="671" spans="1:30"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row>
    <row r="672" spans="1:30"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row>
    <row r="673" spans="1:30"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row>
    <row r="674" spans="1:30"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row>
    <row r="675" spans="1:30"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row>
    <row r="676" spans="1:30"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row>
    <row r="677" spans="1:30"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row>
    <row r="678" spans="1:30"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row>
    <row r="679" spans="1:30"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row>
    <row r="680" spans="1:30"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row>
    <row r="681" spans="1:30"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row>
    <row r="682" spans="1:30"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row>
    <row r="683" spans="1:30"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row>
    <row r="684" spans="1:30"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row>
    <row r="685" spans="1:30"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row>
    <row r="686" spans="1:30"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row>
    <row r="687" spans="1:30"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row>
    <row r="688" spans="1:30"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row>
    <row r="689" spans="1:30"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row>
    <row r="690" spans="1:30"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row>
    <row r="691" spans="1:30"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row>
    <row r="692" spans="1:30"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row>
    <row r="693" spans="1:30"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row>
    <row r="694" spans="1:30"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row>
    <row r="695" spans="1:30"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row>
    <row r="696" spans="1:30"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row>
    <row r="697" spans="1:30"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row>
    <row r="698" spans="1:30"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row>
    <row r="699" spans="1:30"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row>
    <row r="700" spans="1:30"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row>
    <row r="701" spans="1:30"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row>
    <row r="702" spans="1:30"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row>
    <row r="703" spans="1:30"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row>
    <row r="704" spans="1:30"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row>
    <row r="705" spans="1:30"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row>
    <row r="706" spans="1:30"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row>
    <row r="707" spans="1:30"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row>
    <row r="708" spans="1:30"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row>
    <row r="709" spans="1:30"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row>
    <row r="710" spans="1:30"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row>
    <row r="711" spans="1:30"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row>
    <row r="712" spans="1:30"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row>
    <row r="713" spans="1:30"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row>
    <row r="714" spans="1:30"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row>
    <row r="715" spans="1:30"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row>
    <row r="716" spans="1:30"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row>
    <row r="717" spans="1:30"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row>
    <row r="718" spans="1:30"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row>
    <row r="719" spans="1:30"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row>
    <row r="720" spans="1:30"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row>
    <row r="721" spans="1:30"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row>
    <row r="722" spans="1:30"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row>
    <row r="723" spans="1:30"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row>
    <row r="724" spans="1:30"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row>
    <row r="725" spans="1:30"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row>
    <row r="726" spans="1:30"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row>
    <row r="727" spans="1:30"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row>
    <row r="728" spans="1:30"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row>
    <row r="729" spans="1:30"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row>
    <row r="730" spans="1:30"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row>
    <row r="731" spans="1:30"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row>
    <row r="732" spans="1:30"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row>
    <row r="733" spans="1:30"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row>
    <row r="734" spans="1:30"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row>
    <row r="735" spans="1:30"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row>
    <row r="736" spans="1:30"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row>
    <row r="737" spans="1:30"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row>
    <row r="738" spans="1:30"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row>
    <row r="739" spans="1:30"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row>
    <row r="740" spans="1:30"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row>
    <row r="741" spans="1:30"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row>
    <row r="742" spans="1:30"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row>
    <row r="743" spans="1:30"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row>
    <row r="744" spans="1:30"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row>
    <row r="745" spans="1:30"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row>
    <row r="746" spans="1:30"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row>
    <row r="747" spans="1:30"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row>
    <row r="748" spans="1:30"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row>
    <row r="749" spans="1:30"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row>
    <row r="750" spans="1:30"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row>
    <row r="751" spans="1:30"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row>
    <row r="752" spans="1:30"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row>
    <row r="753" spans="1:30"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row>
    <row r="754" spans="1:30"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row>
    <row r="755" spans="1:30"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row>
    <row r="756" spans="1:30"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row>
    <row r="757" spans="1:30"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row>
    <row r="758" spans="1:30"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row>
    <row r="759" spans="1:30"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row>
    <row r="760" spans="1:30"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row>
    <row r="761" spans="1:30"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row>
    <row r="762" spans="1:30"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row>
    <row r="763" spans="1:30"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row>
    <row r="764" spans="1:30"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row>
    <row r="765" spans="1:30"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row>
    <row r="766" spans="1:30"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row>
    <row r="767" spans="1:30"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row>
    <row r="768" spans="1:30"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row>
    <row r="769" spans="1:30"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row>
    <row r="770" spans="1:30"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row>
    <row r="771" spans="1:30"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row>
    <row r="772" spans="1:30"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row>
    <row r="773" spans="1:30"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row>
    <row r="774" spans="1:30"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row>
    <row r="775" spans="1:30"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row>
    <row r="776" spans="1:30"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row>
    <row r="777" spans="1:30"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row>
    <row r="778" spans="1:30"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row>
    <row r="779" spans="1:30"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row>
    <row r="780" spans="1:30"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row>
    <row r="781" spans="1:30"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row>
    <row r="782" spans="1:30"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row>
    <row r="783" spans="1:30"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row>
    <row r="784" spans="1:30"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row>
    <row r="785" spans="1:30"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row>
    <row r="786" spans="1:30"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row>
    <row r="787" spans="1:30"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row>
    <row r="788" spans="1:30"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row>
    <row r="789" spans="1:30"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row>
    <row r="790" spans="1:30"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row>
    <row r="791" spans="1:30"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row>
    <row r="792" spans="1:30"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row>
    <row r="793" spans="1:30"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row>
    <row r="794" spans="1:30"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row>
    <row r="795" spans="1:30"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row>
    <row r="796" spans="1:30"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row>
    <row r="797" spans="1:30"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row>
    <row r="798" spans="1:30"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row>
    <row r="799" spans="1:30"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row>
    <row r="800" spans="1:30"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row>
    <row r="801" spans="1:30"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row>
    <row r="802" spans="1:30"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row>
    <row r="803" spans="1:30"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row>
    <row r="804" spans="1:30"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row>
    <row r="805" spans="1:30"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row>
    <row r="806" spans="1:30"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row>
    <row r="807" spans="1:30"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row>
    <row r="808" spans="1:30"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row>
    <row r="809" spans="1:30"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row>
    <row r="810" spans="1:30"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row>
    <row r="811" spans="1:30"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row>
    <row r="812" spans="1:30"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row>
    <row r="813" spans="1:30"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row>
    <row r="814" spans="1:30"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row>
    <row r="815" spans="1:30"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row>
    <row r="816" spans="1:30"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row>
    <row r="817" spans="1:30"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row>
    <row r="818" spans="1:30"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row>
    <row r="819" spans="1:30"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row>
    <row r="820" spans="1:30"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row>
    <row r="821" spans="1:30"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row>
    <row r="822" spans="1:30"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row>
    <row r="823" spans="1:30"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row>
    <row r="824" spans="1:30"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row>
    <row r="825" spans="1:30"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row>
    <row r="826" spans="1:30"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row>
    <row r="827" spans="1:30"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row>
    <row r="828" spans="1:30"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row>
    <row r="829" spans="1:30"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row>
    <row r="830" spans="1:30"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row>
    <row r="831" spans="1:30"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row>
    <row r="832" spans="1:30"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row>
    <row r="833" spans="1:30"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row>
    <row r="834" spans="1:30"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row>
    <row r="835" spans="1:30"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row>
    <row r="836" spans="1:30"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row>
    <row r="837" spans="1:30"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row>
    <row r="838" spans="1:30"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row>
    <row r="839" spans="1:30"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row>
    <row r="840" spans="1:30"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row>
    <row r="841" spans="1:30"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row>
    <row r="842" spans="1:30"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row>
    <row r="843" spans="1:30"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row>
    <row r="844" spans="1:30"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row>
    <row r="845" spans="1:30"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row>
    <row r="846" spans="1:30"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row>
    <row r="847" spans="1:30"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row>
    <row r="848" spans="1:30"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row>
    <row r="849" spans="1:30"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row>
    <row r="850" spans="1:30"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row>
    <row r="851" spans="1:30"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row>
    <row r="852" spans="1:30"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row>
    <row r="853" spans="1:30"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row>
    <row r="854" spans="1:30"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row>
    <row r="855" spans="1:30"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row>
    <row r="856" spans="1:30"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row>
    <row r="857" spans="1:30"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row>
    <row r="858" spans="1:30"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row>
    <row r="859" spans="1:30"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row>
    <row r="860" spans="1:30"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row>
    <row r="861" spans="1:30"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row>
    <row r="862" spans="1:30"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row>
    <row r="863" spans="1:30"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row>
    <row r="864" spans="1:30"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row>
    <row r="865" spans="1:30"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row>
    <row r="866" spans="1:30"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row>
    <row r="867" spans="1:30"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row>
    <row r="868" spans="1:30"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row>
    <row r="869" spans="1:30"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row>
    <row r="870" spans="1:30"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row>
    <row r="871" spans="1:30"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row>
    <row r="872" spans="1:30"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row>
    <row r="873" spans="1:30"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row>
    <row r="874" spans="1:30"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row>
    <row r="875" spans="1:30"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row>
    <row r="876" spans="1:30"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row>
    <row r="877" spans="1:30"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row>
    <row r="878" spans="1:30"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row>
    <row r="879" spans="1:30"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row>
    <row r="880" spans="1:30"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row>
    <row r="881" spans="1:30"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row>
    <row r="882" spans="1:30"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row>
    <row r="883" spans="1:30"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row>
    <row r="884" spans="1:30"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row>
    <row r="885" spans="1:30"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row>
    <row r="886" spans="1:30"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row>
    <row r="887" spans="1:30"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row>
    <row r="888" spans="1:30"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row>
    <row r="889" spans="1:30"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row>
    <row r="890" spans="1:30"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row>
    <row r="891" spans="1:30"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row>
    <row r="892" spans="1:30"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row>
    <row r="893" spans="1:30"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row>
    <row r="894" spans="1:30"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row>
    <row r="895" spans="1:30"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row>
    <row r="896" spans="1:30"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row>
    <row r="897" spans="1:30"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row>
    <row r="898" spans="1:30"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row>
    <row r="899" spans="1:30"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row>
    <row r="900" spans="1:30"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row>
    <row r="901" spans="1:30"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row>
    <row r="902" spans="1:30"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row>
    <row r="903" spans="1:30"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row>
    <row r="904" spans="1:30"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row>
    <row r="905" spans="1:30"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row>
    <row r="906" spans="1:30"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row>
    <row r="907" spans="1:30"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row>
    <row r="908" spans="1:30"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row>
    <row r="909" spans="1:30"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row>
    <row r="910" spans="1:30"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row>
    <row r="911" spans="1:30"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row>
    <row r="912" spans="1:30"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row>
    <row r="913" spans="1:30"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row>
    <row r="914" spans="1:30"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row>
    <row r="915" spans="1:30"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row>
    <row r="916" spans="1:30"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row>
    <row r="917" spans="1:30"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row>
    <row r="918" spans="1:30"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row>
    <row r="919" spans="1:30"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row>
    <row r="920" spans="1:30"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row>
    <row r="921" spans="1:30"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row>
    <row r="922" spans="1:30"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row>
    <row r="923" spans="1:30"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row>
    <row r="924" spans="1:30"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row>
    <row r="925" spans="1:30"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row>
    <row r="926" spans="1:30"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row>
    <row r="927" spans="1:30"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row>
    <row r="928" spans="1:30"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row>
    <row r="929" spans="1:30"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row>
    <row r="930" spans="1:30"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row>
    <row r="931" spans="1:30"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row>
    <row r="932" spans="1:30"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row>
    <row r="933" spans="1:30"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row>
    <row r="934" spans="1:30"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row>
    <row r="935" spans="1:30"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row>
    <row r="936" spans="1:30"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row>
    <row r="937" spans="1:30"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row>
    <row r="938" spans="1:30"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row>
    <row r="939" spans="1:30"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row>
    <row r="940" spans="1:30"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row>
    <row r="941" spans="1:30"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row>
    <row r="942" spans="1:30"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row>
    <row r="943" spans="1:30"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row>
    <row r="944" spans="1:30"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row>
    <row r="945" spans="1:30"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row>
    <row r="946" spans="1:30"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row>
    <row r="947" spans="1:30"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row>
    <row r="948" spans="1:30"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row>
    <row r="949" spans="1:30"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row>
    <row r="950" spans="1:30"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row>
    <row r="951" spans="1:30"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row>
    <row r="952" spans="1:30"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row>
    <row r="953" spans="1:30"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row>
    <row r="954" spans="1:30"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row>
    <row r="955" spans="1:30"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row>
    <row r="956" spans="1:30"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row>
    <row r="957" spans="1:30"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row>
    <row r="958" spans="1:30"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row>
    <row r="959" spans="1:30"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row>
    <row r="960" spans="1:30"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row>
    <row r="961" spans="1:30"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row>
    <row r="962" spans="1:30"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row>
    <row r="963" spans="1:30"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row>
    <row r="964" spans="1:30"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row>
    <row r="965" spans="1:30"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row>
    <row r="966" spans="1:30"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row>
    <row r="967" spans="1:30"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row>
    <row r="968" spans="1:30"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row>
    <row r="969" spans="1:30"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row>
    <row r="970" spans="1:30"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row>
    <row r="971" spans="1:30"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row>
    <row r="972" spans="1:30"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row>
    <row r="973" spans="1:30"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row>
    <row r="974" spans="1:30"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row>
    <row r="975" spans="1:30"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row>
    <row r="976" spans="1:30"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row>
    <row r="977" spans="1:30"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row>
    <row r="978" spans="1:30"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row>
    <row r="979" spans="1:30"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row>
    <row r="980" spans="1:30"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row>
    <row r="981" spans="1:30"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row>
    <row r="982" spans="1:30"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row>
    <row r="983" spans="1:30"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row>
    <row r="984" spans="1:30"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row>
    <row r="985" spans="1:30"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row>
    <row r="986" spans="1:30"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row>
    <row r="987" spans="1:30"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row>
    <row r="988" spans="1:30"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row>
    <row r="989" spans="1:30"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row>
    <row r="990" spans="1:30"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row>
    <row r="991" spans="1:30"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row>
    <row r="992" spans="1:30"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row>
    <row r="993" spans="1:30"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row>
    <row r="994" spans="1:30"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row>
    <row r="995" spans="1:30"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row>
    <row r="996" spans="1:30"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row>
    <row r="997" spans="1:30"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row>
    <row r="998" spans="1:30"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row>
    <row r="999" spans="1:30"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row>
    <row r="1000" spans="1:30"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row>
  </sheetData>
  <sheetProtection algorithmName="SHA-512" hashValue="xwyDOXjJhgHxcFTE1S01VBYGylk/2OAK8JXqklgeXQXc8XjZQYiC2v5VCfWMkhUSH8OGlhoDnqWu4dJs4rRWvg==" saltValue="e8mhppaFdDQWqC2R7QlkYQ==" spinCount="100000" sheet="1" objects="1" scenarios="1"/>
  <mergeCells count="1">
    <mergeCell ref="B41:C41"/>
  </mergeCells>
  <pageMargins left="0.7" right="0.7" top="0.75" bottom="0.75" header="0" footer="0"/>
  <pageSetup orientation="landscape"/>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defaultColWidth="16.83203125" defaultRowHeight="15" customHeight="1" x14ac:dyDescent="0.2"/>
  <cols>
    <col min="1" max="2" width="9.33203125" customWidth="1"/>
    <col min="3" max="3" width="20.83203125" customWidth="1"/>
    <col min="4" max="4" width="15.5" customWidth="1"/>
    <col min="5" max="5" width="12.6640625" customWidth="1"/>
    <col min="6" max="6" width="9.33203125" customWidth="1"/>
    <col min="7" max="7" width="18.33203125" customWidth="1"/>
    <col min="8" max="8" width="9.33203125" customWidth="1"/>
    <col min="9" max="9" width="11" customWidth="1"/>
    <col min="10" max="10" width="12.6640625" customWidth="1"/>
    <col min="11" max="19" width="9.33203125" customWidth="1"/>
    <col min="20" max="26" width="8" customWidth="1"/>
  </cols>
  <sheetData>
    <row r="1" spans="1:26" x14ac:dyDescent="0.25">
      <c r="A1" s="4" t="s">
        <v>1259</v>
      </c>
      <c r="B1" s="260"/>
      <c r="C1" s="4"/>
      <c r="D1" s="4"/>
      <c r="E1" s="4"/>
      <c r="F1" s="4"/>
      <c r="G1" s="3" t="s">
        <v>268</v>
      </c>
      <c r="H1" s="4"/>
      <c r="I1" s="4"/>
      <c r="J1" s="4"/>
      <c r="K1" s="4"/>
      <c r="L1" s="4"/>
      <c r="M1" s="4"/>
      <c r="N1" s="4"/>
      <c r="O1" s="4"/>
      <c r="P1" s="4"/>
      <c r="Q1" s="4"/>
      <c r="R1" s="4"/>
      <c r="S1" s="4"/>
      <c r="T1" s="4"/>
      <c r="U1" s="4"/>
      <c r="V1" s="4"/>
      <c r="W1" s="4"/>
      <c r="X1" s="4"/>
      <c r="Y1" s="4"/>
      <c r="Z1" s="4"/>
    </row>
    <row r="2" spans="1:26" ht="125.25" customHeight="1" x14ac:dyDescent="0.25">
      <c r="A2" s="4"/>
      <c r="B2" s="1338"/>
      <c r="C2" s="1338"/>
      <c r="D2" s="1100"/>
      <c r="E2" s="1100"/>
      <c r="F2" s="1100"/>
      <c r="G2" s="1100"/>
      <c r="H2" s="1339"/>
      <c r="I2" s="4"/>
      <c r="J2" s="1339"/>
      <c r="K2" s="1339"/>
      <c r="L2" s="1339"/>
      <c r="M2" s="4"/>
      <c r="N2" s="4"/>
      <c r="O2" s="4"/>
      <c r="P2" s="4"/>
      <c r="Q2" s="4"/>
      <c r="R2" s="4"/>
      <c r="S2" s="4"/>
      <c r="T2" s="4"/>
      <c r="U2" s="4"/>
      <c r="V2" s="4"/>
      <c r="W2" s="4"/>
      <c r="X2" s="4"/>
      <c r="Y2" s="4"/>
      <c r="Z2" s="4"/>
    </row>
    <row r="3" spans="1:26" x14ac:dyDescent="0.25">
      <c r="A3" s="4"/>
      <c r="B3" s="1340"/>
      <c r="C3" s="1341"/>
      <c r="D3" s="1343" t="s">
        <v>628</v>
      </c>
      <c r="E3" s="4"/>
      <c r="F3" s="4"/>
      <c r="G3" s="4"/>
      <c r="H3" s="4"/>
      <c r="I3" s="4"/>
      <c r="J3" s="4"/>
      <c r="K3" s="4"/>
      <c r="L3" s="4"/>
      <c r="M3" s="4"/>
      <c r="N3" s="4"/>
      <c r="O3" s="4"/>
      <c r="P3" s="4"/>
      <c r="Q3" s="4"/>
      <c r="R3" s="4"/>
      <c r="S3" s="4"/>
      <c r="T3" s="4"/>
      <c r="U3" s="4"/>
      <c r="V3" s="4"/>
      <c r="W3" s="4"/>
      <c r="X3" s="4"/>
      <c r="Y3" s="4"/>
      <c r="Z3" s="4"/>
    </row>
    <row r="4" spans="1:26" ht="18" customHeight="1" x14ac:dyDescent="0.35">
      <c r="A4" s="4"/>
      <c r="B4" s="1344"/>
      <c r="C4" s="107"/>
      <c r="D4" s="1345" t="s">
        <v>1260</v>
      </c>
      <c r="E4" s="4"/>
      <c r="F4" s="4"/>
      <c r="G4" s="4"/>
      <c r="H4" s="4"/>
      <c r="I4" s="4"/>
      <c r="J4" s="4"/>
      <c r="K4" s="4"/>
      <c r="L4" s="4"/>
      <c r="M4" s="4"/>
      <c r="N4" s="4"/>
      <c r="O4" s="4"/>
      <c r="P4" s="4"/>
      <c r="Q4" s="4"/>
      <c r="R4" s="4"/>
      <c r="S4" s="4"/>
      <c r="T4" s="4"/>
      <c r="U4" s="4"/>
      <c r="V4" s="4"/>
      <c r="W4" s="4"/>
      <c r="X4" s="4"/>
      <c r="Y4" s="4"/>
      <c r="Z4" s="4"/>
    </row>
    <row r="5" spans="1:26" x14ac:dyDescent="0.25">
      <c r="A5" s="4"/>
      <c r="B5" s="1344"/>
      <c r="C5" s="105"/>
      <c r="D5" s="1346"/>
      <c r="E5" s="4"/>
      <c r="F5" s="4"/>
      <c r="G5" s="4"/>
      <c r="H5" s="4"/>
      <c r="I5" s="4"/>
      <c r="J5" s="4"/>
      <c r="K5" s="4"/>
      <c r="L5" s="4"/>
      <c r="M5" s="4"/>
      <c r="N5" s="4"/>
      <c r="O5" s="4"/>
      <c r="P5" s="4"/>
      <c r="Q5" s="4"/>
      <c r="R5" s="4"/>
      <c r="S5" s="4"/>
      <c r="T5" s="4"/>
      <c r="U5" s="4"/>
      <c r="V5" s="4"/>
      <c r="W5" s="4"/>
      <c r="X5" s="4"/>
      <c r="Y5" s="4"/>
      <c r="Z5" s="4"/>
    </row>
    <row r="6" spans="1:26" x14ac:dyDescent="0.25">
      <c r="A6" s="4"/>
      <c r="B6" s="1347"/>
      <c r="C6" s="106"/>
      <c r="D6" s="1346"/>
      <c r="E6" s="4"/>
      <c r="F6" s="4"/>
      <c r="G6" s="4"/>
      <c r="H6" s="4"/>
      <c r="I6" s="4"/>
      <c r="J6" s="4"/>
      <c r="K6" s="4"/>
      <c r="L6" s="4"/>
      <c r="M6" s="4"/>
      <c r="N6" s="4"/>
      <c r="O6" s="4"/>
      <c r="P6" s="4"/>
      <c r="Q6" s="4"/>
      <c r="R6" s="4"/>
      <c r="S6" s="4"/>
      <c r="T6" s="4"/>
      <c r="U6" s="4"/>
      <c r="V6" s="4"/>
      <c r="W6" s="4"/>
      <c r="X6" s="4"/>
      <c r="Y6" s="4"/>
      <c r="Z6" s="4"/>
    </row>
    <row r="7" spans="1:26" x14ac:dyDescent="0.25">
      <c r="A7" s="4"/>
      <c r="B7" s="1349">
        <v>2011</v>
      </c>
      <c r="C7" s="1350" t="s">
        <v>1261</v>
      </c>
      <c r="D7" s="1346">
        <v>3.3000000000000002E-2</v>
      </c>
      <c r="E7" s="98"/>
      <c r="F7" s="4"/>
      <c r="G7" s="4"/>
      <c r="H7" s="4"/>
      <c r="I7" s="4"/>
      <c r="J7" s="4"/>
      <c r="K7" s="4"/>
      <c r="L7" s="4"/>
      <c r="M7" s="4"/>
      <c r="N7" s="4"/>
      <c r="O7" s="4"/>
      <c r="P7" s="4"/>
      <c r="Q7" s="4"/>
      <c r="R7" s="4"/>
      <c r="S7" s="4"/>
      <c r="T7" s="4"/>
      <c r="U7" s="4"/>
      <c r="V7" s="4"/>
      <c r="W7" s="4"/>
      <c r="X7" s="4"/>
      <c r="Y7" s="4"/>
      <c r="Z7" s="4"/>
    </row>
    <row r="8" spans="1:26" x14ac:dyDescent="0.25">
      <c r="A8" s="4"/>
      <c r="B8" s="1355"/>
      <c r="C8" s="1356"/>
      <c r="D8" s="1358"/>
      <c r="E8" s="4"/>
      <c r="F8" s="4"/>
      <c r="G8" s="4"/>
      <c r="H8" s="4"/>
      <c r="I8" s="4"/>
      <c r="J8" s="4"/>
      <c r="K8" s="4"/>
      <c r="L8" s="4"/>
      <c r="M8" s="4"/>
      <c r="N8" s="4"/>
      <c r="O8" s="4"/>
      <c r="P8" s="4"/>
      <c r="Q8" s="4"/>
      <c r="R8" s="4"/>
      <c r="S8" s="4"/>
      <c r="T8" s="4"/>
      <c r="U8" s="4"/>
      <c r="V8" s="4"/>
      <c r="W8" s="4"/>
      <c r="X8" s="4"/>
      <c r="Y8" s="4"/>
      <c r="Z8" s="4"/>
    </row>
    <row r="9" spans="1:26" x14ac:dyDescent="0.25">
      <c r="A9" s="4"/>
      <c r="B9" s="4"/>
      <c r="C9" s="4"/>
      <c r="D9" s="4"/>
      <c r="E9" s="4"/>
      <c r="F9" s="4"/>
      <c r="G9" s="4"/>
      <c r="H9" s="4"/>
      <c r="I9" s="4"/>
      <c r="J9" s="4"/>
      <c r="K9" s="4"/>
      <c r="L9" s="4"/>
      <c r="M9" s="4"/>
      <c r="N9" s="4"/>
      <c r="O9" s="4"/>
      <c r="P9" s="4"/>
      <c r="Q9" s="4"/>
      <c r="R9" s="4"/>
      <c r="S9" s="4"/>
      <c r="T9" s="4"/>
      <c r="U9" s="4"/>
      <c r="V9" s="4"/>
      <c r="W9" s="4"/>
      <c r="X9" s="4"/>
      <c r="Y9" s="4"/>
      <c r="Z9" s="4"/>
    </row>
    <row r="10" spans="1:26" x14ac:dyDescent="0.25">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x14ac:dyDescent="0.25">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x14ac:dyDescent="0.25">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x14ac:dyDescent="0.25">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x14ac:dyDescent="0.25">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x14ac:dyDescent="0.25">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x14ac:dyDescent="0.25">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x14ac:dyDescent="0.25">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x14ac:dyDescent="0.25">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x14ac:dyDescent="0.25">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x14ac:dyDescent="0.25">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x14ac:dyDescent="0.25">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x14ac:dyDescent="0.25">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SVZIJgcWKugUXjcPafN454eGrp2lXl7d2UD4C15vpxDnDp5lWIBfVKwR+F7mq3fbTOKOBcyrekJQfox5Sb6O5w==" saltValue="lWjgM0GDdKzSKAnv6HonmA==" spinCount="100000" sheet="1" objects="1" scenarios="1"/>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defaultColWidth="16.83203125" defaultRowHeight="15" customHeight="1" x14ac:dyDescent="0.2"/>
  <cols>
    <col min="1" max="1" width="3.6640625" customWidth="1"/>
    <col min="2" max="2" width="30.33203125" customWidth="1"/>
    <col min="3" max="3" width="17.1640625" customWidth="1"/>
    <col min="4" max="4" width="21.6640625" customWidth="1"/>
    <col min="5" max="5" width="18.1640625" customWidth="1"/>
    <col min="6" max="6" width="17.83203125" customWidth="1"/>
    <col min="7" max="7" width="18.83203125" customWidth="1"/>
    <col min="8" max="9" width="18" customWidth="1"/>
    <col min="11" max="11" width="20.1640625" customWidth="1"/>
    <col min="12" max="12" width="9.33203125" customWidth="1"/>
    <col min="13" max="26" width="8" customWidth="1"/>
  </cols>
  <sheetData>
    <row r="1" spans="1:26" x14ac:dyDescent="0.25">
      <c r="A1" s="4" t="s">
        <v>1262</v>
      </c>
      <c r="B1" s="260"/>
      <c r="C1" s="4"/>
      <c r="D1" s="4"/>
      <c r="E1" s="3" t="s">
        <v>268</v>
      </c>
      <c r="F1" s="4"/>
      <c r="G1" s="4"/>
      <c r="H1" s="4"/>
      <c r="I1" s="4"/>
      <c r="J1" s="4"/>
      <c r="K1" s="4"/>
      <c r="L1" s="4"/>
      <c r="M1" s="4"/>
      <c r="N1" s="4"/>
      <c r="O1" s="4"/>
      <c r="P1" s="4"/>
      <c r="Q1" s="4"/>
      <c r="R1" s="4"/>
      <c r="S1" s="4"/>
      <c r="T1" s="4"/>
      <c r="U1" s="4"/>
      <c r="V1" s="4"/>
      <c r="W1" s="4"/>
      <c r="X1" s="4"/>
      <c r="Y1" s="4"/>
      <c r="Z1" s="4"/>
    </row>
    <row r="2" spans="1:26" ht="171.75" customHeight="1" x14ac:dyDescent="0.25">
      <c r="A2" s="4"/>
      <c r="B2" s="4"/>
      <c r="C2" s="4"/>
      <c r="D2" s="4"/>
      <c r="E2" s="4"/>
      <c r="F2" s="4"/>
      <c r="G2" s="4"/>
      <c r="H2" s="4"/>
      <c r="I2" s="4"/>
      <c r="J2" s="4"/>
      <c r="K2" s="4"/>
      <c r="L2" s="4"/>
      <c r="M2" s="4"/>
      <c r="N2" s="4"/>
      <c r="O2" s="4"/>
      <c r="P2" s="4"/>
      <c r="Q2" s="4"/>
      <c r="R2" s="4"/>
      <c r="S2" s="4"/>
      <c r="T2" s="4"/>
      <c r="U2" s="4"/>
      <c r="V2" s="4"/>
      <c r="W2" s="4"/>
      <c r="X2" s="4"/>
      <c r="Y2" s="4"/>
      <c r="Z2" s="4"/>
    </row>
    <row r="3" spans="1:26" x14ac:dyDescent="0.25">
      <c r="A3" s="4"/>
      <c r="B3" s="1"/>
      <c r="C3" s="4"/>
      <c r="D3" s="4"/>
      <c r="E3" s="1030"/>
      <c r="F3" s="4"/>
      <c r="G3" s="1030"/>
      <c r="H3" s="540"/>
      <c r="I3" s="1037"/>
      <c r="J3" s="1460"/>
      <c r="K3" s="4"/>
      <c r="L3" s="4"/>
      <c r="M3" s="4"/>
      <c r="N3" s="4"/>
      <c r="O3" s="4"/>
      <c r="P3" s="4"/>
      <c r="Q3" s="4"/>
      <c r="R3" s="4"/>
      <c r="S3" s="4"/>
      <c r="T3" s="4"/>
      <c r="U3" s="4"/>
      <c r="V3" s="4"/>
      <c r="W3" s="4"/>
      <c r="X3" s="4"/>
      <c r="Y3" s="4"/>
      <c r="Z3" s="4"/>
    </row>
    <row r="4" spans="1:26" x14ac:dyDescent="0.25">
      <c r="A4" s="4"/>
      <c r="B4" s="1461" t="s">
        <v>1263</v>
      </c>
      <c r="C4" s="1462"/>
      <c r="D4" s="1461">
        <v>2011</v>
      </c>
      <c r="E4" s="1463"/>
      <c r="F4" s="1462"/>
      <c r="G4" s="1030"/>
      <c r="H4" s="4"/>
      <c r="I4" s="4"/>
      <c r="J4" s="4"/>
      <c r="K4" s="4"/>
      <c r="L4" s="4"/>
      <c r="M4" s="4"/>
      <c r="N4" s="4"/>
      <c r="O4" s="4"/>
      <c r="P4" s="4"/>
      <c r="Q4" s="4"/>
      <c r="R4" s="4"/>
      <c r="S4" s="4"/>
      <c r="T4" s="4"/>
      <c r="U4" s="4"/>
      <c r="V4" s="4"/>
      <c r="W4" s="4"/>
      <c r="X4" s="4"/>
      <c r="Y4" s="4"/>
      <c r="Z4" s="4"/>
    </row>
    <row r="5" spans="1:26" x14ac:dyDescent="0.25">
      <c r="A5" s="4"/>
      <c r="B5" s="4"/>
      <c r="C5" s="4"/>
      <c r="D5" s="4"/>
      <c r="E5" s="1030"/>
      <c r="F5" s="4"/>
      <c r="G5" s="1030"/>
      <c r="H5" s="4"/>
      <c r="I5" s="4"/>
      <c r="J5" s="4"/>
      <c r="K5" s="4"/>
      <c r="L5" s="4"/>
      <c r="M5" s="4"/>
      <c r="N5" s="4"/>
      <c r="O5" s="4"/>
      <c r="P5" s="4"/>
      <c r="Q5" s="4"/>
      <c r="R5" s="4"/>
      <c r="S5" s="4"/>
      <c r="T5" s="4"/>
      <c r="U5" s="4"/>
      <c r="V5" s="4"/>
      <c r="W5" s="4"/>
      <c r="X5" s="4"/>
      <c r="Y5" s="4"/>
      <c r="Z5" s="4"/>
    </row>
    <row r="6" spans="1:26" ht="15.75" customHeight="1" x14ac:dyDescent="0.3">
      <c r="A6" s="4"/>
      <c r="B6" s="676"/>
      <c r="C6" s="678" t="s">
        <v>1264</v>
      </c>
      <c r="D6" s="678" t="s">
        <v>814</v>
      </c>
      <c r="E6" s="678" t="s">
        <v>1265</v>
      </c>
      <c r="F6" s="679" t="s">
        <v>1266</v>
      </c>
      <c r="G6" s="1030"/>
      <c r="H6" s="4"/>
      <c r="I6" s="1030"/>
      <c r="J6" s="4"/>
      <c r="K6" s="4"/>
      <c r="L6" s="4"/>
      <c r="M6" s="4"/>
      <c r="N6" s="4"/>
      <c r="O6" s="4"/>
      <c r="P6" s="4"/>
      <c r="Q6" s="4"/>
      <c r="R6" s="4"/>
      <c r="S6" s="4"/>
      <c r="T6" s="4"/>
      <c r="U6" s="4"/>
      <c r="V6" s="4"/>
      <c r="W6" s="4"/>
      <c r="X6" s="4"/>
      <c r="Y6" s="4"/>
      <c r="Z6" s="4"/>
    </row>
    <row r="7" spans="1:26" ht="27.75" customHeight="1" x14ac:dyDescent="0.25">
      <c r="A7" s="4"/>
      <c r="B7" s="143"/>
      <c r="C7" s="4"/>
      <c r="D7" s="1464" t="s">
        <v>1267</v>
      </c>
      <c r="E7" s="4"/>
      <c r="F7" s="586"/>
      <c r="G7" s="1030"/>
      <c r="H7" s="4"/>
      <c r="I7" s="1030"/>
      <c r="J7" s="4"/>
      <c r="K7" s="4"/>
      <c r="L7" s="4"/>
      <c r="M7" s="4"/>
      <c r="N7" s="4"/>
      <c r="O7" s="4"/>
      <c r="P7" s="4"/>
      <c r="Q7" s="4"/>
      <c r="R7" s="4"/>
      <c r="S7" s="4"/>
      <c r="T7" s="4"/>
      <c r="U7" s="4"/>
      <c r="V7" s="4"/>
      <c r="W7" s="4"/>
      <c r="X7" s="4"/>
      <c r="Y7" s="4"/>
      <c r="Z7" s="4"/>
    </row>
    <row r="8" spans="1:26" x14ac:dyDescent="0.25">
      <c r="A8" s="4"/>
      <c r="B8" s="1190" t="s">
        <v>1268</v>
      </c>
      <c r="C8" s="232">
        <v>8</v>
      </c>
      <c r="D8" s="652">
        <v>4.1021717966689701</v>
      </c>
      <c r="E8" s="232">
        <f>C8*D8</f>
        <v>32.817374373351761</v>
      </c>
      <c r="F8" s="1465">
        <f t="shared" ref="F8:F9" si="0">E8*$I$26/1000000</f>
        <v>9.1888648245384938E-4</v>
      </c>
      <c r="G8" s="1030"/>
      <c r="H8" s="4"/>
      <c r="I8" s="1037"/>
      <c r="J8" s="4"/>
      <c r="K8" s="4"/>
      <c r="L8" s="4"/>
      <c r="M8" s="4"/>
      <c r="N8" s="4"/>
      <c r="O8" s="4"/>
      <c r="P8" s="4"/>
      <c r="Q8" s="4"/>
      <c r="R8" s="4"/>
      <c r="S8" s="4"/>
      <c r="T8" s="4"/>
      <c r="U8" s="4"/>
      <c r="V8" s="4"/>
      <c r="W8" s="4"/>
      <c r="X8" s="4"/>
      <c r="Y8" s="4"/>
      <c r="Z8" s="4"/>
    </row>
    <row r="9" spans="1:26" ht="45" customHeight="1" x14ac:dyDescent="0.25">
      <c r="A9" s="4"/>
      <c r="B9" s="1190" t="s">
        <v>1269</v>
      </c>
      <c r="C9" s="232">
        <v>0</v>
      </c>
      <c r="D9" s="652">
        <v>13.055796863999998</v>
      </c>
      <c r="E9" s="232">
        <v>0</v>
      </c>
      <c r="F9" s="1465">
        <f t="shared" si="0"/>
        <v>0</v>
      </c>
      <c r="G9" s="1030"/>
      <c r="H9" s="4"/>
      <c r="I9" s="1037"/>
      <c r="J9" s="4"/>
      <c r="K9" s="4"/>
      <c r="L9" s="4"/>
      <c r="M9" s="4"/>
      <c r="N9" s="4"/>
      <c r="O9" s="4"/>
      <c r="P9" s="4"/>
      <c r="Q9" s="4"/>
      <c r="R9" s="4"/>
      <c r="S9" s="4"/>
      <c r="T9" s="4"/>
      <c r="U9" s="4"/>
      <c r="V9" s="4"/>
      <c r="W9" s="4"/>
      <c r="X9" s="4"/>
      <c r="Y9" s="4"/>
      <c r="Z9" s="4"/>
    </row>
    <row r="10" spans="1:26" x14ac:dyDescent="0.25">
      <c r="A10" s="4"/>
      <c r="B10" s="1025" t="s">
        <v>1270</v>
      </c>
      <c r="C10" s="779"/>
      <c r="D10" s="1466"/>
      <c r="E10" s="1413">
        <v>21.095017507998922</v>
      </c>
      <c r="F10" s="1467">
        <f>F8+F9</f>
        <v>9.1888648245384938E-4</v>
      </c>
      <c r="G10" s="1030"/>
      <c r="H10" s="4"/>
      <c r="I10" s="1037"/>
      <c r="J10" s="4"/>
      <c r="K10" s="4"/>
      <c r="L10" s="4"/>
      <c r="M10" s="4"/>
      <c r="N10" s="4"/>
      <c r="O10" s="4"/>
      <c r="P10" s="4"/>
      <c r="Q10" s="4"/>
      <c r="R10" s="4"/>
      <c r="S10" s="4"/>
      <c r="T10" s="4"/>
      <c r="U10" s="4"/>
      <c r="V10" s="4"/>
      <c r="W10" s="4"/>
      <c r="X10" s="4"/>
      <c r="Y10" s="4"/>
      <c r="Z10" s="4"/>
    </row>
    <row r="11" spans="1:26" x14ac:dyDescent="0.25">
      <c r="A11" s="4"/>
      <c r="B11" s="152"/>
      <c r="C11" s="244"/>
      <c r="D11" s="244"/>
      <c r="E11" s="244"/>
      <c r="F11" s="591"/>
      <c r="G11" s="4"/>
      <c r="H11" s="4"/>
      <c r="I11" s="4"/>
      <c r="J11" s="4"/>
      <c r="K11" s="4"/>
      <c r="L11" s="4"/>
      <c r="M11" s="4"/>
      <c r="N11" s="4"/>
      <c r="O11" s="4"/>
      <c r="P11" s="4"/>
      <c r="Q11" s="4"/>
      <c r="R11" s="4"/>
      <c r="S11" s="4"/>
      <c r="T11" s="4"/>
      <c r="U11" s="4"/>
      <c r="V11" s="4"/>
      <c r="W11" s="4"/>
      <c r="X11" s="4"/>
      <c r="Y11" s="4"/>
      <c r="Z11" s="4"/>
    </row>
    <row r="12" spans="1:26" x14ac:dyDescent="0.25">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30" customHeight="1" x14ac:dyDescent="0.25">
      <c r="A13" s="4"/>
      <c r="B13" s="2185" t="s">
        <v>1271</v>
      </c>
      <c r="C13" s="2149"/>
      <c r="D13" s="2149"/>
      <c r="E13" s="2149"/>
      <c r="F13" s="2149"/>
      <c r="G13" s="2149"/>
      <c r="H13" s="2149"/>
      <c r="I13" s="2149"/>
      <c r="J13" s="4"/>
      <c r="K13" s="4"/>
      <c r="L13" s="4"/>
      <c r="M13" s="4"/>
      <c r="N13" s="4"/>
      <c r="O13" s="4"/>
      <c r="P13" s="4"/>
      <c r="Q13" s="4"/>
      <c r="R13" s="4"/>
      <c r="S13" s="4"/>
      <c r="T13" s="4"/>
      <c r="U13" s="4"/>
      <c r="V13" s="4"/>
      <c r="W13" s="4"/>
      <c r="X13" s="4"/>
      <c r="Y13" s="4"/>
      <c r="Z13" s="4"/>
    </row>
    <row r="14" spans="1:26" x14ac:dyDescent="0.25">
      <c r="A14" s="4"/>
      <c r="B14" s="4"/>
      <c r="C14" s="1468" t="s">
        <v>1272</v>
      </c>
      <c r="D14" s="4"/>
      <c r="E14" s="4"/>
      <c r="F14" s="4"/>
      <c r="G14" s="4"/>
      <c r="H14" s="4"/>
      <c r="I14" s="4"/>
      <c r="J14" s="4"/>
      <c r="K14" s="4"/>
      <c r="L14" s="4"/>
      <c r="M14" s="4"/>
      <c r="N14" s="4"/>
      <c r="O14" s="4"/>
      <c r="P14" s="4"/>
      <c r="Q14" s="4"/>
      <c r="R14" s="4"/>
      <c r="S14" s="4"/>
      <c r="T14" s="4"/>
      <c r="U14" s="4"/>
      <c r="V14" s="4"/>
      <c r="W14" s="4"/>
      <c r="X14" s="4"/>
      <c r="Y14" s="4"/>
      <c r="Z14" s="4"/>
    </row>
    <row r="15" spans="1:26" ht="12.75" customHeight="1" x14ac:dyDescent="0.25">
      <c r="A15" s="4"/>
      <c r="B15" s="2185" t="s">
        <v>1273</v>
      </c>
      <c r="C15" s="2149"/>
      <c r="D15" s="2149"/>
      <c r="E15" s="2149"/>
      <c r="F15" s="2149"/>
      <c r="G15" s="2149"/>
      <c r="H15" s="2149"/>
      <c r="I15" s="2149"/>
      <c r="J15" s="4"/>
      <c r="K15" s="4"/>
      <c r="L15" s="4"/>
      <c r="M15" s="4"/>
      <c r="N15" s="4"/>
      <c r="O15" s="4"/>
      <c r="P15" s="4"/>
      <c r="Q15" s="4"/>
      <c r="R15" s="4"/>
      <c r="S15" s="4"/>
      <c r="T15" s="4"/>
      <c r="U15" s="4"/>
      <c r="V15" s="4"/>
      <c r="W15" s="4"/>
      <c r="X15" s="4"/>
      <c r="Y15" s="4"/>
      <c r="Z15" s="4"/>
    </row>
    <row r="16" spans="1:26" x14ac:dyDescent="0.25">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x14ac:dyDescent="0.25">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x14ac:dyDescent="0.25">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x14ac:dyDescent="0.25">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x14ac:dyDescent="0.25">
      <c r="A20" s="4"/>
      <c r="B20" s="1469" t="s">
        <v>1274</v>
      </c>
      <c r="C20" s="1469"/>
      <c r="D20" s="1470"/>
      <c r="E20" s="1470"/>
      <c r="F20" s="1470"/>
      <c r="G20" s="4"/>
      <c r="H20" s="4"/>
      <c r="I20" s="4"/>
      <c r="J20" s="4"/>
      <c r="K20" s="4"/>
      <c r="L20" s="4"/>
      <c r="M20" s="4"/>
      <c r="N20" s="4"/>
      <c r="O20" s="4"/>
      <c r="P20" s="4"/>
      <c r="Q20" s="4"/>
      <c r="R20" s="4"/>
      <c r="S20" s="4"/>
      <c r="T20" s="4"/>
      <c r="U20" s="4"/>
      <c r="V20" s="4"/>
      <c r="W20" s="4"/>
      <c r="X20" s="4"/>
      <c r="Y20" s="4"/>
      <c r="Z20" s="4"/>
    </row>
    <row r="21" spans="1:26" ht="15.75" customHeight="1" x14ac:dyDescent="0.25">
      <c r="A21" s="4"/>
      <c r="B21" s="4"/>
      <c r="C21" s="2185"/>
      <c r="D21" s="2149"/>
      <c r="E21" s="2149"/>
      <c r="F21" s="2149"/>
      <c r="G21" s="4"/>
      <c r="H21" s="4"/>
      <c r="I21" s="4"/>
      <c r="J21" s="4"/>
      <c r="K21" s="4"/>
      <c r="L21" s="4"/>
      <c r="M21" s="4"/>
      <c r="N21" s="4"/>
      <c r="O21" s="4"/>
      <c r="P21" s="4"/>
      <c r="Q21" s="4"/>
      <c r="R21" s="4"/>
      <c r="S21" s="4"/>
      <c r="T21" s="4"/>
      <c r="U21" s="4"/>
      <c r="V21" s="4"/>
      <c r="W21" s="4"/>
      <c r="X21" s="4"/>
      <c r="Y21" s="4"/>
      <c r="Z21" s="4"/>
    </row>
    <row r="22" spans="1:26" ht="15.75" customHeight="1" x14ac:dyDescent="0.25">
      <c r="A22" s="4"/>
      <c r="B22" s="676"/>
      <c r="C22" s="678" t="s">
        <v>1264</v>
      </c>
      <c r="D22" s="678" t="s">
        <v>814</v>
      </c>
      <c r="E22" s="678" t="s">
        <v>1275</v>
      </c>
      <c r="F22" s="679" t="s">
        <v>1276</v>
      </c>
      <c r="G22" s="42"/>
      <c r="H22" s="4"/>
      <c r="I22" s="4"/>
      <c r="J22" s="4"/>
      <c r="K22" s="4"/>
      <c r="L22" s="4"/>
      <c r="M22" s="4"/>
      <c r="N22" s="4"/>
      <c r="O22" s="4"/>
      <c r="P22" s="4"/>
      <c r="Q22" s="4"/>
      <c r="R22" s="4"/>
      <c r="S22" s="4"/>
      <c r="T22" s="4"/>
      <c r="U22" s="4"/>
      <c r="V22" s="4"/>
      <c r="W22" s="4"/>
      <c r="X22" s="4"/>
      <c r="Y22" s="4"/>
      <c r="Z22" s="4"/>
    </row>
    <row r="23" spans="1:26" ht="25.5" customHeight="1" x14ac:dyDescent="0.25">
      <c r="A23" s="4"/>
      <c r="B23" s="1471" t="s">
        <v>1277</v>
      </c>
      <c r="C23" s="4"/>
      <c r="D23" s="1464" t="s">
        <v>1278</v>
      </c>
      <c r="E23" s="810"/>
      <c r="F23" s="1472"/>
      <c r="G23" s="810"/>
      <c r="H23" s="2146" t="s">
        <v>0</v>
      </c>
      <c r="I23" s="2147"/>
      <c r="J23" s="4"/>
      <c r="K23" s="4"/>
      <c r="L23" s="4"/>
      <c r="M23" s="4"/>
      <c r="N23" s="4"/>
      <c r="O23" s="4"/>
      <c r="P23" s="4"/>
      <c r="Q23" s="4"/>
      <c r="R23" s="4"/>
      <c r="S23" s="4"/>
      <c r="T23" s="4"/>
      <c r="U23" s="4"/>
      <c r="V23" s="4"/>
      <c r="W23" s="4"/>
      <c r="X23" s="4"/>
      <c r="Y23" s="4"/>
      <c r="Z23" s="4"/>
    </row>
    <row r="24" spans="1:26" ht="15.75" customHeight="1" x14ac:dyDescent="0.25">
      <c r="A24" s="4"/>
      <c r="B24" s="1471"/>
      <c r="C24" s="4"/>
      <c r="D24" s="4"/>
      <c r="E24" s="265"/>
      <c r="F24" s="1473"/>
      <c r="G24" s="265"/>
      <c r="H24" s="120"/>
      <c r="I24" s="120"/>
      <c r="J24" s="4"/>
      <c r="K24" s="4"/>
      <c r="L24" s="4"/>
      <c r="M24" s="4"/>
      <c r="N24" s="4"/>
      <c r="O24" s="4"/>
      <c r="P24" s="4"/>
      <c r="Q24" s="4"/>
      <c r="R24" s="4"/>
      <c r="S24" s="4"/>
      <c r="T24" s="4"/>
      <c r="U24" s="4"/>
      <c r="V24" s="4"/>
      <c r="W24" s="4"/>
      <c r="X24" s="4"/>
      <c r="Y24" s="4"/>
      <c r="Z24" s="4"/>
    </row>
    <row r="25" spans="1:26" ht="30" customHeight="1" x14ac:dyDescent="0.25">
      <c r="A25" s="4"/>
      <c r="B25" s="1474" t="s">
        <v>1279</v>
      </c>
      <c r="C25" s="668">
        <v>1422.17</v>
      </c>
      <c r="D25" s="652">
        <v>5.8037235656204409</v>
      </c>
      <c r="E25" s="669">
        <f t="shared" ref="E25:E28" si="1">C25*D25</f>
        <v>8253.8815433184227</v>
      </c>
      <c r="F25" s="1475">
        <f t="shared" ref="F25:F28" si="2">E25*$I$26/1000000</f>
        <v>0.23110868321291583</v>
      </c>
      <c r="G25" s="1476"/>
      <c r="H25" s="124" t="s">
        <v>4</v>
      </c>
      <c r="I25" s="125">
        <f>'Summ GHG Rpt Expanded'!G4</f>
        <v>1</v>
      </c>
      <c r="J25" s="4"/>
      <c r="K25" s="4"/>
      <c r="L25" s="4"/>
      <c r="M25" s="4"/>
      <c r="N25" s="4"/>
      <c r="O25" s="4"/>
      <c r="P25" s="4"/>
      <c r="Q25" s="4"/>
      <c r="R25" s="4"/>
      <c r="S25" s="4"/>
      <c r="T25" s="4"/>
      <c r="U25" s="4"/>
      <c r="V25" s="4"/>
      <c r="W25" s="4"/>
      <c r="X25" s="4"/>
      <c r="Y25" s="4"/>
      <c r="Z25" s="4"/>
    </row>
    <row r="26" spans="1:26" ht="45" customHeight="1" x14ac:dyDescent="0.25">
      <c r="A26" s="4"/>
      <c r="B26" s="1474" t="s">
        <v>1280</v>
      </c>
      <c r="C26" s="668">
        <v>491.27</v>
      </c>
      <c r="D26" s="652">
        <v>2.1221753994811778</v>
      </c>
      <c r="E26" s="668">
        <f t="shared" si="1"/>
        <v>1042.5611085031182</v>
      </c>
      <c r="F26" s="1475">
        <f t="shared" si="2"/>
        <v>2.9191711038087313E-2</v>
      </c>
      <c r="G26" s="1476"/>
      <c r="H26" s="124" t="s">
        <v>5</v>
      </c>
      <c r="I26" s="125">
        <f>'Summ GHG Rpt Expanded'!G5</f>
        <v>28</v>
      </c>
      <c r="J26" s="4"/>
      <c r="K26" s="4"/>
      <c r="L26" s="4"/>
      <c r="M26" s="4"/>
      <c r="N26" s="4"/>
      <c r="O26" s="4"/>
      <c r="P26" s="4"/>
      <c r="Q26" s="4"/>
      <c r="R26" s="4"/>
      <c r="S26" s="4"/>
      <c r="T26" s="4"/>
      <c r="U26" s="4"/>
      <c r="V26" s="4"/>
      <c r="W26" s="4"/>
      <c r="X26" s="4"/>
      <c r="Y26" s="4"/>
      <c r="Z26" s="4"/>
    </row>
    <row r="27" spans="1:26" ht="30" customHeight="1" x14ac:dyDescent="0.25">
      <c r="A27" s="4"/>
      <c r="B27" s="1474" t="s">
        <v>1281</v>
      </c>
      <c r="C27" s="668">
        <v>5263.38</v>
      </c>
      <c r="D27" s="652">
        <v>6.0046884276387047E-2</v>
      </c>
      <c r="E27" s="668">
        <f t="shared" si="1"/>
        <v>316.04956976265004</v>
      </c>
      <c r="F27" s="1475">
        <f t="shared" si="2"/>
        <v>8.8493879533541996E-3</v>
      </c>
      <c r="G27" s="1476"/>
      <c r="H27" s="124" t="s">
        <v>6</v>
      </c>
      <c r="I27" s="125">
        <f>'Summ GHG Rpt Expanded'!G6</f>
        <v>265</v>
      </c>
      <c r="J27" s="4"/>
      <c r="K27" s="4"/>
      <c r="L27" s="4"/>
      <c r="M27" s="4"/>
      <c r="N27" s="4"/>
      <c r="O27" s="4"/>
      <c r="P27" s="4"/>
      <c r="Q27" s="4"/>
      <c r="R27" s="4"/>
      <c r="S27" s="4"/>
      <c r="T27" s="4"/>
      <c r="U27" s="4"/>
      <c r="V27" s="4"/>
      <c r="W27" s="4"/>
      <c r="X27" s="4"/>
      <c r="Y27" s="4"/>
      <c r="Z27" s="4"/>
    </row>
    <row r="28" spans="1:26" ht="30" customHeight="1" x14ac:dyDescent="0.25">
      <c r="A28" s="4"/>
      <c r="B28" s="1474" t="s">
        <v>1282</v>
      </c>
      <c r="C28" s="668">
        <v>7165.39</v>
      </c>
      <c r="D28" s="652">
        <v>0.37164760100393374</v>
      </c>
      <c r="E28" s="668">
        <f t="shared" si="1"/>
        <v>2663.0000037575769</v>
      </c>
      <c r="F28" s="1475">
        <f t="shared" si="2"/>
        <v>7.456400010521215E-2</v>
      </c>
      <c r="G28" s="1476"/>
      <c r="H28" s="124" t="s">
        <v>7</v>
      </c>
      <c r="I28" s="129">
        <f>'Summ GHG Rpt Expanded'!G7</f>
        <v>23500</v>
      </c>
      <c r="J28" s="4"/>
      <c r="K28" s="4"/>
      <c r="L28" s="4"/>
      <c r="M28" s="4"/>
      <c r="N28" s="4"/>
      <c r="O28" s="4"/>
      <c r="P28" s="4"/>
      <c r="Q28" s="4"/>
      <c r="R28" s="4"/>
      <c r="S28" s="4"/>
      <c r="T28" s="4"/>
      <c r="U28" s="4"/>
      <c r="V28" s="4"/>
      <c r="W28" s="4"/>
      <c r="X28" s="4"/>
      <c r="Y28" s="4"/>
      <c r="Z28" s="4"/>
    </row>
    <row r="29" spans="1:26" ht="15.75" customHeight="1" x14ac:dyDescent="0.25">
      <c r="A29" s="4"/>
      <c r="B29" s="143"/>
      <c r="C29" s="957"/>
      <c r="D29" s="1019"/>
      <c r="E29" s="957"/>
      <c r="F29" s="1477"/>
      <c r="G29" s="1476"/>
      <c r="H29" s="124" t="s">
        <v>8</v>
      </c>
      <c r="I29" s="129">
        <f>'Summ GHG Rpt Expanded'!G8</f>
        <v>11100</v>
      </c>
      <c r="J29" s="4"/>
      <c r="K29" s="4"/>
      <c r="L29" s="4"/>
      <c r="M29" s="4"/>
      <c r="N29" s="4"/>
      <c r="O29" s="4"/>
      <c r="P29" s="4"/>
      <c r="Q29" s="4"/>
      <c r="R29" s="4"/>
      <c r="S29" s="4"/>
      <c r="T29" s="4"/>
      <c r="U29" s="4"/>
      <c r="V29" s="4"/>
      <c r="W29" s="4"/>
      <c r="X29" s="4"/>
      <c r="Y29" s="4"/>
      <c r="Z29" s="4"/>
    </row>
    <row r="30" spans="1:26" ht="15.75" customHeight="1" x14ac:dyDescent="0.25">
      <c r="A30" s="4"/>
      <c r="B30" s="1471" t="s">
        <v>1283</v>
      </c>
      <c r="C30" s="957"/>
      <c r="D30" s="1019"/>
      <c r="E30" s="957"/>
      <c r="F30" s="1477"/>
      <c r="G30" s="1476"/>
      <c r="H30" s="4"/>
      <c r="I30" s="4"/>
      <c r="J30" s="4"/>
      <c r="K30" s="4"/>
      <c r="L30" s="4"/>
      <c r="M30" s="4"/>
      <c r="N30" s="4"/>
      <c r="O30" s="4"/>
      <c r="P30" s="4"/>
      <c r="Q30" s="4"/>
      <c r="R30" s="4"/>
      <c r="S30" s="4"/>
      <c r="T30" s="4"/>
      <c r="U30" s="4"/>
      <c r="V30" s="4"/>
      <c r="W30" s="4"/>
      <c r="X30" s="4"/>
      <c r="Y30" s="4"/>
      <c r="Z30" s="4"/>
    </row>
    <row r="31" spans="1:26" ht="15.75" customHeight="1" x14ac:dyDescent="0.25">
      <c r="A31" s="4"/>
      <c r="B31" s="1474" t="s">
        <v>1284</v>
      </c>
      <c r="C31" s="668">
        <v>999889</v>
      </c>
      <c r="D31" s="652">
        <v>1.5267140136098032E-2</v>
      </c>
      <c r="E31" s="668">
        <f t="shared" ref="E31:E33" si="3">C31*D31</f>
        <v>15265.445483542926</v>
      </c>
      <c r="F31" s="1475">
        <f t="shared" ref="F31:F33" si="4">E31*$I$26/1000000</f>
        <v>0.42743247353920194</v>
      </c>
      <c r="G31" s="1476"/>
      <c r="H31" s="4"/>
      <c r="I31" s="4"/>
      <c r="J31" s="4"/>
      <c r="K31" s="4"/>
      <c r="L31" s="4"/>
      <c r="M31" s="4"/>
      <c r="N31" s="4"/>
      <c r="O31" s="4"/>
      <c r="P31" s="4"/>
      <c r="Q31" s="4"/>
      <c r="R31" s="4"/>
      <c r="S31" s="4"/>
      <c r="T31" s="4"/>
      <c r="U31" s="4"/>
      <c r="V31" s="4"/>
      <c r="W31" s="4"/>
      <c r="X31" s="4"/>
      <c r="Y31" s="4"/>
      <c r="Z31" s="4"/>
    </row>
    <row r="32" spans="1:26" ht="30" customHeight="1" x14ac:dyDescent="0.25">
      <c r="A32" s="4"/>
      <c r="B32" s="1474" t="s">
        <v>1285</v>
      </c>
      <c r="C32" s="668">
        <v>109801</v>
      </c>
      <c r="D32" s="652">
        <v>3.2750300015441415E-2</v>
      </c>
      <c r="E32" s="668">
        <f t="shared" si="3"/>
        <v>3596.0156919954829</v>
      </c>
      <c r="F32" s="1475">
        <f t="shared" si="4"/>
        <v>0.10068843937587352</v>
      </c>
      <c r="G32" s="1476"/>
      <c r="H32" s="4"/>
      <c r="I32" s="4"/>
      <c r="J32" s="4"/>
      <c r="K32" s="4"/>
      <c r="L32" s="4"/>
      <c r="M32" s="4"/>
      <c r="N32" s="4"/>
      <c r="O32" s="4"/>
      <c r="P32" s="4"/>
      <c r="Q32" s="4"/>
      <c r="R32" s="4"/>
      <c r="S32" s="4"/>
      <c r="T32" s="4"/>
      <c r="U32" s="4"/>
      <c r="V32" s="4"/>
      <c r="W32" s="4"/>
      <c r="X32" s="4"/>
      <c r="Y32" s="4"/>
      <c r="Z32" s="4"/>
    </row>
    <row r="33" spans="1:26" ht="30" customHeight="1" x14ac:dyDescent="0.25">
      <c r="A33" s="4"/>
      <c r="B33" s="1474" t="s">
        <v>1286</v>
      </c>
      <c r="C33" s="668">
        <v>146644</v>
      </c>
      <c r="D33" s="652">
        <v>3.4007868318860182E-3</v>
      </c>
      <c r="E33" s="668">
        <f t="shared" si="3"/>
        <v>498.70498417509327</v>
      </c>
      <c r="F33" s="1475">
        <f t="shared" si="4"/>
        <v>1.3963739556902612E-2</v>
      </c>
      <c r="G33" s="1476"/>
      <c r="H33" s="4"/>
      <c r="I33" s="4"/>
      <c r="J33" s="4"/>
      <c r="K33" s="4"/>
      <c r="L33" s="4"/>
      <c r="M33" s="4"/>
      <c r="N33" s="4"/>
      <c r="O33" s="4"/>
      <c r="P33" s="4"/>
      <c r="Q33" s="4"/>
      <c r="R33" s="4"/>
      <c r="S33" s="4"/>
      <c r="T33" s="4"/>
      <c r="U33" s="4"/>
      <c r="V33" s="4"/>
      <c r="W33" s="4"/>
      <c r="X33" s="4"/>
      <c r="Y33" s="4"/>
      <c r="Z33" s="4"/>
    </row>
    <row r="34" spans="1:26" ht="15.75" customHeight="1" x14ac:dyDescent="0.25">
      <c r="A34" s="4"/>
      <c r="B34" s="1478" t="s">
        <v>1270</v>
      </c>
      <c r="C34" s="244"/>
      <c r="D34" s="244"/>
      <c r="E34" s="1479">
        <f t="shared" ref="E34:F34" si="5">SUM(E25:E33)</f>
        <v>31635.658385055271</v>
      </c>
      <c r="F34" s="1480">
        <f t="shared" si="5"/>
        <v>0.88579843478154763</v>
      </c>
      <c r="G34" s="1481"/>
      <c r="H34" s="4"/>
      <c r="I34" s="4"/>
      <c r="J34" s="4"/>
      <c r="K34" s="4"/>
      <c r="L34" s="4"/>
      <c r="M34" s="4"/>
      <c r="N34" s="4"/>
      <c r="O34" s="4"/>
      <c r="P34" s="4"/>
      <c r="Q34" s="4"/>
      <c r="R34" s="4"/>
      <c r="S34" s="4"/>
      <c r="T34" s="4"/>
      <c r="U34" s="4"/>
      <c r="V34" s="4"/>
      <c r="W34" s="4"/>
      <c r="X34" s="4"/>
      <c r="Y34" s="4"/>
      <c r="Z34" s="4"/>
    </row>
    <row r="35" spans="1:26"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2.75" customHeight="1" x14ac:dyDescent="0.25">
      <c r="A36" s="4"/>
      <c r="B36" s="2185" t="s">
        <v>1287</v>
      </c>
      <c r="C36" s="2149"/>
      <c r="D36" s="2149"/>
      <c r="E36" s="2149"/>
      <c r="F36" s="2149"/>
      <c r="G36" s="2149"/>
      <c r="H36" s="2149"/>
      <c r="I36" s="2149"/>
      <c r="J36" s="4"/>
      <c r="K36" s="4"/>
      <c r="L36" s="4"/>
      <c r="M36" s="4"/>
      <c r="N36" s="4"/>
      <c r="O36" s="4"/>
      <c r="P36" s="4"/>
      <c r="Q36" s="4"/>
      <c r="R36" s="4"/>
      <c r="S36" s="4"/>
      <c r="T36" s="4"/>
      <c r="U36" s="4"/>
      <c r="V36" s="4"/>
      <c r="W36" s="4"/>
      <c r="X36" s="4"/>
      <c r="Y36" s="4"/>
      <c r="Z36" s="4"/>
    </row>
    <row r="37" spans="1:26" ht="15.75" customHeight="1" x14ac:dyDescent="0.25">
      <c r="A37" s="4"/>
      <c r="B37" s="1100"/>
      <c r="C37" s="1100"/>
      <c r="D37" s="1100"/>
      <c r="E37" s="1100"/>
      <c r="F37" s="1100"/>
      <c r="G37" s="1100"/>
      <c r="H37" s="1100"/>
      <c r="I37" s="1100"/>
      <c r="J37" s="4"/>
      <c r="K37" s="4"/>
      <c r="L37" s="4"/>
      <c r="M37" s="4"/>
      <c r="N37" s="4"/>
      <c r="O37" s="4"/>
      <c r="P37" s="4"/>
      <c r="Q37" s="4"/>
      <c r="R37" s="4"/>
      <c r="S37" s="4"/>
      <c r="T37" s="4"/>
      <c r="U37" s="4"/>
      <c r="V37" s="4"/>
      <c r="W37" s="4"/>
      <c r="X37" s="4"/>
      <c r="Y37" s="4"/>
      <c r="Z37" s="4"/>
    </row>
    <row r="38" spans="1:26" ht="12.75" customHeight="1" x14ac:dyDescent="0.25">
      <c r="A38" s="4"/>
      <c r="B38" s="2185" t="s">
        <v>1288</v>
      </c>
      <c r="C38" s="2149"/>
      <c r="D38" s="2149"/>
      <c r="E38" s="2149"/>
      <c r="F38" s="2149"/>
      <c r="G38" s="2149"/>
      <c r="H38" s="2149"/>
      <c r="I38" s="2149"/>
      <c r="J38" s="4"/>
      <c r="K38" s="4"/>
      <c r="L38" s="4"/>
      <c r="M38" s="4"/>
      <c r="N38" s="4"/>
      <c r="O38" s="4"/>
      <c r="P38" s="4"/>
      <c r="Q38" s="4"/>
      <c r="R38" s="4"/>
      <c r="S38" s="4"/>
      <c r="T38" s="4"/>
      <c r="U38" s="4"/>
      <c r="V38" s="4"/>
      <c r="W38" s="4"/>
      <c r="X38" s="4"/>
      <c r="Y38" s="4"/>
      <c r="Z38" s="4"/>
    </row>
    <row r="39" spans="1:26" ht="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1482" t="s">
        <v>1289</v>
      </c>
      <c r="C43" s="1482"/>
      <c r="D43" s="1482"/>
      <c r="E43" s="1483"/>
      <c r="F43" s="1484"/>
      <c r="G43" s="1030"/>
      <c r="H43" s="4"/>
      <c r="I43" s="4"/>
      <c r="J43" s="4"/>
      <c r="K43" s="4"/>
      <c r="L43" s="4"/>
      <c r="M43" s="4"/>
      <c r="N43" s="4"/>
      <c r="O43" s="4"/>
      <c r="P43" s="4"/>
      <c r="Q43" s="4"/>
      <c r="R43" s="4"/>
      <c r="S43" s="4"/>
      <c r="T43" s="4"/>
      <c r="U43" s="4"/>
      <c r="V43" s="4"/>
      <c r="W43" s="4"/>
      <c r="X43" s="4"/>
      <c r="Y43" s="4"/>
      <c r="Z43" s="4"/>
    </row>
    <row r="44" spans="1:26" ht="15.75" customHeight="1" x14ac:dyDescent="0.25">
      <c r="A44" s="4"/>
      <c r="B44" s="4"/>
      <c r="C44" s="4"/>
      <c r="D44" s="4"/>
      <c r="E44" s="1030"/>
      <c r="F44" s="4"/>
      <c r="G44" s="1030"/>
      <c r="H44" s="4"/>
      <c r="I44" s="4"/>
      <c r="J44" s="4"/>
      <c r="K44" s="4"/>
      <c r="L44" s="4"/>
      <c r="M44" s="4"/>
      <c r="N44" s="4"/>
      <c r="O44" s="4"/>
      <c r="P44" s="4"/>
      <c r="Q44" s="4"/>
      <c r="R44" s="4"/>
      <c r="S44" s="4"/>
      <c r="T44" s="4"/>
      <c r="U44" s="4"/>
      <c r="V44" s="4"/>
      <c r="W44" s="4"/>
      <c r="X44" s="4"/>
      <c r="Y44" s="4"/>
      <c r="Z44" s="4"/>
    </row>
    <row r="45" spans="1:26" ht="15.75" customHeight="1" x14ac:dyDescent="0.3">
      <c r="A45" s="4"/>
      <c r="B45" s="676"/>
      <c r="C45" s="678" t="s">
        <v>1264</v>
      </c>
      <c r="D45" s="692" t="s">
        <v>814</v>
      </c>
      <c r="E45" s="678" t="s">
        <v>1290</v>
      </c>
      <c r="F45" s="679" t="s">
        <v>1291</v>
      </c>
      <c r="G45" s="1030"/>
      <c r="H45" s="4"/>
      <c r="I45" s="1030"/>
      <c r="J45" s="4"/>
      <c r="K45" s="4"/>
      <c r="L45" s="4"/>
      <c r="M45" s="4"/>
      <c r="N45" s="4"/>
      <c r="O45" s="4"/>
      <c r="P45" s="4"/>
      <c r="Q45" s="4"/>
      <c r="R45" s="4"/>
      <c r="S45" s="4"/>
      <c r="T45" s="4"/>
      <c r="U45" s="4"/>
      <c r="V45" s="4"/>
      <c r="W45" s="4"/>
      <c r="X45" s="4"/>
      <c r="Y45" s="4"/>
      <c r="Z45" s="4"/>
    </row>
    <row r="46" spans="1:26" ht="12.75" customHeight="1" x14ac:dyDescent="0.25">
      <c r="A46" s="4"/>
      <c r="B46" s="143"/>
      <c r="C46" s="4"/>
      <c r="D46" s="2201" t="s">
        <v>1292</v>
      </c>
      <c r="E46" s="4"/>
      <c r="F46" s="586"/>
      <c r="G46" s="1030"/>
      <c r="H46" s="4"/>
      <c r="I46" s="1030"/>
      <c r="J46" s="4"/>
      <c r="K46" s="4"/>
      <c r="L46" s="4"/>
      <c r="M46" s="4"/>
      <c r="N46" s="4"/>
      <c r="O46" s="4"/>
      <c r="P46" s="4"/>
      <c r="Q46" s="4"/>
      <c r="R46" s="4"/>
      <c r="S46" s="4"/>
      <c r="T46" s="4"/>
      <c r="U46" s="4"/>
      <c r="V46" s="4"/>
      <c r="W46" s="4"/>
      <c r="X46" s="4"/>
      <c r="Y46" s="4"/>
      <c r="Z46" s="4"/>
    </row>
    <row r="47" spans="1:26" ht="15.75" customHeight="1" x14ac:dyDescent="0.25">
      <c r="A47" s="4"/>
      <c r="B47" s="143"/>
      <c r="C47" s="98"/>
      <c r="D47" s="2202"/>
      <c r="E47" s="98"/>
      <c r="F47" s="1485"/>
      <c r="G47" s="1030"/>
      <c r="H47" s="4"/>
      <c r="I47" s="1037"/>
      <c r="J47" s="4"/>
      <c r="K47" s="4"/>
      <c r="L47" s="4"/>
      <c r="M47" s="4"/>
      <c r="N47" s="4"/>
      <c r="O47" s="4"/>
      <c r="P47" s="4"/>
      <c r="Q47" s="4"/>
      <c r="R47" s="4"/>
      <c r="S47" s="4"/>
      <c r="T47" s="4"/>
      <c r="U47" s="4"/>
      <c r="V47" s="4"/>
      <c r="W47" s="4"/>
      <c r="X47" s="4"/>
      <c r="Y47" s="4"/>
      <c r="Z47" s="4"/>
    </row>
    <row r="48" spans="1:26" ht="30" customHeight="1" x14ac:dyDescent="0.25">
      <c r="A48" s="4"/>
      <c r="B48" s="1190" t="s">
        <v>1293</v>
      </c>
      <c r="C48" s="232">
        <v>171.09899999999999</v>
      </c>
      <c r="D48" s="1486">
        <v>0.61847932799999994</v>
      </c>
      <c r="E48" s="232">
        <f t="shared" ref="E48:E50" si="6">C48*D48</f>
        <v>105.82119454147198</v>
      </c>
      <c r="F48" s="1465">
        <f t="shared" ref="F48:F50" si="7">E48*$I$26/1000000</f>
        <v>2.9629934471612153E-3</v>
      </c>
      <c r="G48" s="1030"/>
      <c r="H48" s="4"/>
      <c r="I48" s="1037"/>
      <c r="J48" s="4"/>
      <c r="K48" s="4"/>
      <c r="L48" s="4"/>
      <c r="M48" s="4"/>
      <c r="N48" s="4"/>
      <c r="O48" s="4"/>
      <c r="P48" s="4"/>
      <c r="Q48" s="4"/>
      <c r="R48" s="4"/>
      <c r="S48" s="4"/>
      <c r="T48" s="4"/>
      <c r="U48" s="4"/>
      <c r="V48" s="4"/>
      <c r="W48" s="4"/>
      <c r="X48" s="4"/>
      <c r="Y48" s="4"/>
      <c r="Z48" s="4"/>
    </row>
    <row r="49" spans="1:26" ht="45" customHeight="1" x14ac:dyDescent="0.25">
      <c r="A49" s="4"/>
      <c r="B49" s="1190" t="s">
        <v>1294</v>
      </c>
      <c r="C49" s="232">
        <f>C48*0.006</f>
        <v>1.026594</v>
      </c>
      <c r="D49" s="1170">
        <v>983.65967615375553</v>
      </c>
      <c r="E49" s="232">
        <f t="shared" si="6"/>
        <v>1009.8191215813885</v>
      </c>
      <c r="F49" s="1465">
        <f t="shared" si="7"/>
        <v>2.8274935404278875E-2</v>
      </c>
      <c r="G49" s="1030"/>
      <c r="H49" s="4"/>
      <c r="I49" s="1037"/>
      <c r="J49" s="4"/>
      <c r="K49" s="4"/>
      <c r="L49" s="4"/>
      <c r="M49" s="4"/>
      <c r="N49" s="4"/>
      <c r="O49" s="4"/>
      <c r="P49" s="4"/>
      <c r="Q49" s="4"/>
      <c r="R49" s="4"/>
      <c r="S49" s="4"/>
      <c r="T49" s="4"/>
      <c r="U49" s="4"/>
      <c r="V49" s="4"/>
      <c r="W49" s="4"/>
      <c r="X49" s="4"/>
      <c r="Y49" s="4"/>
      <c r="Z49" s="4"/>
    </row>
    <row r="50" spans="1:26" ht="30" customHeight="1" x14ac:dyDescent="0.25">
      <c r="A50" s="4"/>
      <c r="B50" s="1190" t="s">
        <v>1295</v>
      </c>
      <c r="C50" s="232">
        <f>C48*0.0015</f>
        <v>0.2566485</v>
      </c>
      <c r="D50" s="1170">
        <v>964.14925058889139</v>
      </c>
      <c r="E50" s="232">
        <f t="shared" si="6"/>
        <v>247.4474589397631</v>
      </c>
      <c r="F50" s="1465">
        <f t="shared" si="7"/>
        <v>6.9285288503133672E-3</v>
      </c>
      <c r="G50" s="1030"/>
      <c r="H50" s="4"/>
      <c r="I50" s="1037"/>
      <c r="J50" s="4"/>
      <c r="K50" s="4"/>
      <c r="L50" s="4"/>
      <c r="M50" s="4"/>
      <c r="N50" s="4"/>
      <c r="O50" s="4"/>
      <c r="P50" s="4"/>
      <c r="Q50" s="4"/>
      <c r="R50" s="4"/>
      <c r="S50" s="4"/>
      <c r="T50" s="4"/>
      <c r="U50" s="4"/>
      <c r="V50" s="4"/>
      <c r="W50" s="4"/>
      <c r="X50" s="4"/>
      <c r="Y50" s="4"/>
      <c r="Z50" s="4"/>
    </row>
    <row r="51" spans="1:26" ht="15.75" customHeight="1" x14ac:dyDescent="0.25">
      <c r="A51" s="4"/>
      <c r="B51" s="116" t="s">
        <v>1270</v>
      </c>
      <c r="C51" s="4"/>
      <c r="D51" s="4"/>
      <c r="E51" s="1413">
        <f>SUM(E47:E50)</f>
        <v>1363.0877750626235</v>
      </c>
      <c r="F51" s="1467">
        <f>SUM(F48:F50)</f>
        <v>3.8166457701753455E-2</v>
      </c>
      <c r="G51" s="1030"/>
      <c r="H51" s="4"/>
      <c r="I51" s="1487"/>
      <c r="J51" s="4"/>
      <c r="K51" s="4"/>
      <c r="L51" s="4"/>
      <c r="M51" s="4"/>
      <c r="N51" s="4"/>
      <c r="O51" s="4"/>
      <c r="P51" s="4"/>
      <c r="Q51" s="4"/>
      <c r="R51" s="4"/>
      <c r="S51" s="4"/>
      <c r="T51" s="4"/>
      <c r="U51" s="4"/>
      <c r="V51" s="4"/>
      <c r="W51" s="4"/>
      <c r="X51" s="4"/>
      <c r="Y51" s="4"/>
      <c r="Z51" s="4"/>
    </row>
    <row r="52" spans="1:26" ht="15.75" customHeight="1" x14ac:dyDescent="0.25">
      <c r="A52" s="4"/>
      <c r="B52" s="152"/>
      <c r="C52" s="244"/>
      <c r="D52" s="244"/>
      <c r="E52" s="244"/>
      <c r="F52" s="591"/>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2.75" customHeight="1" x14ac:dyDescent="0.25">
      <c r="A54" s="4"/>
      <c r="B54" s="2185" t="s">
        <v>1296</v>
      </c>
      <c r="C54" s="2149"/>
      <c r="D54" s="2149"/>
      <c r="E54" s="2149"/>
      <c r="F54" s="2149"/>
      <c r="G54" s="2149"/>
      <c r="H54" s="2149"/>
      <c r="I54" s="2149"/>
      <c r="J54" s="4"/>
      <c r="K54" s="4"/>
      <c r="L54" s="4"/>
      <c r="M54" s="4"/>
      <c r="N54" s="4"/>
      <c r="O54" s="4"/>
      <c r="P54" s="4"/>
      <c r="Q54" s="4"/>
      <c r="R54" s="4"/>
      <c r="S54" s="4"/>
      <c r="T54" s="4"/>
      <c r="U54" s="4"/>
      <c r="V54" s="4"/>
      <c r="W54" s="4"/>
      <c r="X54" s="4"/>
      <c r="Y54" s="4"/>
      <c r="Z54" s="4"/>
    </row>
    <row r="55" spans="1:26" ht="12.75" customHeight="1" x14ac:dyDescent="0.25">
      <c r="A55" s="4"/>
      <c r="B55" s="2185" t="s">
        <v>1297</v>
      </c>
      <c r="C55" s="2149"/>
      <c r="D55" s="2149"/>
      <c r="E55" s="2149"/>
      <c r="F55" s="2149"/>
      <c r="G55" s="2149"/>
      <c r="H55" s="2149"/>
      <c r="I55" s="2149"/>
      <c r="J55" s="4"/>
      <c r="K55" s="4"/>
      <c r="L55" s="4"/>
      <c r="M55" s="4"/>
      <c r="N55" s="4"/>
      <c r="O55" s="4"/>
      <c r="P55" s="4"/>
      <c r="Q55" s="4"/>
      <c r="R55" s="4"/>
      <c r="S55" s="4"/>
      <c r="T55" s="4"/>
      <c r="U55" s="4"/>
      <c r="V55" s="4"/>
      <c r="W55" s="4"/>
      <c r="X55" s="4"/>
      <c r="Y55" s="4"/>
      <c r="Z55" s="4"/>
    </row>
    <row r="56" spans="1:26" ht="12.75" customHeight="1" x14ac:dyDescent="0.25">
      <c r="A56" s="4"/>
      <c r="B56" s="2185" t="s">
        <v>1298</v>
      </c>
      <c r="C56" s="2149"/>
      <c r="D56" s="2149"/>
      <c r="E56" s="2149"/>
      <c r="F56" s="2149"/>
      <c r="G56" s="2149"/>
      <c r="H56" s="2149"/>
      <c r="I56" s="2149"/>
      <c r="J56" s="4"/>
      <c r="K56" s="4"/>
      <c r="L56" s="4"/>
      <c r="M56" s="4"/>
      <c r="N56" s="4"/>
      <c r="O56" s="4"/>
      <c r="P56" s="4"/>
      <c r="Q56" s="4"/>
      <c r="R56" s="4"/>
      <c r="S56" s="4"/>
      <c r="T56" s="4"/>
      <c r="U56" s="4"/>
      <c r="V56" s="4"/>
      <c r="W56" s="4"/>
      <c r="X56" s="4"/>
      <c r="Y56" s="4"/>
      <c r="Z56" s="4"/>
    </row>
    <row r="57" spans="1:26" ht="12.75" customHeight="1" x14ac:dyDescent="0.25">
      <c r="A57" s="4"/>
      <c r="B57" s="2185" t="s">
        <v>1299</v>
      </c>
      <c r="C57" s="2149"/>
      <c r="D57" s="2149"/>
      <c r="E57" s="2149"/>
      <c r="F57" s="2149"/>
      <c r="G57" s="2149"/>
      <c r="H57" s="2149"/>
      <c r="I57" s="2149"/>
      <c r="J57" s="4"/>
      <c r="K57" s="4"/>
      <c r="L57" s="4"/>
      <c r="M57" s="4"/>
      <c r="N57" s="4"/>
      <c r="O57" s="4"/>
      <c r="P57" s="4"/>
      <c r="Q57" s="4"/>
      <c r="R57" s="4"/>
      <c r="S57" s="4"/>
      <c r="T57" s="4"/>
      <c r="U57" s="4"/>
      <c r="V57" s="4"/>
      <c r="W57" s="4"/>
      <c r="X57" s="4"/>
      <c r="Y57" s="4"/>
      <c r="Z57" s="4"/>
    </row>
    <row r="58" spans="1:26" ht="12.75" customHeight="1" x14ac:dyDescent="0.25">
      <c r="A58" s="4"/>
      <c r="B58" s="2185" t="s">
        <v>1300</v>
      </c>
      <c r="C58" s="2149"/>
      <c r="D58" s="2149"/>
      <c r="E58" s="2149"/>
      <c r="F58" s="2149"/>
      <c r="G58" s="2149"/>
      <c r="H58" s="2149"/>
      <c r="I58" s="2149"/>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1469" t="s">
        <v>1301</v>
      </c>
      <c r="C65" s="1469"/>
      <c r="D65" s="1470"/>
      <c r="E65" s="1470"/>
      <c r="F65" s="1470"/>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3"/>
      <c r="C67" s="1078">
        <v>2011</v>
      </c>
      <c r="D67" s="2199" t="s">
        <v>1302</v>
      </c>
      <c r="E67" s="2200"/>
      <c r="F67" s="2167"/>
      <c r="G67" s="1489" t="s">
        <v>1303</v>
      </c>
      <c r="H67" s="122" t="s">
        <v>1304</v>
      </c>
      <c r="I67" s="230" t="s">
        <v>1305</v>
      </c>
      <c r="J67" s="230" t="s">
        <v>1306</v>
      </c>
      <c r="K67" s="1490" t="s">
        <v>1307</v>
      </c>
      <c r="L67" s="4"/>
      <c r="M67" s="4"/>
      <c r="N67" s="4"/>
      <c r="O67" s="4"/>
      <c r="P67" s="4"/>
      <c r="Q67" s="4"/>
      <c r="R67" s="4"/>
      <c r="S67" s="4"/>
      <c r="T67" s="4"/>
      <c r="U67" s="4"/>
      <c r="V67" s="4"/>
      <c r="W67" s="4"/>
      <c r="X67" s="4"/>
      <c r="Y67" s="4"/>
      <c r="Z67" s="4"/>
    </row>
    <row r="68" spans="1:26" ht="15.75" customHeight="1" x14ac:dyDescent="0.25">
      <c r="A68" s="4"/>
      <c r="B68" s="1491" t="s">
        <v>1308</v>
      </c>
      <c r="C68" s="86" t="s">
        <v>1309</v>
      </c>
      <c r="D68" s="122" t="s">
        <v>1310</v>
      </c>
      <c r="E68" s="122" t="s">
        <v>1311</v>
      </c>
      <c r="F68" s="122" t="s">
        <v>1312</v>
      </c>
      <c r="G68" s="42" t="s">
        <v>819</v>
      </c>
      <c r="H68" s="87" t="s">
        <v>1313</v>
      </c>
      <c r="I68" s="1" t="s">
        <v>1314</v>
      </c>
      <c r="J68" s="1" t="s">
        <v>1315</v>
      </c>
      <c r="K68" s="48"/>
      <c r="L68" s="4"/>
      <c r="M68" s="4"/>
      <c r="N68" s="4"/>
      <c r="O68" s="4"/>
      <c r="P68" s="4"/>
      <c r="Q68" s="4"/>
      <c r="R68" s="4"/>
      <c r="S68" s="4"/>
      <c r="T68" s="4"/>
      <c r="U68" s="4"/>
      <c r="V68" s="4"/>
      <c r="W68" s="4"/>
      <c r="X68" s="4"/>
      <c r="Y68" s="4"/>
      <c r="Z68" s="4"/>
    </row>
    <row r="69" spans="1:26" ht="15.75" customHeight="1" x14ac:dyDescent="0.25">
      <c r="A69" s="4"/>
      <c r="B69" s="173"/>
      <c r="C69" s="358"/>
      <c r="D69" s="358" t="s">
        <v>1316</v>
      </c>
      <c r="E69" s="358" t="s">
        <v>1317</v>
      </c>
      <c r="F69" s="358" t="s">
        <v>1317</v>
      </c>
      <c r="G69" s="1492"/>
      <c r="H69" s="358"/>
      <c r="I69" s="39"/>
      <c r="J69" s="39"/>
      <c r="K69" s="174"/>
      <c r="L69" s="4"/>
      <c r="M69" s="4"/>
      <c r="N69" s="4"/>
      <c r="O69" s="4"/>
      <c r="P69" s="4"/>
      <c r="Q69" s="4"/>
      <c r="R69" s="4"/>
      <c r="S69" s="4"/>
      <c r="T69" s="4"/>
      <c r="U69" s="4"/>
      <c r="V69" s="4"/>
      <c r="W69" s="4"/>
      <c r="X69" s="4"/>
      <c r="Y69" s="4"/>
      <c r="Z69" s="4"/>
    </row>
    <row r="70" spans="1:26" ht="15.75" customHeight="1" x14ac:dyDescent="0.25">
      <c r="A70" s="4"/>
      <c r="B70" s="226" t="s">
        <v>1318</v>
      </c>
      <c r="C70" s="503">
        <v>6172</v>
      </c>
      <c r="D70" s="498">
        <v>31.87</v>
      </c>
      <c r="E70" s="1493">
        <v>9.4955026735800017E-5</v>
      </c>
      <c r="F70" s="1493">
        <v>9.4955026735800007E-4</v>
      </c>
      <c r="G70" s="1494">
        <v>1</v>
      </c>
      <c r="H70" s="1495">
        <f>C70*1000*D70*(44/12)*0.00045359237*0.001/1000000</f>
        <v>3.271486645917849E-4</v>
      </c>
      <c r="I70" s="1496">
        <f>C70*E70*$I$27*0.000001</f>
        <v>1.5530654262853981E-4</v>
      </c>
      <c r="J70" s="1497">
        <f>C70*F70*$I$26*0.000001</f>
        <v>1.6409747900374014E-4</v>
      </c>
      <c r="K70" s="1498">
        <f>H70+I70+J70</f>
        <v>6.4655268622406488E-4</v>
      </c>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t="s">
        <v>1319</v>
      </c>
      <c r="C72" s="98">
        <f>C70*1000</f>
        <v>6172000</v>
      </c>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t="s">
        <v>1320</v>
      </c>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2.75" customHeight="1" x14ac:dyDescent="0.25">
      <c r="A77" s="4"/>
      <c r="B77" s="2185" t="s">
        <v>1321</v>
      </c>
      <c r="C77" s="2149"/>
      <c r="D77" s="2149"/>
      <c r="E77" s="2149"/>
      <c r="F77" s="2149"/>
      <c r="G77" s="2149"/>
      <c r="H77" s="2149"/>
      <c r="I77" s="2149"/>
      <c r="J77" s="4"/>
      <c r="K77" s="4"/>
      <c r="L77" s="4"/>
      <c r="M77" s="4"/>
      <c r="N77" s="4"/>
      <c r="O77" s="4"/>
      <c r="P77" s="4"/>
      <c r="Q77" s="4"/>
      <c r="R77" s="4"/>
      <c r="S77" s="4"/>
      <c r="T77" s="4"/>
      <c r="U77" s="4"/>
      <c r="V77" s="4"/>
      <c r="W77" s="4"/>
      <c r="X77" s="4"/>
      <c r="Y77" s="4"/>
      <c r="Z77" s="4"/>
    </row>
    <row r="78" spans="1:26" ht="15.75" customHeight="1" x14ac:dyDescent="0.25">
      <c r="A78" s="4"/>
      <c r="B78" s="1100"/>
      <c r="C78" s="1100"/>
      <c r="D78" s="1100"/>
      <c r="E78" s="1100"/>
      <c r="F78" s="1100"/>
      <c r="G78" s="1100"/>
      <c r="H78" s="1100"/>
      <c r="I78" s="1100"/>
      <c r="J78" s="4"/>
      <c r="K78" s="4"/>
      <c r="L78" s="4"/>
      <c r="M78" s="4"/>
      <c r="N78" s="4"/>
      <c r="O78" s="4"/>
      <c r="P78" s="4"/>
      <c r="Q78" s="4"/>
      <c r="R78" s="4"/>
      <c r="S78" s="4"/>
      <c r="T78" s="4"/>
      <c r="U78" s="4"/>
      <c r="V78" s="4"/>
      <c r="W78" s="4"/>
      <c r="X78" s="4"/>
      <c r="Y78" s="4"/>
      <c r="Z78" s="4"/>
    </row>
    <row r="79" spans="1:26" ht="15.75" customHeight="1" x14ac:dyDescent="0.25">
      <c r="A79" s="4"/>
      <c r="B79" s="1100"/>
      <c r="C79" s="1100"/>
      <c r="D79" s="1100"/>
      <c r="E79" s="1100"/>
      <c r="F79" s="1100"/>
      <c r="G79" s="1100"/>
      <c r="H79" s="1100"/>
      <c r="I79" s="1100"/>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3">
      <c r="A81" s="4"/>
      <c r="B81" s="1499" t="s">
        <v>1322</v>
      </c>
      <c r="C81" s="1500"/>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1501"/>
      <c r="C82" s="1502">
        <v>2011</v>
      </c>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143" t="s">
        <v>221</v>
      </c>
      <c r="C83" s="1503">
        <f>C84+C85+C86+C87</f>
        <v>0.92553033165197895</v>
      </c>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1504" t="s">
        <v>1323</v>
      </c>
      <c r="C84" s="1505">
        <f>F10</f>
        <v>9.1888648245384938E-4</v>
      </c>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1504" t="s">
        <v>1324</v>
      </c>
      <c r="C85" s="1505">
        <f>F51</f>
        <v>3.8166457701753455E-2</v>
      </c>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1504" t="s">
        <v>1325</v>
      </c>
      <c r="C86" s="1505">
        <f>F34</f>
        <v>0.88579843478154763</v>
      </c>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143" t="s">
        <v>1326</v>
      </c>
      <c r="C87" s="1505">
        <f>K70</f>
        <v>6.4655268622406488E-4</v>
      </c>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152"/>
      <c r="C88" s="591"/>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oHSOHo0rE/QmoyQueyHCQjfTK1zwPD3mkva0aUbJE+f0r9+tN9QdozSe8jIqzFCoe0GY4/wc911jlRuVij8txg==" saltValue="Sy87+A4aW5rLicAi8salbg==" spinCount="100000" sheet="1" objects="1" scenarios="1"/>
  <mergeCells count="14">
    <mergeCell ref="D67:F67"/>
    <mergeCell ref="B77:I77"/>
    <mergeCell ref="B13:I13"/>
    <mergeCell ref="B15:I15"/>
    <mergeCell ref="C21:F21"/>
    <mergeCell ref="H23:I23"/>
    <mergeCell ref="B36:I36"/>
    <mergeCell ref="B38:I38"/>
    <mergeCell ref="D46:D47"/>
    <mergeCell ref="B54:I54"/>
    <mergeCell ref="B55:I55"/>
    <mergeCell ref="B56:I56"/>
    <mergeCell ref="B57:I57"/>
    <mergeCell ref="B58:I58"/>
  </mergeCells>
  <hyperlinks>
    <hyperlink ref="C14" r:id="rId1" xr:uid="{00000000-0004-0000-1100-000000000000}"/>
  </hyperlinks>
  <pageMargins left="0.7" right="0.7" top="0.75" bottom="0.75" header="0" footer="0"/>
  <pageSetup orientation="landscape"/>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defaultColWidth="16.83203125" defaultRowHeight="15" customHeight="1" x14ac:dyDescent="0.2"/>
  <cols>
    <col min="1" max="1" width="4.6640625" customWidth="1"/>
    <col min="2" max="2" width="26.6640625" customWidth="1"/>
    <col min="3" max="3" width="23.5" customWidth="1"/>
    <col min="4" max="4" width="19" customWidth="1"/>
    <col min="5" max="5" width="3.83203125" customWidth="1"/>
    <col min="6" max="6" width="13.83203125" customWidth="1"/>
    <col min="7" max="7" width="3.83203125" customWidth="1"/>
    <col min="8" max="8" width="18.83203125" customWidth="1"/>
    <col min="9" max="9" width="3.83203125" customWidth="1"/>
    <col min="10" max="10" width="10.6640625" customWidth="1"/>
    <col min="11" max="11" width="3.83203125" customWidth="1"/>
    <col min="12" max="12" width="12.83203125" customWidth="1"/>
    <col min="13" max="13" width="3.83203125" customWidth="1"/>
    <col min="14" max="14" width="10.33203125" customWidth="1"/>
    <col min="15" max="16" width="9.33203125" customWidth="1"/>
    <col min="17" max="17" width="12.1640625" customWidth="1"/>
    <col min="18" max="19" width="9.33203125" customWidth="1"/>
    <col min="20" max="26" width="8" customWidth="1"/>
  </cols>
  <sheetData>
    <row r="1" spans="1:26" x14ac:dyDescent="0.25">
      <c r="A1" s="4" t="s">
        <v>1327</v>
      </c>
      <c r="B1" s="260"/>
      <c r="C1" s="4"/>
      <c r="D1" s="3" t="s">
        <v>268</v>
      </c>
      <c r="E1" s="4"/>
      <c r="F1" s="4"/>
      <c r="G1" s="4"/>
      <c r="H1" s="4"/>
      <c r="I1" s="4"/>
      <c r="J1" s="4"/>
      <c r="K1" s="4"/>
      <c r="L1" s="4"/>
      <c r="M1" s="4"/>
      <c r="N1" s="4"/>
      <c r="O1" s="4"/>
      <c r="P1" s="4"/>
      <c r="Q1" s="4"/>
      <c r="R1" s="4"/>
      <c r="S1" s="4"/>
      <c r="T1" s="4"/>
      <c r="U1" s="4"/>
      <c r="V1" s="4"/>
      <c r="W1" s="4"/>
      <c r="X1" s="4"/>
      <c r="Y1" s="4"/>
      <c r="Z1" s="4"/>
    </row>
    <row r="2" spans="1:26" ht="206.25" customHeight="1" x14ac:dyDescent="0.25">
      <c r="A2" s="1"/>
      <c r="B2" s="1506"/>
      <c r="C2" s="4"/>
      <c r="D2" s="4"/>
      <c r="E2" s="4"/>
      <c r="F2" s="4"/>
      <c r="G2" s="4"/>
      <c r="H2" s="4"/>
      <c r="I2" s="4"/>
      <c r="J2" s="4"/>
      <c r="K2" s="4"/>
      <c r="L2" s="4"/>
      <c r="M2" s="4"/>
      <c r="N2" s="4"/>
      <c r="O2" s="4"/>
      <c r="P2" s="4"/>
      <c r="Q2" s="4"/>
      <c r="R2" s="4"/>
      <c r="S2" s="4"/>
      <c r="T2" s="4"/>
      <c r="U2" s="4"/>
      <c r="V2" s="4"/>
      <c r="W2" s="4"/>
      <c r="X2" s="4"/>
      <c r="Y2" s="4"/>
      <c r="Z2" s="4"/>
    </row>
    <row r="3" spans="1:26" ht="20.25" customHeight="1" x14ac:dyDescent="0.35">
      <c r="A3" s="4"/>
      <c r="B3" s="4" t="s">
        <v>1328</v>
      </c>
      <c r="C3" s="4"/>
      <c r="D3" s="4"/>
      <c r="E3" s="4"/>
      <c r="F3" s="4"/>
      <c r="G3" s="4"/>
      <c r="H3" s="4"/>
      <c r="I3" s="4"/>
      <c r="J3" s="4"/>
      <c r="K3" s="4"/>
      <c r="L3" s="4"/>
      <c r="M3" s="4"/>
      <c r="N3" s="4"/>
      <c r="O3" s="4"/>
      <c r="P3" s="4"/>
      <c r="Q3" s="4"/>
      <c r="R3" s="4"/>
      <c r="S3" s="4"/>
      <c r="T3" s="4"/>
      <c r="U3" s="4"/>
      <c r="V3" s="4"/>
      <c r="W3" s="4"/>
      <c r="X3" s="4"/>
      <c r="Y3" s="4"/>
      <c r="Z3" s="4"/>
    </row>
    <row r="4" spans="1:26" ht="90" customHeight="1" x14ac:dyDescent="0.25">
      <c r="A4" s="1507"/>
      <c r="B4" s="1508" t="s">
        <v>1329</v>
      </c>
      <c r="C4" s="1509" t="s">
        <v>1330</v>
      </c>
      <c r="D4" s="1509" t="s">
        <v>1331</v>
      </c>
      <c r="E4" s="1509"/>
      <c r="F4" s="1509" t="s">
        <v>1332</v>
      </c>
      <c r="G4" s="1509"/>
      <c r="H4" s="1509" t="s">
        <v>1333</v>
      </c>
      <c r="I4" s="775"/>
      <c r="J4" s="1509" t="s">
        <v>1334</v>
      </c>
      <c r="K4" s="775"/>
      <c r="L4" s="1509" t="s">
        <v>1335</v>
      </c>
      <c r="M4" s="100"/>
      <c r="N4" s="1510" t="s">
        <v>1336</v>
      </c>
      <c r="O4" s="4"/>
      <c r="P4" s="4"/>
      <c r="Q4" s="810" t="s">
        <v>1337</v>
      </c>
      <c r="R4" s="4"/>
      <c r="S4" s="4"/>
      <c r="T4" s="4"/>
      <c r="U4" s="4"/>
      <c r="V4" s="4"/>
      <c r="W4" s="4"/>
      <c r="X4" s="4"/>
      <c r="Y4" s="4"/>
      <c r="Z4" s="4"/>
    </row>
    <row r="5" spans="1:26" ht="18.75" customHeight="1" x14ac:dyDescent="0.35">
      <c r="A5" s="1507"/>
      <c r="B5" s="1511" t="s">
        <v>1338</v>
      </c>
      <c r="C5" s="105"/>
      <c r="D5" s="106"/>
      <c r="E5" s="106"/>
      <c r="F5" s="107"/>
      <c r="G5" s="107"/>
      <c r="H5" s="107"/>
      <c r="I5" s="107"/>
      <c r="J5" s="107"/>
      <c r="K5" s="107"/>
      <c r="L5" s="107"/>
      <c r="M5" s="107"/>
      <c r="N5" s="108"/>
      <c r="O5" s="4"/>
      <c r="P5" s="4"/>
      <c r="Q5" s="265">
        <v>19.2</v>
      </c>
      <c r="R5" s="265" t="s">
        <v>1339</v>
      </c>
      <c r="S5" s="265"/>
      <c r="T5" s="4"/>
      <c r="U5" s="4"/>
      <c r="V5" s="4"/>
      <c r="W5" s="4"/>
      <c r="X5" s="4"/>
      <c r="Y5" s="4"/>
      <c r="Z5" s="4"/>
    </row>
    <row r="6" spans="1:26" x14ac:dyDescent="0.25">
      <c r="A6" s="1507"/>
      <c r="B6" s="1512" t="s">
        <v>1340</v>
      </c>
      <c r="C6" s="1513"/>
      <c r="D6" s="1514">
        <v>0</v>
      </c>
      <c r="E6" s="106" t="s">
        <v>1341</v>
      </c>
      <c r="F6" s="1514">
        <v>0</v>
      </c>
      <c r="G6" s="1515" t="s">
        <v>1342</v>
      </c>
      <c r="H6" s="1514">
        <v>0</v>
      </c>
      <c r="I6" s="106" t="s">
        <v>836</v>
      </c>
      <c r="J6" s="1390">
        <f>D6+F6-H6</f>
        <v>0</v>
      </c>
      <c r="K6" s="106" t="s">
        <v>836</v>
      </c>
      <c r="L6" s="232">
        <f>J6*1000000*0.0000192</f>
        <v>0</v>
      </c>
      <c r="M6" s="106" t="s">
        <v>836</v>
      </c>
      <c r="N6" s="787">
        <f>(L6*$R$15)</f>
        <v>0</v>
      </c>
      <c r="O6" s="4"/>
      <c r="P6" s="4"/>
      <c r="Q6" s="265">
        <v>9.9999999999999995E-7</v>
      </c>
      <c r="R6" s="265" t="s">
        <v>1343</v>
      </c>
      <c r="S6" s="265"/>
      <c r="T6" s="4"/>
      <c r="U6" s="4"/>
      <c r="V6" s="4"/>
      <c r="W6" s="4"/>
      <c r="X6" s="4"/>
      <c r="Y6" s="4"/>
      <c r="Z6" s="4"/>
    </row>
    <row r="7" spans="1:26" x14ac:dyDescent="0.25">
      <c r="A7" s="1507"/>
      <c r="B7" s="1511"/>
      <c r="C7" s="1513"/>
      <c r="D7" s="1393"/>
      <c r="E7" s="106"/>
      <c r="F7" s="106"/>
      <c r="G7" s="106"/>
      <c r="H7" s="232"/>
      <c r="I7" s="106"/>
      <c r="J7" s="1166"/>
      <c r="K7" s="106"/>
      <c r="L7" s="942"/>
      <c r="M7" s="106"/>
      <c r="N7" s="165"/>
      <c r="O7" s="4"/>
      <c r="P7" s="4"/>
      <c r="Q7" s="265">
        <v>21</v>
      </c>
      <c r="R7" s="265" t="s">
        <v>629</v>
      </c>
      <c r="S7" s="265"/>
      <c r="T7" s="4"/>
      <c r="U7" s="4"/>
      <c r="V7" s="4"/>
      <c r="W7" s="4"/>
      <c r="X7" s="4"/>
      <c r="Y7" s="4"/>
      <c r="Z7" s="4"/>
    </row>
    <row r="8" spans="1:26" ht="55.5" customHeight="1" x14ac:dyDescent="0.25">
      <c r="A8" s="1507"/>
      <c r="B8" s="781"/>
      <c r="C8" s="1350"/>
      <c r="D8" s="1516" t="s">
        <v>1344</v>
      </c>
      <c r="E8" s="106"/>
      <c r="F8" s="1517" t="s">
        <v>1345</v>
      </c>
      <c r="G8" s="106"/>
      <c r="H8" s="1517" t="s">
        <v>1346</v>
      </c>
      <c r="I8" s="106"/>
      <c r="J8" s="1517" t="s">
        <v>1347</v>
      </c>
      <c r="K8" s="107"/>
      <c r="L8" s="1517" t="s">
        <v>1348</v>
      </c>
      <c r="M8" s="106"/>
      <c r="N8" s="165"/>
      <c r="O8" s="4"/>
      <c r="P8" s="4"/>
      <c r="Q8" s="4"/>
      <c r="R8" s="4"/>
      <c r="S8" s="265"/>
      <c r="T8" s="4"/>
      <c r="U8" s="4"/>
      <c r="V8" s="4"/>
      <c r="W8" s="4"/>
      <c r="X8" s="4"/>
      <c r="Y8" s="4"/>
      <c r="Z8" s="4"/>
    </row>
    <row r="9" spans="1:26" x14ac:dyDescent="0.25">
      <c r="A9" s="1507"/>
      <c r="B9" s="1512" t="s">
        <v>1349</v>
      </c>
      <c r="C9" s="1350" t="s">
        <v>1350</v>
      </c>
      <c r="D9" s="1514">
        <v>2179</v>
      </c>
      <c r="E9" s="106" t="s">
        <v>835</v>
      </c>
      <c r="F9" s="1518">
        <v>119</v>
      </c>
      <c r="G9" s="106" t="s">
        <v>836</v>
      </c>
      <c r="H9" s="232">
        <f>D9*F9</f>
        <v>259301</v>
      </c>
      <c r="I9" s="106" t="s">
        <v>836</v>
      </c>
      <c r="J9" s="232">
        <f>H9*Q5*Q6*1000</f>
        <v>4978.5791999999992</v>
      </c>
      <c r="K9" s="106" t="s">
        <v>836</v>
      </c>
      <c r="L9" s="232">
        <f>(J9*$R$15)</f>
        <v>139400.21759999997</v>
      </c>
      <c r="M9" s="106"/>
      <c r="N9" s="165"/>
      <c r="O9" s="4"/>
      <c r="P9" s="4"/>
      <c r="Q9" s="4"/>
      <c r="R9" s="4"/>
      <c r="S9" s="4"/>
      <c r="T9" s="4"/>
      <c r="U9" s="4"/>
      <c r="V9" s="4"/>
      <c r="W9" s="4"/>
      <c r="X9" s="4"/>
      <c r="Y9" s="4"/>
      <c r="Z9" s="4"/>
    </row>
    <row r="10" spans="1:26" x14ac:dyDescent="0.25">
      <c r="A10" s="1507"/>
      <c r="B10" s="1511"/>
      <c r="C10" s="1350" t="s">
        <v>1351</v>
      </c>
      <c r="D10" s="1519">
        <v>0</v>
      </c>
      <c r="E10" s="106" t="s">
        <v>835</v>
      </c>
      <c r="F10" s="1518">
        <v>0</v>
      </c>
      <c r="G10" s="106" t="s">
        <v>836</v>
      </c>
      <c r="H10" s="1167" t="s">
        <v>1342</v>
      </c>
      <c r="I10" s="106" t="s">
        <v>836</v>
      </c>
      <c r="J10" s="1167" t="s">
        <v>1342</v>
      </c>
      <c r="K10" s="1520" t="s">
        <v>836</v>
      </c>
      <c r="L10" s="1167" t="s">
        <v>1342</v>
      </c>
      <c r="M10" s="106"/>
      <c r="N10" s="165"/>
      <c r="O10" s="4"/>
      <c r="P10" s="4"/>
      <c r="Q10" s="4"/>
      <c r="R10" s="4"/>
      <c r="S10" s="4"/>
      <c r="T10" s="4"/>
      <c r="U10" s="4"/>
      <c r="V10" s="4"/>
      <c r="W10" s="4"/>
      <c r="X10" s="4"/>
      <c r="Y10" s="4"/>
      <c r="Z10" s="4"/>
    </row>
    <row r="11" spans="1:26" x14ac:dyDescent="0.25">
      <c r="A11" s="1507"/>
      <c r="B11" s="104"/>
      <c r="C11" s="107"/>
      <c r="D11" s="106"/>
      <c r="E11" s="107"/>
      <c r="F11" s="1170"/>
      <c r="G11" s="107"/>
      <c r="H11" s="107"/>
      <c r="I11" s="107"/>
      <c r="J11" s="107"/>
      <c r="K11" s="107"/>
      <c r="L11" s="107"/>
      <c r="M11" s="107"/>
      <c r="N11" s="108"/>
      <c r="O11" s="4"/>
      <c r="P11" s="4"/>
      <c r="Q11" s="4"/>
      <c r="R11" s="4"/>
      <c r="S11" s="4"/>
      <c r="T11" s="4"/>
      <c r="U11" s="4"/>
      <c r="V11" s="4"/>
      <c r="W11" s="4"/>
      <c r="X11" s="4"/>
      <c r="Y11" s="4"/>
      <c r="Z11" s="4"/>
    </row>
    <row r="12" spans="1:26" ht="70.5" customHeight="1" x14ac:dyDescent="0.25">
      <c r="A12" s="1507"/>
      <c r="B12" s="1511" t="s">
        <v>1352</v>
      </c>
      <c r="C12" s="105"/>
      <c r="D12" s="1516" t="s">
        <v>1353</v>
      </c>
      <c r="E12" s="106"/>
      <c r="F12" s="1521" t="s">
        <v>1354</v>
      </c>
      <c r="G12" s="106"/>
      <c r="H12" s="1517" t="s">
        <v>1355</v>
      </c>
      <c r="I12" s="107"/>
      <c r="J12" s="1517" t="s">
        <v>1356</v>
      </c>
      <c r="K12" s="107"/>
      <c r="L12" s="1517" t="s">
        <v>1357</v>
      </c>
      <c r="M12" s="107"/>
      <c r="N12" s="1522"/>
      <c r="O12" s="4"/>
      <c r="P12" s="4"/>
      <c r="Q12" s="2146" t="s">
        <v>0</v>
      </c>
      <c r="R12" s="2147"/>
      <c r="S12" s="4"/>
      <c r="T12" s="4"/>
      <c r="U12" s="4"/>
      <c r="V12" s="4"/>
      <c r="W12" s="4"/>
      <c r="X12" s="4"/>
      <c r="Y12" s="4"/>
      <c r="Z12" s="4"/>
    </row>
    <row r="13" spans="1:26" x14ac:dyDescent="0.25">
      <c r="A13" s="1507"/>
      <c r="B13" s="1512" t="s">
        <v>1340</v>
      </c>
      <c r="C13" s="1350" t="s">
        <v>1350</v>
      </c>
      <c r="D13" s="1514">
        <v>782</v>
      </c>
      <c r="E13" s="106" t="s">
        <v>835</v>
      </c>
      <c r="F13" s="1518">
        <v>44.98</v>
      </c>
      <c r="G13" s="106" t="s">
        <v>836</v>
      </c>
      <c r="H13" s="232">
        <f>D13*F13</f>
        <v>35174.36</v>
      </c>
      <c r="I13" s="106" t="s">
        <v>836</v>
      </c>
      <c r="J13" s="232">
        <f>H13*Q5*Q6*1000</f>
        <v>675.34771199999989</v>
      </c>
      <c r="K13" s="1520" t="s">
        <v>836</v>
      </c>
      <c r="L13" s="232">
        <f>(J13*$R$15)</f>
        <v>18909.735935999997</v>
      </c>
      <c r="M13" s="106"/>
      <c r="N13" s="165"/>
      <c r="O13" s="4"/>
      <c r="P13" s="4"/>
      <c r="Q13" s="120"/>
      <c r="R13" s="120"/>
      <c r="S13" s="4"/>
      <c r="T13" s="4"/>
      <c r="U13" s="4"/>
      <c r="V13" s="4"/>
      <c r="W13" s="4"/>
      <c r="X13" s="4"/>
      <c r="Y13" s="4"/>
      <c r="Z13" s="4"/>
    </row>
    <row r="14" spans="1:26" x14ac:dyDescent="0.25">
      <c r="A14" s="1507"/>
      <c r="B14" s="1511"/>
      <c r="C14" s="1350" t="s">
        <v>1351</v>
      </c>
      <c r="D14" s="1514">
        <v>0</v>
      </c>
      <c r="E14" s="106" t="s">
        <v>835</v>
      </c>
      <c r="F14" s="1518">
        <v>0</v>
      </c>
      <c r="G14" s="106" t="s">
        <v>836</v>
      </c>
      <c r="H14" s="1167" t="s">
        <v>1342</v>
      </c>
      <c r="I14" s="106" t="s">
        <v>836</v>
      </c>
      <c r="J14" s="1167" t="s">
        <v>1342</v>
      </c>
      <c r="K14" s="1520" t="s">
        <v>836</v>
      </c>
      <c r="L14" s="1167" t="s">
        <v>1342</v>
      </c>
      <c r="M14" s="106"/>
      <c r="N14" s="165"/>
      <c r="O14" s="4"/>
      <c r="P14" s="4"/>
      <c r="Q14" s="124" t="s">
        <v>4</v>
      </c>
      <c r="R14" s="125">
        <f>'Summ GHG Rpt Expanded'!G4</f>
        <v>1</v>
      </c>
      <c r="S14" s="4"/>
      <c r="T14" s="4"/>
      <c r="U14" s="4"/>
      <c r="V14" s="4"/>
      <c r="W14" s="4"/>
      <c r="X14" s="4"/>
      <c r="Y14" s="4"/>
      <c r="Z14" s="4"/>
    </row>
    <row r="15" spans="1:26" x14ac:dyDescent="0.25">
      <c r="A15" s="1507"/>
      <c r="B15" s="1512" t="s">
        <v>1349</v>
      </c>
      <c r="C15" s="1350" t="s">
        <v>1350</v>
      </c>
      <c r="D15" s="1514">
        <v>2179</v>
      </c>
      <c r="E15" s="106" t="s">
        <v>835</v>
      </c>
      <c r="F15" s="1518">
        <v>19.337499999999999</v>
      </c>
      <c r="G15" s="106" t="s">
        <v>836</v>
      </c>
      <c r="H15" s="232">
        <f>D15*F15</f>
        <v>42136.412499999999</v>
      </c>
      <c r="I15" s="106" t="s">
        <v>836</v>
      </c>
      <c r="J15" s="232">
        <f>H15*Q5*Q6*1000</f>
        <v>809.01911999999993</v>
      </c>
      <c r="K15" s="1520" t="s">
        <v>836</v>
      </c>
      <c r="L15" s="232">
        <f>(J15*$R$15)</f>
        <v>22652.535359999998</v>
      </c>
      <c r="M15" s="106"/>
      <c r="N15" s="165"/>
      <c r="O15" s="4"/>
      <c r="P15" s="4"/>
      <c r="Q15" s="124" t="s">
        <v>5</v>
      </c>
      <c r="R15" s="125">
        <f>'Summ GHG Rpt Expanded'!G5</f>
        <v>28</v>
      </c>
      <c r="S15" s="4"/>
      <c r="T15" s="4"/>
      <c r="U15" s="4"/>
      <c r="V15" s="4"/>
      <c r="W15" s="4"/>
      <c r="X15" s="4"/>
      <c r="Y15" s="4"/>
      <c r="Z15" s="4"/>
    </row>
    <row r="16" spans="1:26" x14ac:dyDescent="0.25">
      <c r="A16" s="1507"/>
      <c r="B16" s="1511"/>
      <c r="C16" s="1350" t="s">
        <v>1351</v>
      </c>
      <c r="D16" s="1514">
        <v>0</v>
      </c>
      <c r="E16" s="106" t="s">
        <v>835</v>
      </c>
      <c r="F16" s="1518">
        <v>0</v>
      </c>
      <c r="G16" s="106" t="s">
        <v>836</v>
      </c>
      <c r="H16" s="1167" t="s">
        <v>1351</v>
      </c>
      <c r="I16" s="106" t="s">
        <v>836</v>
      </c>
      <c r="J16" s="1167" t="s">
        <v>1351</v>
      </c>
      <c r="K16" s="1520" t="s">
        <v>836</v>
      </c>
      <c r="L16" s="1167" t="s">
        <v>1351</v>
      </c>
      <c r="M16" s="106"/>
      <c r="N16" s="165"/>
      <c r="O16" s="4"/>
      <c r="P16" s="4"/>
      <c r="Q16" s="124" t="s">
        <v>6</v>
      </c>
      <c r="R16" s="125">
        <f>'Summ GHG Rpt Expanded'!G6</f>
        <v>265</v>
      </c>
      <c r="S16" s="4"/>
      <c r="T16" s="4"/>
      <c r="U16" s="4"/>
      <c r="V16" s="4"/>
      <c r="W16" s="4"/>
      <c r="X16" s="4"/>
      <c r="Y16" s="4"/>
      <c r="Z16" s="4"/>
    </row>
    <row r="17" spans="1:26" x14ac:dyDescent="0.25">
      <c r="A17" s="1507"/>
      <c r="B17" s="1512" t="s">
        <v>1358</v>
      </c>
      <c r="C17" s="1350"/>
      <c r="D17" s="1513"/>
      <c r="E17" s="106"/>
      <c r="F17" s="106"/>
      <c r="G17" s="106"/>
      <c r="H17" s="232">
        <f>SUM(H13:H16)</f>
        <v>77310.772499999992</v>
      </c>
      <c r="I17" s="106" t="s">
        <v>836</v>
      </c>
      <c r="J17" s="232">
        <f>SUM(J13:J16)</f>
        <v>1484.3668319999997</v>
      </c>
      <c r="K17" s="1520" t="s">
        <v>836</v>
      </c>
      <c r="L17" s="232">
        <f>SUM(L13:L16)</f>
        <v>41562.271295999992</v>
      </c>
      <c r="M17" s="107"/>
      <c r="N17" s="108"/>
      <c r="O17" s="4"/>
      <c r="P17" s="4"/>
      <c r="Q17" s="124" t="s">
        <v>7</v>
      </c>
      <c r="R17" s="129">
        <f>'Summ GHG Rpt Expanded'!G7</f>
        <v>23500</v>
      </c>
      <c r="S17" s="4"/>
      <c r="T17" s="4"/>
      <c r="U17" s="4"/>
      <c r="V17" s="4"/>
      <c r="W17" s="4"/>
      <c r="X17" s="4"/>
      <c r="Y17" s="4"/>
      <c r="Z17" s="4"/>
    </row>
    <row r="18" spans="1:26" x14ac:dyDescent="0.25">
      <c r="A18" s="1507"/>
      <c r="B18" s="104"/>
      <c r="C18" s="107"/>
      <c r="D18" s="106"/>
      <c r="E18" s="107"/>
      <c r="F18" s="107"/>
      <c r="G18" s="107"/>
      <c r="H18" s="107"/>
      <c r="I18" s="107"/>
      <c r="J18" s="107"/>
      <c r="K18" s="107"/>
      <c r="L18" s="107"/>
      <c r="M18" s="107"/>
      <c r="N18" s="108"/>
      <c r="O18" s="4"/>
      <c r="P18" s="4"/>
      <c r="Q18" s="124" t="s">
        <v>8</v>
      </c>
      <c r="R18" s="129">
        <f>'Summ GHG Rpt Expanded'!G8</f>
        <v>11100</v>
      </c>
      <c r="S18" s="4"/>
      <c r="T18" s="4"/>
      <c r="U18" s="4"/>
      <c r="V18" s="4"/>
      <c r="W18" s="4"/>
      <c r="X18" s="4"/>
      <c r="Y18" s="4"/>
      <c r="Z18" s="4"/>
    </row>
    <row r="19" spans="1:26" x14ac:dyDescent="0.25">
      <c r="A19" s="1507"/>
      <c r="B19" s="164" t="s">
        <v>1359</v>
      </c>
      <c r="C19" s="1523" t="s">
        <v>1360</v>
      </c>
      <c r="D19" s="1524">
        <f>SUM(D20:D22)</f>
        <v>180962.48889599997</v>
      </c>
      <c r="E19" s="107"/>
      <c r="F19" s="253"/>
      <c r="G19" s="107"/>
      <c r="H19" s="107"/>
      <c r="I19" s="107"/>
      <c r="J19" s="107"/>
      <c r="K19" s="107"/>
      <c r="L19" s="107"/>
      <c r="M19" s="107"/>
      <c r="N19" s="108"/>
      <c r="O19" s="4"/>
      <c r="P19" s="4"/>
      <c r="Q19" s="4"/>
      <c r="R19" s="4"/>
      <c r="S19" s="4"/>
      <c r="T19" s="4"/>
      <c r="U19" s="4"/>
      <c r="V19" s="4"/>
      <c r="W19" s="4"/>
      <c r="X19" s="4"/>
      <c r="Y19" s="4"/>
      <c r="Z19" s="4"/>
    </row>
    <row r="20" spans="1:26" x14ac:dyDescent="0.25">
      <c r="A20" s="1507"/>
      <c r="B20" s="104"/>
      <c r="C20" s="1525" t="s">
        <v>1340</v>
      </c>
      <c r="D20" s="1520">
        <f>N6</f>
        <v>0</v>
      </c>
      <c r="E20" s="107"/>
      <c r="F20" s="107"/>
      <c r="G20" s="107"/>
      <c r="H20" s="107"/>
      <c r="I20" s="107"/>
      <c r="J20" s="107"/>
      <c r="K20" s="107"/>
      <c r="L20" s="107"/>
      <c r="M20" s="107"/>
      <c r="N20" s="108"/>
      <c r="O20" s="4"/>
      <c r="P20" s="4"/>
      <c r="Q20" s="4"/>
      <c r="R20" s="4"/>
      <c r="S20" s="4"/>
      <c r="T20" s="4"/>
      <c r="U20" s="4"/>
      <c r="V20" s="4"/>
      <c r="W20" s="4"/>
      <c r="X20" s="4"/>
      <c r="Y20" s="4"/>
      <c r="Z20" s="4"/>
    </row>
    <row r="21" spans="1:26" ht="15.75" customHeight="1" x14ac:dyDescent="0.25">
      <c r="A21" s="1507"/>
      <c r="B21" s="104"/>
      <c r="C21" s="1525" t="s">
        <v>1349</v>
      </c>
      <c r="D21" s="1520">
        <f>SUM(L9:L10)</f>
        <v>139400.21759999997</v>
      </c>
      <c r="E21" s="107"/>
      <c r="F21" s="783"/>
      <c r="G21" s="107"/>
      <c r="H21" s="107"/>
      <c r="I21" s="107"/>
      <c r="J21" s="107"/>
      <c r="K21" s="107"/>
      <c r="L21" s="107"/>
      <c r="M21" s="107"/>
      <c r="N21" s="108"/>
      <c r="O21" s="4"/>
      <c r="P21" s="4"/>
      <c r="Q21" s="4"/>
      <c r="R21" s="4"/>
      <c r="S21" s="4"/>
      <c r="T21" s="4"/>
      <c r="U21" s="4"/>
      <c r="V21" s="4"/>
      <c r="W21" s="4"/>
      <c r="X21" s="4"/>
      <c r="Y21" s="4"/>
      <c r="Z21" s="4"/>
    </row>
    <row r="22" spans="1:26" ht="15.75" customHeight="1" x14ac:dyDescent="0.25">
      <c r="A22" s="1507"/>
      <c r="B22" s="104"/>
      <c r="C22" s="1525" t="s">
        <v>1352</v>
      </c>
      <c r="D22" s="1520">
        <f>L17</f>
        <v>41562.271295999992</v>
      </c>
      <c r="E22" s="107"/>
      <c r="F22" s="783"/>
      <c r="G22" s="107"/>
      <c r="H22" s="783"/>
      <c r="I22" s="107"/>
      <c r="J22" s="107"/>
      <c r="K22" s="107"/>
      <c r="L22" s="107"/>
      <c r="M22" s="107"/>
      <c r="N22" s="108"/>
      <c r="O22" s="4"/>
      <c r="P22" s="4"/>
      <c r="Q22" s="4"/>
      <c r="R22" s="4"/>
      <c r="S22" s="4"/>
      <c r="T22" s="4"/>
      <c r="U22" s="4"/>
      <c r="V22" s="4"/>
      <c r="W22" s="4"/>
      <c r="X22" s="4"/>
      <c r="Y22" s="4"/>
      <c r="Z22" s="4"/>
    </row>
    <row r="23" spans="1:26" ht="15.75" customHeight="1" x14ac:dyDescent="0.25">
      <c r="A23" s="1507"/>
      <c r="B23" s="104"/>
      <c r="C23" s="107"/>
      <c r="D23" s="106"/>
      <c r="E23" s="107"/>
      <c r="F23" s="107"/>
      <c r="G23" s="107"/>
      <c r="H23" s="107"/>
      <c r="I23" s="107"/>
      <c r="J23" s="107"/>
      <c r="K23" s="107"/>
      <c r="L23" s="107"/>
      <c r="M23" s="107"/>
      <c r="N23" s="108"/>
      <c r="O23" s="4"/>
      <c r="P23" s="4"/>
      <c r="Q23" s="4"/>
      <c r="R23" s="4"/>
      <c r="S23" s="4"/>
      <c r="T23" s="4"/>
      <c r="U23" s="4"/>
      <c r="V23" s="4"/>
      <c r="W23" s="4"/>
      <c r="X23" s="4"/>
      <c r="Y23" s="4"/>
      <c r="Z23" s="4"/>
    </row>
    <row r="24" spans="1:26" ht="15.75" customHeight="1" x14ac:dyDescent="0.25">
      <c r="A24" s="1"/>
      <c r="B24" s="109"/>
      <c r="C24" s="110"/>
      <c r="D24" s="110"/>
      <c r="E24" s="110"/>
      <c r="F24" s="110"/>
      <c r="G24" s="110"/>
      <c r="H24" s="110"/>
      <c r="I24" s="110"/>
      <c r="J24" s="110"/>
      <c r="K24" s="110"/>
      <c r="L24" s="110"/>
      <c r="M24" s="110"/>
      <c r="N24" s="112"/>
      <c r="O24" s="4"/>
      <c r="P24" s="4"/>
      <c r="Q24" s="4"/>
      <c r="R24" s="4"/>
      <c r="S24" s="4"/>
      <c r="T24" s="4"/>
      <c r="U24" s="4"/>
      <c r="V24" s="4"/>
      <c r="W24" s="4"/>
      <c r="X24" s="4"/>
      <c r="Y24" s="4"/>
      <c r="Z24" s="4"/>
    </row>
    <row r="25" spans="1:26" ht="15.75" customHeight="1" x14ac:dyDescent="0.25">
      <c r="A25" s="1"/>
      <c r="B25" s="1526" t="s">
        <v>1361</v>
      </c>
      <c r="C25" s="4"/>
      <c r="D25" s="4"/>
      <c r="E25" s="4"/>
      <c r="F25" s="4"/>
      <c r="G25" s="4"/>
      <c r="H25" s="4"/>
      <c r="I25" s="4"/>
      <c r="J25" s="4"/>
      <c r="K25" s="4"/>
      <c r="L25" s="4"/>
      <c r="M25" s="4"/>
      <c r="N25" s="4"/>
      <c r="O25" s="4"/>
      <c r="P25" s="4"/>
      <c r="Q25" s="4"/>
      <c r="R25" s="4"/>
      <c r="S25" s="4"/>
      <c r="T25" s="4"/>
      <c r="U25" s="4"/>
      <c r="V25" s="4"/>
      <c r="W25" s="4"/>
      <c r="X25" s="4"/>
      <c r="Y25" s="4"/>
      <c r="Z25" s="4"/>
    </row>
    <row r="26" spans="1:26" ht="60" customHeight="1" x14ac:dyDescent="0.25">
      <c r="A26" s="1"/>
      <c r="B26" s="1527"/>
      <c r="C26" s="1341"/>
      <c r="D26" s="1528" t="s">
        <v>1362</v>
      </c>
      <c r="E26" s="1529"/>
      <c r="F26" s="1530" t="s">
        <v>1363</v>
      </c>
      <c r="G26" s="1341"/>
      <c r="H26" s="1528" t="s">
        <v>959</v>
      </c>
      <c r="I26" s="1531"/>
      <c r="J26" s="1528" t="s">
        <v>1364</v>
      </c>
      <c r="K26" s="1341"/>
      <c r="L26" s="1528" t="s">
        <v>1365</v>
      </c>
      <c r="M26" s="1341"/>
      <c r="N26" s="1532"/>
      <c r="O26" s="4"/>
      <c r="P26" s="4"/>
      <c r="Q26" s="4"/>
      <c r="R26" s="4"/>
      <c r="S26" s="4"/>
      <c r="T26" s="4"/>
      <c r="U26" s="4"/>
      <c r="V26" s="4"/>
      <c r="W26" s="4"/>
      <c r="X26" s="4"/>
      <c r="Y26" s="4"/>
      <c r="Z26" s="4"/>
    </row>
    <row r="27" spans="1:26" ht="15.75" customHeight="1" x14ac:dyDescent="0.25">
      <c r="A27" s="1"/>
      <c r="B27" s="1533"/>
      <c r="C27" s="1534" t="s">
        <v>1366</v>
      </c>
      <c r="D27" s="107">
        <v>0.2893143272</v>
      </c>
      <c r="E27" s="106" t="s">
        <v>835</v>
      </c>
      <c r="F27" s="1535">
        <v>0.125</v>
      </c>
      <c r="G27" s="106" t="s">
        <v>836</v>
      </c>
      <c r="H27" s="1390">
        <f t="shared" ref="H27:H29" si="0">D27*F27*1000*12/44*21</f>
        <v>207.12275697272727</v>
      </c>
      <c r="I27" s="106" t="s">
        <v>836</v>
      </c>
      <c r="J27" s="1390">
        <f t="shared" ref="J27:J29" si="1">D27*F27*1000</f>
        <v>36.164290899999997</v>
      </c>
      <c r="K27" s="106" t="s">
        <v>836</v>
      </c>
      <c r="L27" s="1390">
        <f t="shared" ref="L27:L29" si="2">D27*F27*1000*$R$15</f>
        <v>1012.6001451999999</v>
      </c>
      <c r="M27" s="107"/>
      <c r="N27" s="1346"/>
      <c r="O27" s="4"/>
      <c r="P27" s="4"/>
      <c r="Q27" s="4"/>
      <c r="R27" s="4"/>
      <c r="S27" s="4"/>
      <c r="T27" s="4"/>
      <c r="U27" s="4"/>
      <c r="V27" s="4"/>
      <c r="W27" s="4"/>
      <c r="X27" s="4"/>
      <c r="Y27" s="4"/>
      <c r="Z27" s="4"/>
    </row>
    <row r="28" spans="1:26" ht="15.75" customHeight="1" x14ac:dyDescent="0.25">
      <c r="A28" s="1"/>
      <c r="B28" s="1533"/>
      <c r="C28" s="1534" t="s">
        <v>1367</v>
      </c>
      <c r="D28" s="107">
        <v>0.2893143272</v>
      </c>
      <c r="E28" s="106" t="s">
        <v>835</v>
      </c>
      <c r="F28" s="1535">
        <v>0.25</v>
      </c>
      <c r="G28" s="106" t="s">
        <v>836</v>
      </c>
      <c r="H28" s="1390">
        <f t="shared" si="0"/>
        <v>414.24551394545455</v>
      </c>
      <c r="I28" s="106" t="s">
        <v>836</v>
      </c>
      <c r="J28" s="1390">
        <f t="shared" si="1"/>
        <v>72.328581799999995</v>
      </c>
      <c r="K28" s="106" t="s">
        <v>836</v>
      </c>
      <c r="L28" s="1390">
        <f t="shared" si="2"/>
        <v>2025.2002903999999</v>
      </c>
      <c r="M28" s="107"/>
      <c r="N28" s="1346"/>
      <c r="O28" s="4"/>
      <c r="P28" s="4"/>
      <c r="Q28" s="4"/>
      <c r="R28" s="4"/>
      <c r="S28" s="4"/>
      <c r="T28" s="4"/>
      <c r="U28" s="4"/>
      <c r="V28" s="4"/>
      <c r="W28" s="4"/>
      <c r="X28" s="4"/>
      <c r="Y28" s="4"/>
      <c r="Z28" s="4"/>
    </row>
    <row r="29" spans="1:26" ht="15.75" customHeight="1" x14ac:dyDescent="0.25">
      <c r="A29" s="1"/>
      <c r="B29" s="1536"/>
      <c r="C29" s="1537" t="s">
        <v>1368</v>
      </c>
      <c r="D29" s="1331">
        <v>0.2893143272</v>
      </c>
      <c r="E29" s="1356" t="s">
        <v>835</v>
      </c>
      <c r="F29" s="1538">
        <v>0.625</v>
      </c>
      <c r="G29" s="1356" t="s">
        <v>836</v>
      </c>
      <c r="H29" s="1539">
        <f t="shared" si="0"/>
        <v>1035.6137848636363</v>
      </c>
      <c r="I29" s="1356" t="s">
        <v>836</v>
      </c>
      <c r="J29" s="1539">
        <f t="shared" si="1"/>
        <v>180.82145450000002</v>
      </c>
      <c r="K29" s="1356" t="s">
        <v>836</v>
      </c>
      <c r="L29" s="1539">
        <f t="shared" si="2"/>
        <v>5063.0007260000002</v>
      </c>
      <c r="M29" s="1331"/>
      <c r="N29" s="1358"/>
      <c r="O29" s="4"/>
      <c r="P29" s="4"/>
      <c r="Q29" s="4"/>
      <c r="R29" s="4"/>
      <c r="S29" s="4"/>
      <c r="T29" s="4"/>
      <c r="U29" s="4"/>
      <c r="V29" s="4"/>
      <c r="W29" s="4"/>
      <c r="X29" s="4"/>
      <c r="Y29" s="4"/>
      <c r="Z29" s="4"/>
    </row>
    <row r="30" spans="1:26" ht="15.75" customHeight="1" x14ac:dyDescent="0.25">
      <c r="A30" s="1"/>
      <c r="B30" s="1506"/>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5">
      <c r="A31" s="1"/>
      <c r="B31" s="1506"/>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5">
      <c r="A32" s="1"/>
      <c r="B32" s="1526" t="s">
        <v>1369</v>
      </c>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5">
      <c r="A33" s="1"/>
      <c r="B33" s="1540" t="s">
        <v>1370</v>
      </c>
      <c r="C33" s="4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5">
      <c r="A34" s="1"/>
      <c r="B34" s="1540"/>
      <c r="C34" s="1541">
        <v>2011</v>
      </c>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5">
      <c r="A35" s="1"/>
      <c r="B35" s="47" t="s">
        <v>1371</v>
      </c>
      <c r="C35" s="1542">
        <f>D19/1000000</f>
        <v>0.18096248889599997</v>
      </c>
      <c r="D35" s="1543"/>
      <c r="E35" s="4"/>
      <c r="F35" s="4"/>
      <c r="G35" s="4"/>
      <c r="H35" s="4"/>
      <c r="I35" s="4"/>
      <c r="J35" s="4"/>
      <c r="K35" s="4"/>
      <c r="L35" s="4"/>
      <c r="M35" s="4"/>
      <c r="N35" s="4"/>
      <c r="O35" s="4"/>
      <c r="P35" s="4"/>
      <c r="Q35" s="4"/>
      <c r="R35" s="4"/>
      <c r="S35" s="4"/>
      <c r="T35" s="4"/>
      <c r="U35" s="4"/>
      <c r="V35" s="4"/>
      <c r="W35" s="4"/>
      <c r="X35" s="4"/>
      <c r="Y35" s="4"/>
      <c r="Z35" s="4"/>
    </row>
    <row r="36" spans="1:26" ht="15.75" customHeight="1" x14ac:dyDescent="0.25">
      <c r="A36" s="1"/>
      <c r="B36" s="47" t="s">
        <v>1372</v>
      </c>
      <c r="C36" s="1542">
        <f>SUM(C37:C39)</f>
        <v>8.1008011616000002E-3</v>
      </c>
      <c r="D36" s="154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5">
      <c r="A37" s="1"/>
      <c r="B37" s="1545" t="s">
        <v>1366</v>
      </c>
      <c r="C37" s="1542">
        <f t="shared" ref="C37:C39" si="3">L27/1000000</f>
        <v>1.0126001452E-3</v>
      </c>
      <c r="D37" s="154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5">
      <c r="A38" s="1"/>
      <c r="B38" s="1545" t="s">
        <v>1367</v>
      </c>
      <c r="C38" s="1542">
        <f t="shared" si="3"/>
        <v>2.0252002904000001E-3</v>
      </c>
      <c r="D38" s="154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1"/>
      <c r="B39" s="1545" t="s">
        <v>1368</v>
      </c>
      <c r="C39" s="1542">
        <f t="shared" si="3"/>
        <v>5.0630007260000004E-3</v>
      </c>
      <c r="D39" s="154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1"/>
      <c r="B40" s="1546"/>
      <c r="C40" s="17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1"/>
      <c r="B41" s="1506"/>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1"/>
      <c r="B42" s="1506"/>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1540" t="s">
        <v>1373</v>
      </c>
      <c r="C43" s="4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
      <c r="B44" s="1540"/>
      <c r="C44" s="1541">
        <v>2011</v>
      </c>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7" t="s">
        <v>1371</v>
      </c>
      <c r="C45" s="207">
        <f>D19</f>
        <v>180962.48889599997</v>
      </c>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7" t="s">
        <v>1372</v>
      </c>
      <c r="C46" s="207">
        <f>SUM(C47:C49)</f>
        <v>8100.8011616000003</v>
      </c>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1545" t="s">
        <v>1366</v>
      </c>
      <c r="C47" s="207">
        <f t="shared" ref="C47:C49" si="4">L27</f>
        <v>1012.6001451999999</v>
      </c>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1545" t="s">
        <v>1367</v>
      </c>
      <c r="C48" s="207">
        <f t="shared" si="4"/>
        <v>2025.2002903999999</v>
      </c>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1545" t="s">
        <v>1368</v>
      </c>
      <c r="C49" s="207">
        <f t="shared" si="4"/>
        <v>5063.0007260000002</v>
      </c>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220"/>
      <c r="C50" s="1547"/>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1540" t="s">
        <v>1374</v>
      </c>
      <c r="C51" s="1548">
        <v>2011</v>
      </c>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7" t="s">
        <v>1371</v>
      </c>
      <c r="C52" s="207">
        <f>C45*12/44</f>
        <v>49353.406062545444</v>
      </c>
      <c r="D52" s="65"/>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7" t="s">
        <v>1372</v>
      </c>
      <c r="C53" s="207">
        <f>SUM(C54:C56)</f>
        <v>1656.982055781818</v>
      </c>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1545" t="s">
        <v>1366</v>
      </c>
      <c r="C54" s="207">
        <f t="shared" ref="C54:C56" si="5">H27</f>
        <v>207.12275697272727</v>
      </c>
      <c r="D54" s="65"/>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1545" t="s">
        <v>1367</v>
      </c>
      <c r="C55" s="207">
        <f t="shared" si="5"/>
        <v>414.24551394545455</v>
      </c>
      <c r="D55" s="65"/>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1545" t="s">
        <v>1368</v>
      </c>
      <c r="C56" s="207">
        <f t="shared" si="5"/>
        <v>1035.6137848636363</v>
      </c>
      <c r="D56" s="65"/>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220"/>
      <c r="C57" s="1547"/>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1540" t="s">
        <v>1375</v>
      </c>
      <c r="C58" s="1548">
        <v>2011</v>
      </c>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7" t="s">
        <v>1371</v>
      </c>
      <c r="C59" s="207">
        <f>C45/21</f>
        <v>8617.2613759999986</v>
      </c>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7" t="s">
        <v>1372</v>
      </c>
      <c r="C60" s="207">
        <f>SUM(C61:C63)</f>
        <v>289.31432719999998</v>
      </c>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1545" t="s">
        <v>1366</v>
      </c>
      <c r="C61" s="207">
        <f t="shared" ref="C61:C63" si="6">J27</f>
        <v>36.164290899999997</v>
      </c>
      <c r="D61" s="65"/>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1545" t="s">
        <v>1367</v>
      </c>
      <c r="C62" s="207">
        <f t="shared" si="6"/>
        <v>72.328581799999995</v>
      </c>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1549" t="s">
        <v>1368</v>
      </c>
      <c r="C63" s="1547">
        <f t="shared" si="6"/>
        <v>180.82145450000002</v>
      </c>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t="s">
        <v>1376</v>
      </c>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t="s">
        <v>1377</v>
      </c>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1468" t="s">
        <v>1378</v>
      </c>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t="s">
        <v>1379</v>
      </c>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t="s">
        <v>1380</v>
      </c>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1468" t="s">
        <v>1381</v>
      </c>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PRHQq6mVRvje7CEvdzTaYpSz1n+k84ErvYP+bYueUAq3eGVLDIF9BYpO4vdO+5+zrf2bTrIaLCW+X+RVZQDjnw==" saltValue="5+gq3pat7IZdqkz1FZvTxA==" spinCount="100000" sheet="1" objects="1" scenarios="1"/>
  <mergeCells count="1">
    <mergeCell ref="Q12:R12"/>
  </mergeCells>
  <hyperlinks>
    <hyperlink ref="D67" r:id="rId1" xr:uid="{00000000-0004-0000-1200-000000000000}"/>
    <hyperlink ref="D70" r:id="rId2" xr:uid="{00000000-0004-0000-1200-000001000000}"/>
  </hyperlinks>
  <pageMargins left="0.7" right="0.7" top="0.75" bottom="0.75" header="0" footer="0"/>
  <pageSetup orientation="landscape"/>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6.83203125" defaultRowHeight="15" customHeight="1" x14ac:dyDescent="0.2"/>
  <cols>
    <col min="1" max="1" width="3.1640625" customWidth="1"/>
    <col min="2" max="2" width="4.83203125" customWidth="1"/>
    <col min="3" max="3" width="15.6640625" customWidth="1"/>
    <col min="4" max="4" width="37.6640625" customWidth="1"/>
    <col min="5" max="7" width="15.33203125" customWidth="1"/>
    <col min="8" max="8" width="12" customWidth="1"/>
    <col min="9" max="9" width="14.6640625" customWidth="1"/>
    <col min="10" max="11" width="9.33203125" customWidth="1"/>
    <col min="12" max="26" width="8" customWidth="1"/>
  </cols>
  <sheetData>
    <row r="1" spans="1:26" x14ac:dyDescent="0.25">
      <c r="A1" s="4"/>
      <c r="B1" s="4"/>
      <c r="C1" s="4"/>
      <c r="D1" s="4"/>
      <c r="E1" s="4"/>
      <c r="F1" s="4"/>
      <c r="G1" s="4"/>
      <c r="H1" s="4"/>
      <c r="I1" s="4"/>
      <c r="J1" s="4"/>
      <c r="K1" s="4"/>
      <c r="L1" s="4"/>
      <c r="M1" s="4"/>
      <c r="N1" s="4"/>
      <c r="O1" s="4"/>
      <c r="P1" s="4"/>
      <c r="Q1" s="4"/>
      <c r="R1" s="4"/>
      <c r="S1" s="4"/>
      <c r="T1" s="4"/>
      <c r="U1" s="4"/>
      <c r="V1" s="4"/>
      <c r="W1" s="4"/>
      <c r="X1" s="4"/>
      <c r="Y1" s="4"/>
      <c r="Z1" s="4"/>
    </row>
    <row r="2" spans="1:26" x14ac:dyDescent="0.25">
      <c r="A2" s="4"/>
      <c r="B2" s="4"/>
      <c r="C2" s="4"/>
      <c r="D2" s="41" t="s">
        <v>183</v>
      </c>
      <c r="E2" s="4"/>
      <c r="F2" s="4"/>
      <c r="G2" s="4"/>
      <c r="H2" s="42"/>
      <c r="I2" s="42"/>
      <c r="J2" s="4"/>
      <c r="K2" s="4"/>
      <c r="L2" s="4"/>
      <c r="M2" s="4"/>
      <c r="N2" s="4"/>
      <c r="O2" s="4"/>
      <c r="P2" s="4"/>
      <c r="Q2" s="4"/>
      <c r="R2" s="4"/>
      <c r="S2" s="4"/>
      <c r="T2" s="4"/>
      <c r="U2" s="4"/>
      <c r="V2" s="4"/>
      <c r="W2" s="4"/>
      <c r="X2" s="4"/>
      <c r="Y2" s="4"/>
      <c r="Z2" s="4"/>
    </row>
    <row r="3" spans="1:26" x14ac:dyDescent="0.25">
      <c r="A3" s="4"/>
      <c r="B3" s="4"/>
      <c r="C3" s="4"/>
      <c r="D3" s="4"/>
      <c r="E3" s="4"/>
      <c r="F3" s="4"/>
      <c r="G3" s="4"/>
      <c r="H3" s="42"/>
      <c r="I3" s="42"/>
      <c r="J3" s="4"/>
      <c r="K3" s="4"/>
      <c r="L3" s="4"/>
      <c r="M3" s="4"/>
      <c r="N3" s="4"/>
      <c r="O3" s="4"/>
      <c r="P3" s="4"/>
      <c r="Q3" s="4"/>
      <c r="R3" s="4"/>
      <c r="S3" s="4"/>
      <c r="T3" s="4"/>
      <c r="U3" s="4"/>
      <c r="V3" s="4"/>
      <c r="W3" s="4"/>
      <c r="X3" s="4"/>
      <c r="Y3" s="4"/>
      <c r="Z3" s="4"/>
    </row>
    <row r="4" spans="1:26" x14ac:dyDescent="0.25">
      <c r="A4" s="4"/>
      <c r="B4" s="4"/>
      <c r="C4" s="43"/>
      <c r="D4" s="44"/>
      <c r="E4" s="2143">
        <v>2011</v>
      </c>
      <c r="F4" s="2144"/>
      <c r="G4" s="2145"/>
      <c r="H4" s="45"/>
      <c r="I4" s="46" t="s">
        <v>184</v>
      </c>
      <c r="J4" s="4"/>
      <c r="K4" s="4"/>
      <c r="L4" s="4"/>
      <c r="M4" s="4"/>
      <c r="N4" s="4"/>
      <c r="O4" s="4"/>
      <c r="P4" s="4"/>
      <c r="Q4" s="4"/>
      <c r="R4" s="4"/>
      <c r="S4" s="4"/>
      <c r="T4" s="4"/>
      <c r="U4" s="4"/>
      <c r="V4" s="4"/>
      <c r="W4" s="4"/>
      <c r="X4" s="4"/>
      <c r="Y4" s="4"/>
      <c r="Z4" s="4"/>
    </row>
    <row r="5" spans="1:26" x14ac:dyDescent="0.25">
      <c r="A5" s="4"/>
      <c r="B5" s="4"/>
      <c r="C5" s="47"/>
      <c r="D5" s="48"/>
      <c r="E5" s="49" t="s">
        <v>185</v>
      </c>
      <c r="F5" s="49" t="s">
        <v>186</v>
      </c>
      <c r="G5" s="49" t="s">
        <v>187</v>
      </c>
      <c r="H5" s="49" t="s">
        <v>188</v>
      </c>
      <c r="I5" s="49" t="s">
        <v>189</v>
      </c>
      <c r="J5" s="4"/>
      <c r="K5" s="4"/>
      <c r="L5" s="4"/>
      <c r="M5" s="4"/>
      <c r="N5" s="4"/>
      <c r="O5" s="4"/>
      <c r="P5" s="4"/>
      <c r="Q5" s="4"/>
      <c r="R5" s="4"/>
      <c r="S5" s="4"/>
      <c r="T5" s="4"/>
      <c r="U5" s="4"/>
      <c r="V5" s="4"/>
      <c r="W5" s="4"/>
      <c r="X5" s="4"/>
      <c r="Y5" s="4"/>
      <c r="Z5" s="4"/>
    </row>
    <row r="6" spans="1:26" x14ac:dyDescent="0.25">
      <c r="A6" s="4"/>
      <c r="B6" s="4"/>
      <c r="C6" s="46"/>
      <c r="D6" s="45"/>
      <c r="E6" s="50" t="s">
        <v>190</v>
      </c>
      <c r="F6" s="50" t="s">
        <v>191</v>
      </c>
      <c r="G6" s="50" t="s">
        <v>192</v>
      </c>
      <c r="H6" s="45"/>
      <c r="I6" s="45"/>
      <c r="J6" s="4"/>
      <c r="K6" s="4"/>
      <c r="L6" s="4"/>
      <c r="M6" s="4"/>
      <c r="N6" s="4"/>
      <c r="O6" s="4"/>
      <c r="P6" s="4"/>
      <c r="Q6" s="4"/>
      <c r="R6" s="4"/>
      <c r="S6" s="4"/>
      <c r="T6" s="4"/>
      <c r="U6" s="4"/>
      <c r="V6" s="4"/>
      <c r="W6" s="4"/>
      <c r="X6" s="4"/>
      <c r="Y6" s="4"/>
      <c r="Z6" s="4"/>
    </row>
    <row r="7" spans="1:26" x14ac:dyDescent="0.25">
      <c r="A7" s="4"/>
      <c r="B7" s="4"/>
      <c r="C7" s="51"/>
      <c r="D7" s="52" t="s">
        <v>193</v>
      </c>
      <c r="E7" s="53">
        <v>1039</v>
      </c>
      <c r="F7" s="53">
        <v>13373</v>
      </c>
      <c r="G7" s="53">
        <v>412</v>
      </c>
      <c r="H7" s="54"/>
      <c r="I7" s="54"/>
      <c r="J7" s="4"/>
      <c r="K7" s="4"/>
      <c r="L7" s="4"/>
      <c r="M7" s="4"/>
      <c r="N7" s="4"/>
      <c r="O7" s="4"/>
      <c r="P7" s="4"/>
      <c r="Q7" s="4"/>
      <c r="R7" s="4"/>
      <c r="S7" s="4"/>
      <c r="T7" s="4"/>
      <c r="U7" s="4"/>
      <c r="V7" s="4"/>
      <c r="W7" s="4"/>
      <c r="X7" s="4"/>
      <c r="Y7" s="4"/>
      <c r="Z7" s="4"/>
    </row>
    <row r="8" spans="1:26" x14ac:dyDescent="0.25">
      <c r="A8" s="4"/>
      <c r="B8" s="4"/>
      <c r="C8" s="54"/>
      <c r="D8" s="52" t="s">
        <v>194</v>
      </c>
      <c r="E8" s="53"/>
      <c r="F8" s="53"/>
      <c r="G8" s="53"/>
      <c r="H8" s="54"/>
      <c r="I8" s="54"/>
      <c r="J8" s="4"/>
      <c r="K8" s="4"/>
      <c r="L8" s="4"/>
      <c r="M8" s="4"/>
      <c r="N8" s="4"/>
      <c r="O8" s="4"/>
      <c r="P8" s="4"/>
      <c r="Q8" s="4"/>
      <c r="R8" s="4"/>
      <c r="S8" s="4"/>
      <c r="T8" s="4"/>
      <c r="U8" s="4"/>
      <c r="V8" s="4"/>
      <c r="W8" s="4"/>
      <c r="X8" s="4"/>
      <c r="Y8" s="4"/>
      <c r="Z8" s="4"/>
    </row>
    <row r="9" spans="1:26" x14ac:dyDescent="0.25">
      <c r="A9" s="4"/>
      <c r="B9" s="4"/>
      <c r="C9" s="55" t="s">
        <v>195</v>
      </c>
      <c r="D9" s="56" t="s">
        <v>196</v>
      </c>
      <c r="E9" s="57">
        <v>158</v>
      </c>
      <c r="F9" s="58">
        <v>1163447</v>
      </c>
      <c r="G9" s="57">
        <v>428257</v>
      </c>
      <c r="H9" s="59">
        <f>SUM(E9:G9)</f>
        <v>1591862</v>
      </c>
      <c r="I9" s="60"/>
      <c r="J9" s="4"/>
      <c r="K9" s="4"/>
      <c r="L9" s="4"/>
      <c r="M9" s="4"/>
      <c r="N9" s="4"/>
      <c r="O9" s="4"/>
      <c r="P9" s="4"/>
      <c r="Q9" s="4"/>
      <c r="R9" s="4"/>
      <c r="S9" s="4"/>
      <c r="T9" s="4"/>
      <c r="U9" s="4"/>
      <c r="V9" s="4"/>
      <c r="W9" s="4"/>
      <c r="X9" s="4"/>
      <c r="Y9" s="4"/>
      <c r="Z9" s="4"/>
    </row>
    <row r="10" spans="1:26" x14ac:dyDescent="0.25">
      <c r="A10" s="4"/>
      <c r="B10" s="4"/>
      <c r="C10" s="54"/>
      <c r="D10" s="54"/>
      <c r="E10" s="53"/>
      <c r="F10" s="53"/>
      <c r="G10" s="53"/>
      <c r="H10" s="54"/>
      <c r="I10" s="54"/>
      <c r="J10" s="4"/>
      <c r="K10" s="4"/>
      <c r="L10" s="4"/>
      <c r="M10" s="4"/>
      <c r="N10" s="4"/>
      <c r="O10" s="4"/>
      <c r="P10" s="4"/>
      <c r="Q10" s="4"/>
      <c r="R10" s="4"/>
      <c r="S10" s="4"/>
      <c r="T10" s="4"/>
      <c r="U10" s="4"/>
      <c r="V10" s="4"/>
      <c r="W10" s="4"/>
      <c r="X10" s="4"/>
      <c r="Y10" s="4"/>
      <c r="Z10" s="4"/>
    </row>
    <row r="11" spans="1:26" x14ac:dyDescent="0.25">
      <c r="A11" s="4"/>
      <c r="B11" s="4"/>
      <c r="C11" s="54"/>
      <c r="D11" s="61" t="s">
        <v>197</v>
      </c>
      <c r="E11" s="62">
        <v>3.4</v>
      </c>
      <c r="F11" s="63">
        <v>332077.59999999998</v>
      </c>
      <c r="G11" s="63">
        <v>22696.1</v>
      </c>
      <c r="H11" s="63">
        <f t="shared" ref="H11:H13" si="0">(E11+F11+G11)</f>
        <v>354777.1</v>
      </c>
      <c r="I11" s="64">
        <f t="shared" ref="I11:I13" si="1">H11*1.1023</f>
        <v>391070.79732999997</v>
      </c>
      <c r="J11" s="4"/>
      <c r="K11" s="65"/>
      <c r="L11" s="4"/>
      <c r="M11" s="4"/>
      <c r="N11" s="4"/>
      <c r="O11" s="4"/>
      <c r="P11" s="4"/>
      <c r="Q11" s="4"/>
      <c r="R11" s="4"/>
      <c r="S11" s="4"/>
      <c r="T11" s="4"/>
      <c r="U11" s="4"/>
      <c r="V11" s="4"/>
      <c r="W11" s="4"/>
      <c r="X11" s="4"/>
      <c r="Y11" s="4"/>
      <c r="Z11" s="4"/>
    </row>
    <row r="12" spans="1:26" x14ac:dyDescent="0.25">
      <c r="A12" s="4"/>
      <c r="B12" s="4"/>
      <c r="C12" s="54"/>
      <c r="D12" s="51" t="s">
        <v>198</v>
      </c>
      <c r="E12" s="66">
        <v>0</v>
      </c>
      <c r="F12" s="67">
        <v>0.03</v>
      </c>
      <c r="G12" s="67">
        <v>0.43</v>
      </c>
      <c r="H12" s="67">
        <f t="shared" si="0"/>
        <v>0.45999999999999996</v>
      </c>
      <c r="I12" s="67">
        <f t="shared" si="1"/>
        <v>0.50705800000000001</v>
      </c>
      <c r="J12" s="4"/>
      <c r="K12" s="4"/>
      <c r="L12" s="4"/>
      <c r="M12" s="4"/>
      <c r="N12" s="4"/>
      <c r="O12" s="4"/>
      <c r="P12" s="4"/>
      <c r="Q12" s="4"/>
      <c r="R12" s="4"/>
      <c r="S12" s="4"/>
      <c r="T12" s="4"/>
      <c r="U12" s="4"/>
      <c r="V12" s="4"/>
      <c r="W12" s="4"/>
      <c r="X12" s="4"/>
      <c r="Y12" s="4"/>
      <c r="Z12" s="4"/>
    </row>
    <row r="13" spans="1:26" x14ac:dyDescent="0.25">
      <c r="A13" s="4"/>
      <c r="B13" s="4"/>
      <c r="C13" s="68"/>
      <c r="D13" s="69" t="s">
        <v>199</v>
      </c>
      <c r="E13" s="70">
        <v>0</v>
      </c>
      <c r="F13" s="71">
        <v>0.13</v>
      </c>
      <c r="G13" s="72">
        <v>4.2999999999999997E-2</v>
      </c>
      <c r="H13" s="71">
        <f t="shared" si="0"/>
        <v>0.17299999999999999</v>
      </c>
      <c r="I13" s="71">
        <f t="shared" si="1"/>
        <v>0.1906979</v>
      </c>
      <c r="J13" s="4"/>
      <c r="K13" s="4"/>
      <c r="L13" s="4"/>
      <c r="M13" s="4"/>
      <c r="N13" s="4"/>
      <c r="O13" s="4"/>
      <c r="P13" s="4"/>
      <c r="Q13" s="4"/>
      <c r="R13" s="4"/>
      <c r="S13" s="4"/>
      <c r="T13" s="4"/>
      <c r="U13" s="4"/>
      <c r="V13" s="4"/>
      <c r="W13" s="4"/>
      <c r="X13" s="4"/>
      <c r="Y13" s="4"/>
      <c r="Z13" s="4"/>
    </row>
    <row r="14" spans="1:26" x14ac:dyDescent="0.25">
      <c r="A14" s="4"/>
      <c r="B14" s="4"/>
      <c r="C14" s="73"/>
      <c r="D14" s="73"/>
      <c r="E14" s="74"/>
      <c r="F14" s="74"/>
      <c r="G14" s="74"/>
      <c r="H14" s="73"/>
      <c r="I14" s="73"/>
      <c r="J14" s="4"/>
      <c r="K14" s="4"/>
      <c r="L14" s="4"/>
      <c r="M14" s="4"/>
      <c r="N14" s="4"/>
      <c r="O14" s="4"/>
      <c r="P14" s="4"/>
      <c r="Q14" s="4"/>
      <c r="R14" s="4"/>
      <c r="S14" s="4"/>
      <c r="T14" s="4"/>
      <c r="U14" s="4"/>
      <c r="V14" s="4"/>
      <c r="W14" s="4"/>
      <c r="X14" s="4"/>
      <c r="Y14" s="4"/>
      <c r="Z14" s="4"/>
    </row>
    <row r="15" spans="1:26" x14ac:dyDescent="0.25">
      <c r="A15" s="4"/>
      <c r="B15" s="4"/>
      <c r="C15" s="54"/>
      <c r="D15" s="54"/>
      <c r="E15" s="75" t="s">
        <v>185</v>
      </c>
      <c r="F15" s="75" t="s">
        <v>186</v>
      </c>
      <c r="G15" s="75" t="s">
        <v>187</v>
      </c>
      <c r="H15" s="76"/>
      <c r="I15" s="76"/>
      <c r="J15" s="4"/>
      <c r="K15" s="4"/>
      <c r="L15" s="4"/>
      <c r="M15" s="4"/>
      <c r="N15" s="4"/>
      <c r="O15" s="4"/>
      <c r="P15" s="4"/>
      <c r="Q15" s="4"/>
      <c r="R15" s="4"/>
      <c r="S15" s="4"/>
      <c r="T15" s="4"/>
      <c r="U15" s="4"/>
      <c r="V15" s="4"/>
      <c r="W15" s="4"/>
      <c r="X15" s="4"/>
      <c r="Y15" s="4"/>
      <c r="Z15" s="4"/>
    </row>
    <row r="16" spans="1:26" x14ac:dyDescent="0.25">
      <c r="A16" s="4"/>
      <c r="B16" s="4"/>
      <c r="C16" s="54"/>
      <c r="D16" s="54"/>
      <c r="E16" s="77" t="s">
        <v>190</v>
      </c>
      <c r="F16" s="77" t="s">
        <v>191</v>
      </c>
      <c r="G16" s="77" t="s">
        <v>192</v>
      </c>
      <c r="H16" s="54"/>
      <c r="I16" s="54"/>
      <c r="J16" s="4"/>
      <c r="K16" s="4"/>
      <c r="L16" s="4"/>
      <c r="M16" s="4"/>
      <c r="N16" s="4"/>
      <c r="O16" s="4"/>
      <c r="P16" s="4"/>
      <c r="Q16" s="4"/>
      <c r="R16" s="4"/>
      <c r="S16" s="4"/>
      <c r="T16" s="4"/>
      <c r="U16" s="4"/>
      <c r="V16" s="4"/>
      <c r="W16" s="4"/>
      <c r="X16" s="4"/>
      <c r="Y16" s="4"/>
      <c r="Z16" s="4"/>
    </row>
    <row r="17" spans="1:26" x14ac:dyDescent="0.25">
      <c r="A17" s="4"/>
      <c r="B17" s="4"/>
      <c r="C17" s="51"/>
      <c r="D17" s="52" t="s">
        <v>193</v>
      </c>
      <c r="E17" s="53">
        <v>538</v>
      </c>
      <c r="F17" s="53">
        <v>16027</v>
      </c>
      <c r="G17" s="53">
        <v>640</v>
      </c>
      <c r="H17" s="54"/>
      <c r="I17" s="54"/>
      <c r="J17" s="4"/>
      <c r="K17" s="4"/>
      <c r="L17" s="4"/>
      <c r="M17" s="4"/>
      <c r="N17" s="4"/>
      <c r="O17" s="4"/>
      <c r="P17" s="4"/>
      <c r="Q17" s="4"/>
      <c r="R17" s="4"/>
      <c r="S17" s="4"/>
      <c r="T17" s="4"/>
      <c r="U17" s="4"/>
      <c r="V17" s="4"/>
      <c r="W17" s="4"/>
      <c r="X17" s="4"/>
      <c r="Y17" s="4"/>
      <c r="Z17" s="4"/>
    </row>
    <row r="18" spans="1:26" x14ac:dyDescent="0.25">
      <c r="A18" s="4"/>
      <c r="B18" s="4"/>
      <c r="C18" s="54"/>
      <c r="D18" s="52" t="s">
        <v>194</v>
      </c>
      <c r="E18" s="53"/>
      <c r="F18" s="53"/>
      <c r="G18" s="53"/>
      <c r="H18" s="54"/>
      <c r="I18" s="54"/>
      <c r="J18" s="4"/>
      <c r="K18" s="4"/>
      <c r="L18" s="4"/>
      <c r="M18" s="4"/>
      <c r="N18" s="4"/>
      <c r="O18" s="4"/>
      <c r="P18" s="4"/>
      <c r="Q18" s="4"/>
      <c r="R18" s="4"/>
      <c r="S18" s="4"/>
      <c r="T18" s="4"/>
      <c r="U18" s="4"/>
      <c r="V18" s="4"/>
      <c r="W18" s="4"/>
      <c r="X18" s="4"/>
      <c r="Y18" s="4"/>
      <c r="Z18" s="4"/>
    </row>
    <row r="19" spans="1:26" x14ac:dyDescent="0.25">
      <c r="A19" s="4"/>
      <c r="B19" s="4"/>
      <c r="C19" s="78" t="s">
        <v>200</v>
      </c>
      <c r="D19" s="56" t="s">
        <v>196</v>
      </c>
      <c r="E19" s="57">
        <v>82</v>
      </c>
      <c r="F19" s="58">
        <v>1394381</v>
      </c>
      <c r="G19" s="57">
        <v>666042</v>
      </c>
      <c r="H19" s="79">
        <f>SUM(E19:G19)</f>
        <v>2060505</v>
      </c>
      <c r="I19" s="60"/>
      <c r="J19" s="4"/>
      <c r="K19" s="4"/>
      <c r="L19" s="4"/>
      <c r="M19" s="4"/>
      <c r="N19" s="4"/>
      <c r="O19" s="4"/>
      <c r="P19" s="4"/>
      <c r="Q19" s="4"/>
      <c r="R19" s="4"/>
      <c r="S19" s="4"/>
      <c r="T19" s="4"/>
      <c r="U19" s="4"/>
      <c r="V19" s="4"/>
      <c r="W19" s="4"/>
      <c r="X19" s="4"/>
      <c r="Y19" s="4"/>
      <c r="Z19" s="4"/>
    </row>
    <row r="20" spans="1:26" x14ac:dyDescent="0.25">
      <c r="A20" s="4"/>
      <c r="B20" s="4"/>
      <c r="C20" s="54"/>
      <c r="D20" s="80"/>
      <c r="E20" s="81"/>
      <c r="F20" s="82"/>
      <c r="G20" s="81"/>
      <c r="H20" s="54"/>
      <c r="I20" s="54"/>
      <c r="J20" s="4"/>
      <c r="K20" s="4"/>
      <c r="L20" s="4"/>
      <c r="M20" s="4"/>
      <c r="N20" s="4"/>
      <c r="O20" s="4"/>
      <c r="P20" s="4"/>
      <c r="Q20" s="4"/>
      <c r="R20" s="4"/>
      <c r="S20" s="4"/>
      <c r="T20" s="4"/>
      <c r="U20" s="4"/>
      <c r="V20" s="4"/>
      <c r="W20" s="4"/>
      <c r="X20" s="4"/>
      <c r="Y20" s="4"/>
      <c r="Z20" s="4"/>
    </row>
    <row r="21" spans="1:26" ht="15.75" customHeight="1" x14ac:dyDescent="0.25">
      <c r="A21" s="4"/>
      <c r="B21" s="4"/>
      <c r="C21" s="54"/>
      <c r="D21" s="61" t="s">
        <v>201</v>
      </c>
      <c r="E21" s="62">
        <v>1.8</v>
      </c>
      <c r="F21" s="63">
        <v>402051.9</v>
      </c>
      <c r="G21" s="63">
        <v>35299.599999999999</v>
      </c>
      <c r="H21" s="63">
        <f t="shared" ref="H21:H23" si="2">(E21+F21+G21)</f>
        <v>437353.3</v>
      </c>
      <c r="I21" s="64">
        <f t="shared" ref="I21:I23" si="3">H21*1.1023</f>
        <v>482094.54259000003</v>
      </c>
      <c r="J21" s="4"/>
      <c r="K21" s="4"/>
      <c r="L21" s="4"/>
      <c r="M21" s="4"/>
      <c r="N21" s="4"/>
      <c r="O21" s="4"/>
      <c r="P21" s="4"/>
      <c r="Q21" s="4"/>
      <c r="R21" s="4"/>
      <c r="S21" s="4"/>
      <c r="T21" s="4"/>
      <c r="U21" s="4"/>
      <c r="V21" s="4"/>
      <c r="W21" s="4"/>
      <c r="X21" s="4"/>
      <c r="Y21" s="4"/>
      <c r="Z21" s="4"/>
    </row>
    <row r="22" spans="1:26" ht="15.75" customHeight="1" x14ac:dyDescent="0.25">
      <c r="A22" s="4"/>
      <c r="B22" s="4"/>
      <c r="C22" s="54"/>
      <c r="D22" s="51" t="s">
        <v>202</v>
      </c>
      <c r="E22" s="67">
        <v>0</v>
      </c>
      <c r="F22" s="67">
        <v>0.03</v>
      </c>
      <c r="G22" s="67">
        <v>0.67</v>
      </c>
      <c r="H22" s="67">
        <f t="shared" si="2"/>
        <v>0.70000000000000007</v>
      </c>
      <c r="I22" s="67">
        <f t="shared" si="3"/>
        <v>0.77161000000000013</v>
      </c>
      <c r="J22" s="4"/>
      <c r="K22" s="4"/>
      <c r="L22" s="4"/>
      <c r="M22" s="4"/>
      <c r="N22" s="4"/>
      <c r="O22" s="4"/>
      <c r="P22" s="4"/>
      <c r="Q22" s="4"/>
      <c r="R22" s="4"/>
      <c r="S22" s="4"/>
      <c r="T22" s="4"/>
      <c r="U22" s="4"/>
      <c r="V22" s="4"/>
      <c r="W22" s="4"/>
      <c r="X22" s="4"/>
      <c r="Y22" s="4"/>
      <c r="Z22" s="4"/>
    </row>
    <row r="23" spans="1:26" ht="15.75" customHeight="1" x14ac:dyDescent="0.25">
      <c r="A23" s="4"/>
      <c r="B23" s="4"/>
      <c r="C23" s="68"/>
      <c r="D23" s="69" t="s">
        <v>203</v>
      </c>
      <c r="E23" s="71">
        <v>0</v>
      </c>
      <c r="F23" s="71">
        <v>0.158</v>
      </c>
      <c r="G23" s="71">
        <v>6.7000000000000004E-2</v>
      </c>
      <c r="H23" s="71">
        <f t="shared" si="2"/>
        <v>0.22500000000000001</v>
      </c>
      <c r="I23" s="71">
        <f t="shared" si="3"/>
        <v>0.24801750000000003</v>
      </c>
      <c r="J23" s="4"/>
      <c r="K23" s="4"/>
      <c r="L23" s="4"/>
      <c r="M23" s="4"/>
      <c r="N23" s="4"/>
      <c r="O23" s="4"/>
      <c r="P23" s="4"/>
      <c r="Q23" s="4"/>
      <c r="R23" s="4"/>
      <c r="S23" s="4"/>
      <c r="T23" s="4"/>
      <c r="U23" s="4"/>
      <c r="V23" s="4"/>
      <c r="W23" s="4"/>
      <c r="X23" s="4"/>
      <c r="Y23" s="4"/>
      <c r="Z23" s="4"/>
    </row>
    <row r="24" spans="1:26" ht="15.75" customHeight="1" x14ac:dyDescent="0.25">
      <c r="A24" s="4"/>
      <c r="B24" s="4"/>
      <c r="C24" s="73"/>
      <c r="D24" s="73"/>
      <c r="E24" s="74"/>
      <c r="F24" s="74"/>
      <c r="G24" s="74"/>
      <c r="H24" s="73"/>
      <c r="I24" s="73"/>
      <c r="J24" s="4"/>
      <c r="K24" s="4"/>
      <c r="L24" s="4"/>
      <c r="M24" s="4"/>
      <c r="N24" s="4"/>
      <c r="O24" s="4"/>
      <c r="P24" s="4"/>
      <c r="Q24" s="4"/>
      <c r="R24" s="4"/>
      <c r="S24" s="4"/>
      <c r="T24" s="4"/>
      <c r="U24" s="4"/>
      <c r="V24" s="4"/>
      <c r="W24" s="4"/>
      <c r="X24" s="4"/>
      <c r="Y24" s="4"/>
      <c r="Z24" s="4"/>
    </row>
    <row r="25" spans="1:26" ht="15.75" customHeight="1" x14ac:dyDescent="0.25">
      <c r="A25" s="4"/>
      <c r="B25" s="4"/>
      <c r="C25" s="54"/>
      <c r="D25" s="54"/>
      <c r="E25" s="75" t="s">
        <v>185</v>
      </c>
      <c r="F25" s="75" t="s">
        <v>186</v>
      </c>
      <c r="G25" s="75" t="s">
        <v>187</v>
      </c>
      <c r="H25" s="76"/>
      <c r="I25" s="76"/>
      <c r="J25" s="4"/>
      <c r="K25" s="4"/>
      <c r="L25" s="4"/>
      <c r="M25" s="4"/>
      <c r="N25" s="4"/>
      <c r="O25" s="4"/>
      <c r="P25" s="4"/>
      <c r="Q25" s="4"/>
      <c r="R25" s="4"/>
      <c r="S25" s="4"/>
      <c r="T25" s="4"/>
      <c r="U25" s="4"/>
      <c r="V25" s="4"/>
      <c r="W25" s="4"/>
      <c r="X25" s="4"/>
      <c r="Y25" s="4"/>
      <c r="Z25" s="4"/>
    </row>
    <row r="26" spans="1:26" ht="15.75" customHeight="1" x14ac:dyDescent="0.25">
      <c r="A26" s="4"/>
      <c r="B26" s="4"/>
      <c r="C26" s="54"/>
      <c r="D26" s="54"/>
      <c r="E26" s="77" t="s">
        <v>190</v>
      </c>
      <c r="F26" s="77" t="s">
        <v>191</v>
      </c>
      <c r="G26" s="77" t="s">
        <v>192</v>
      </c>
      <c r="H26" s="54"/>
      <c r="I26" s="54"/>
      <c r="J26" s="4"/>
      <c r="K26" s="4"/>
      <c r="L26" s="4"/>
      <c r="M26" s="4"/>
      <c r="N26" s="4"/>
      <c r="O26" s="4"/>
      <c r="P26" s="4"/>
      <c r="Q26" s="4"/>
      <c r="R26" s="4"/>
      <c r="S26" s="4"/>
      <c r="T26" s="4"/>
      <c r="U26" s="4"/>
      <c r="V26" s="4"/>
      <c r="W26" s="4"/>
      <c r="X26" s="4"/>
      <c r="Y26" s="4"/>
      <c r="Z26" s="4"/>
    </row>
    <row r="27" spans="1:26" ht="15.75" customHeight="1" x14ac:dyDescent="0.25">
      <c r="A27" s="4"/>
      <c r="B27" s="4"/>
      <c r="C27" s="51"/>
      <c r="D27" s="52" t="s">
        <v>193</v>
      </c>
      <c r="E27" s="53"/>
      <c r="F27" s="53">
        <v>11025</v>
      </c>
      <c r="G27" s="53">
        <v>818</v>
      </c>
      <c r="H27" s="54"/>
      <c r="I27" s="54"/>
      <c r="J27" s="4"/>
      <c r="K27" s="4"/>
      <c r="L27" s="4"/>
      <c r="M27" s="4"/>
      <c r="N27" s="4"/>
      <c r="O27" s="4"/>
      <c r="P27" s="4"/>
      <c r="Q27" s="4"/>
      <c r="R27" s="4"/>
      <c r="S27" s="4"/>
      <c r="T27" s="4"/>
      <c r="U27" s="4"/>
      <c r="V27" s="4"/>
      <c r="W27" s="4"/>
      <c r="X27" s="4"/>
      <c r="Y27" s="4"/>
      <c r="Z27" s="4"/>
    </row>
    <row r="28" spans="1:26" ht="15.75" customHeight="1" x14ac:dyDescent="0.25">
      <c r="A28" s="4"/>
      <c r="B28" s="4"/>
      <c r="C28" s="54"/>
      <c r="D28" s="52" t="s">
        <v>194</v>
      </c>
      <c r="E28" s="53"/>
      <c r="F28" s="53"/>
      <c r="G28" s="53"/>
      <c r="H28" s="54"/>
      <c r="I28" s="54"/>
      <c r="J28" s="4"/>
      <c r="K28" s="4"/>
      <c r="L28" s="4"/>
      <c r="M28" s="4"/>
      <c r="N28" s="4"/>
      <c r="O28" s="4"/>
      <c r="P28" s="4"/>
      <c r="Q28" s="4"/>
      <c r="R28" s="4"/>
      <c r="S28" s="4"/>
      <c r="T28" s="4"/>
      <c r="U28" s="4"/>
      <c r="V28" s="4"/>
      <c r="W28" s="4"/>
      <c r="X28" s="4"/>
      <c r="Y28" s="4"/>
      <c r="Z28" s="4"/>
    </row>
    <row r="29" spans="1:26" ht="15.75" customHeight="1" x14ac:dyDescent="0.25">
      <c r="A29" s="4"/>
      <c r="B29" s="4"/>
      <c r="C29" s="78" t="s">
        <v>204</v>
      </c>
      <c r="D29" s="56" t="s">
        <v>196</v>
      </c>
      <c r="E29" s="57"/>
      <c r="F29" s="58">
        <v>959161</v>
      </c>
      <c r="G29" s="57">
        <v>850818</v>
      </c>
      <c r="H29" s="79">
        <f>SUM(E29:G29)</f>
        <v>1809979</v>
      </c>
      <c r="I29" s="60"/>
      <c r="J29" s="4"/>
      <c r="K29" s="4"/>
      <c r="L29" s="4"/>
      <c r="M29" s="4"/>
      <c r="N29" s="4"/>
      <c r="O29" s="4"/>
      <c r="P29" s="4"/>
      <c r="Q29" s="4"/>
      <c r="R29" s="4"/>
      <c r="S29" s="4"/>
      <c r="T29" s="4"/>
      <c r="U29" s="4"/>
      <c r="V29" s="4"/>
      <c r="W29" s="4"/>
      <c r="X29" s="4"/>
      <c r="Y29" s="4"/>
      <c r="Z29" s="4"/>
    </row>
    <row r="30" spans="1:26" ht="15.75" customHeight="1" x14ac:dyDescent="0.25">
      <c r="A30" s="4"/>
      <c r="B30" s="4"/>
      <c r="C30" s="54"/>
      <c r="D30" s="80"/>
      <c r="E30" s="81"/>
      <c r="F30" s="82"/>
      <c r="G30" s="81"/>
      <c r="H30" s="54"/>
      <c r="I30" s="54"/>
      <c r="J30" s="4"/>
      <c r="K30" s="4"/>
      <c r="L30" s="4"/>
      <c r="M30" s="4"/>
      <c r="N30" s="4"/>
      <c r="O30" s="4"/>
      <c r="P30" s="4"/>
      <c r="Q30" s="4"/>
      <c r="R30" s="4"/>
      <c r="S30" s="4"/>
      <c r="T30" s="4"/>
      <c r="U30" s="4"/>
      <c r="V30" s="4"/>
      <c r="W30" s="4"/>
      <c r="X30" s="4"/>
      <c r="Y30" s="4"/>
      <c r="Z30" s="4"/>
    </row>
    <row r="31" spans="1:26" ht="15.75" customHeight="1" x14ac:dyDescent="0.25">
      <c r="A31" s="4"/>
      <c r="B31" s="4"/>
      <c r="C31" s="54"/>
      <c r="D31" s="61" t="s">
        <v>205</v>
      </c>
      <c r="E31" s="63">
        <v>0</v>
      </c>
      <c r="F31" s="63">
        <v>280034.7</v>
      </c>
      <c r="G31" s="63">
        <v>45101.2</v>
      </c>
      <c r="H31" s="63">
        <f t="shared" ref="H31:H33" si="4">(E31+F31+G31)</f>
        <v>325135.90000000002</v>
      </c>
      <c r="I31" s="64">
        <f t="shared" ref="I31:I33" si="5">H31*1.1023</f>
        <v>358397.30257000006</v>
      </c>
      <c r="J31" s="4"/>
      <c r="K31" s="4"/>
      <c r="L31" s="4"/>
      <c r="M31" s="4"/>
      <c r="N31" s="4"/>
      <c r="O31" s="4"/>
      <c r="P31" s="4"/>
      <c r="Q31" s="4"/>
      <c r="R31" s="4"/>
      <c r="S31" s="4"/>
      <c r="T31" s="4"/>
      <c r="U31" s="4"/>
      <c r="V31" s="4"/>
      <c r="W31" s="4"/>
      <c r="X31" s="4"/>
      <c r="Y31" s="4"/>
      <c r="Z31" s="4"/>
    </row>
    <row r="32" spans="1:26" ht="15.75" customHeight="1" x14ac:dyDescent="0.25">
      <c r="A32" s="4"/>
      <c r="B32" s="4"/>
      <c r="C32" s="54"/>
      <c r="D32" s="51" t="s">
        <v>206</v>
      </c>
      <c r="E32" s="67">
        <v>0</v>
      </c>
      <c r="F32" s="67">
        <v>0.02</v>
      </c>
      <c r="G32" s="67">
        <v>0.85</v>
      </c>
      <c r="H32" s="67">
        <f t="shared" si="4"/>
        <v>0.87</v>
      </c>
      <c r="I32" s="67">
        <f t="shared" si="5"/>
        <v>0.95900099999999999</v>
      </c>
      <c r="J32" s="4"/>
      <c r="K32" s="4"/>
      <c r="L32" s="4"/>
      <c r="M32" s="4"/>
      <c r="N32" s="4"/>
      <c r="O32" s="4"/>
      <c r="P32" s="4"/>
      <c r="Q32" s="4"/>
      <c r="R32" s="4"/>
      <c r="S32" s="4"/>
      <c r="T32" s="4"/>
      <c r="U32" s="4"/>
      <c r="V32" s="4"/>
      <c r="W32" s="4"/>
      <c r="X32" s="4"/>
      <c r="Y32" s="4"/>
      <c r="Z32" s="4"/>
    </row>
    <row r="33" spans="1:26" ht="15.75" customHeight="1" x14ac:dyDescent="0.25">
      <c r="A33" s="4"/>
      <c r="B33" s="4"/>
      <c r="C33" s="68"/>
      <c r="D33" s="69" t="s">
        <v>207</v>
      </c>
      <c r="E33" s="71">
        <v>0</v>
      </c>
      <c r="F33" s="71">
        <v>0.11</v>
      </c>
      <c r="G33" s="72">
        <v>8.5000000000000006E-2</v>
      </c>
      <c r="H33" s="71">
        <f t="shared" si="4"/>
        <v>0.19500000000000001</v>
      </c>
      <c r="I33" s="71">
        <f t="shared" si="5"/>
        <v>0.21494850000000001</v>
      </c>
      <c r="J33" s="4"/>
      <c r="K33" s="4"/>
      <c r="L33" s="4"/>
      <c r="M33" s="4"/>
      <c r="N33" s="4"/>
      <c r="O33" s="4"/>
      <c r="P33" s="4"/>
      <c r="Q33" s="4"/>
      <c r="R33" s="4"/>
      <c r="S33" s="4"/>
      <c r="T33" s="4"/>
      <c r="U33" s="4"/>
      <c r="V33" s="4"/>
      <c r="W33" s="4"/>
      <c r="X33" s="4"/>
      <c r="Y33" s="4"/>
      <c r="Z33" s="4"/>
    </row>
    <row r="34" spans="1:26" ht="15.75" customHeight="1" x14ac:dyDescent="0.25">
      <c r="A34" s="4"/>
      <c r="B34" s="4"/>
      <c r="C34" s="83"/>
      <c r="D34" s="83"/>
      <c r="E34" s="84"/>
      <c r="F34" s="84"/>
      <c r="G34" s="84"/>
      <c r="H34" s="85"/>
      <c r="I34" s="85"/>
      <c r="J34" s="4"/>
      <c r="K34" s="4"/>
      <c r="L34" s="4"/>
      <c r="M34" s="4"/>
      <c r="N34" s="4"/>
      <c r="O34" s="4"/>
      <c r="P34" s="4"/>
      <c r="Q34" s="4"/>
      <c r="R34" s="4"/>
      <c r="S34" s="4"/>
      <c r="T34" s="4"/>
      <c r="U34" s="4"/>
      <c r="V34" s="4"/>
      <c r="W34" s="4"/>
      <c r="X34" s="4"/>
      <c r="Y34" s="4"/>
      <c r="Z34" s="4"/>
    </row>
    <row r="35" spans="1:26" ht="15.75" customHeight="1" x14ac:dyDescent="0.25">
      <c r="A35" s="4"/>
      <c r="B35" s="4"/>
      <c r="C35" s="86"/>
      <c r="D35" s="86"/>
      <c r="E35" s="75" t="s">
        <v>185</v>
      </c>
      <c r="F35" s="75" t="s">
        <v>186</v>
      </c>
      <c r="G35" s="75" t="s">
        <v>187</v>
      </c>
      <c r="H35" s="76"/>
      <c r="I35" s="76"/>
      <c r="J35" s="4"/>
      <c r="K35" s="4"/>
      <c r="L35" s="4"/>
      <c r="M35" s="4"/>
      <c r="N35" s="4"/>
      <c r="O35" s="4"/>
      <c r="P35" s="4"/>
      <c r="Q35" s="4"/>
      <c r="R35" s="4"/>
      <c r="S35" s="4"/>
      <c r="T35" s="4"/>
      <c r="U35" s="4"/>
      <c r="V35" s="4"/>
      <c r="W35" s="4"/>
      <c r="X35" s="4"/>
      <c r="Y35" s="4"/>
      <c r="Z35" s="4"/>
    </row>
    <row r="36" spans="1:26" ht="15.75" customHeight="1" x14ac:dyDescent="0.25">
      <c r="A36" s="4"/>
      <c r="B36" s="4"/>
      <c r="C36" s="86"/>
      <c r="D36" s="86"/>
      <c r="E36" s="77" t="s">
        <v>190</v>
      </c>
      <c r="F36" s="77" t="s">
        <v>191</v>
      </c>
      <c r="G36" s="77" t="s">
        <v>192</v>
      </c>
      <c r="H36" s="54"/>
      <c r="I36" s="54"/>
      <c r="J36" s="4"/>
      <c r="K36" s="4"/>
      <c r="L36" s="4"/>
      <c r="M36" s="4"/>
      <c r="N36" s="4"/>
      <c r="O36" s="4"/>
      <c r="P36" s="4"/>
      <c r="Q36" s="4"/>
      <c r="R36" s="4"/>
      <c r="S36" s="4"/>
      <c r="T36" s="4"/>
      <c r="U36" s="4"/>
      <c r="V36" s="4"/>
      <c r="W36" s="4"/>
      <c r="X36" s="4"/>
      <c r="Y36" s="4"/>
      <c r="Z36" s="4"/>
    </row>
    <row r="37" spans="1:26" ht="15.75" customHeight="1" x14ac:dyDescent="0.25">
      <c r="A37" s="4"/>
      <c r="B37" s="4"/>
      <c r="C37" s="87"/>
      <c r="D37" s="88" t="s">
        <v>193</v>
      </c>
      <c r="E37" s="53">
        <v>2238</v>
      </c>
      <c r="F37" s="53">
        <v>6297</v>
      </c>
      <c r="G37" s="53">
        <v>388</v>
      </c>
      <c r="H37" s="54"/>
      <c r="I37" s="54"/>
      <c r="J37" s="4"/>
      <c r="K37" s="4"/>
      <c r="L37" s="4"/>
      <c r="M37" s="4"/>
      <c r="N37" s="4"/>
      <c r="O37" s="4"/>
      <c r="P37" s="4"/>
      <c r="Q37" s="4"/>
      <c r="R37" s="4"/>
      <c r="S37" s="4"/>
      <c r="T37" s="4"/>
      <c r="U37" s="4"/>
      <c r="V37" s="4"/>
      <c r="W37" s="4"/>
      <c r="X37" s="4"/>
      <c r="Y37" s="4"/>
      <c r="Z37" s="4"/>
    </row>
    <row r="38" spans="1:26" ht="15.75" customHeight="1" x14ac:dyDescent="0.25">
      <c r="A38" s="4"/>
      <c r="B38" s="4"/>
      <c r="C38" s="86"/>
      <c r="D38" s="88" t="s">
        <v>194</v>
      </c>
      <c r="E38" s="53"/>
      <c r="F38" s="53"/>
      <c r="G38" s="53"/>
      <c r="H38" s="54"/>
      <c r="I38" s="54"/>
      <c r="J38" s="4"/>
      <c r="K38" s="4"/>
      <c r="L38" s="4"/>
      <c r="M38" s="4"/>
      <c r="N38" s="4"/>
      <c r="O38" s="4"/>
      <c r="P38" s="4"/>
      <c r="Q38" s="4"/>
      <c r="R38" s="4"/>
      <c r="S38" s="4"/>
      <c r="T38" s="4"/>
      <c r="U38" s="4"/>
      <c r="V38" s="4"/>
      <c r="W38" s="4"/>
      <c r="X38" s="4"/>
      <c r="Y38" s="4"/>
      <c r="Z38" s="4"/>
    </row>
    <row r="39" spans="1:26" ht="15.75" customHeight="1" x14ac:dyDescent="0.25">
      <c r="A39" s="4"/>
      <c r="B39" s="4"/>
      <c r="C39" s="89" t="s">
        <v>208</v>
      </c>
      <c r="D39" s="90" t="s">
        <v>196</v>
      </c>
      <c r="E39" s="57">
        <v>340</v>
      </c>
      <c r="F39" s="58">
        <v>547854</v>
      </c>
      <c r="G39" s="57">
        <v>403783</v>
      </c>
      <c r="H39" s="79">
        <f>SUM(E39:G39)</f>
        <v>951977</v>
      </c>
      <c r="I39" s="60"/>
      <c r="J39" s="4"/>
      <c r="K39" s="4"/>
      <c r="L39" s="4"/>
      <c r="M39" s="4"/>
      <c r="N39" s="4"/>
      <c r="O39" s="4"/>
      <c r="P39" s="4"/>
      <c r="Q39" s="4"/>
      <c r="R39" s="4"/>
      <c r="S39" s="4"/>
      <c r="T39" s="4"/>
      <c r="U39" s="4"/>
      <c r="V39" s="4"/>
      <c r="W39" s="4"/>
      <c r="X39" s="4"/>
      <c r="Y39" s="4"/>
      <c r="Z39" s="4"/>
    </row>
    <row r="40" spans="1:26" ht="15.75" customHeight="1" x14ac:dyDescent="0.25">
      <c r="A40" s="4"/>
      <c r="B40" s="4"/>
      <c r="C40" s="86"/>
      <c r="D40" s="91"/>
      <c r="E40" s="81"/>
      <c r="F40" s="82"/>
      <c r="G40" s="81"/>
      <c r="H40" s="54"/>
      <c r="I40" s="54"/>
      <c r="J40" s="4"/>
      <c r="K40" s="4"/>
      <c r="L40" s="4"/>
      <c r="M40" s="4"/>
      <c r="N40" s="4"/>
      <c r="O40" s="4"/>
      <c r="P40" s="4"/>
      <c r="Q40" s="4"/>
      <c r="R40" s="4"/>
      <c r="S40" s="4"/>
      <c r="T40" s="4"/>
      <c r="U40" s="4"/>
      <c r="V40" s="4"/>
      <c r="W40" s="4"/>
      <c r="X40" s="4"/>
      <c r="Y40" s="4"/>
      <c r="Z40" s="4"/>
    </row>
    <row r="41" spans="1:26" ht="15.75" customHeight="1" x14ac:dyDescent="0.25">
      <c r="A41" s="4"/>
      <c r="B41" s="4"/>
      <c r="C41" s="86"/>
      <c r="D41" s="92" t="s">
        <v>209</v>
      </c>
      <c r="E41" s="62">
        <v>12.5</v>
      </c>
      <c r="F41" s="63">
        <v>156972.9</v>
      </c>
      <c r="G41" s="63">
        <v>21414.5</v>
      </c>
      <c r="H41" s="63">
        <f t="shared" ref="H41:H43" si="6">(E41+F41+G41)</f>
        <v>178399.9</v>
      </c>
      <c r="I41" s="93">
        <f t="shared" ref="I41:I43" si="7">H41*1.1023</f>
        <v>196650.20977000002</v>
      </c>
      <c r="J41" s="4"/>
      <c r="K41" s="4"/>
      <c r="L41" s="4"/>
      <c r="M41" s="4"/>
      <c r="N41" s="4"/>
      <c r="O41" s="4"/>
      <c r="P41" s="4"/>
      <c r="Q41" s="4"/>
      <c r="R41" s="4"/>
      <c r="S41" s="4"/>
      <c r="T41" s="4"/>
      <c r="U41" s="4"/>
      <c r="V41" s="4"/>
      <c r="W41" s="4"/>
      <c r="X41" s="4"/>
      <c r="Y41" s="4"/>
      <c r="Z41" s="4"/>
    </row>
    <row r="42" spans="1:26" ht="15.75" customHeight="1" x14ac:dyDescent="0.25">
      <c r="A42" s="4"/>
      <c r="B42" s="4"/>
      <c r="C42" s="86"/>
      <c r="D42" s="87" t="s">
        <v>210</v>
      </c>
      <c r="E42" s="53">
        <v>0</v>
      </c>
      <c r="F42" s="94">
        <v>0.01</v>
      </c>
      <c r="G42" s="94">
        <v>0.4</v>
      </c>
      <c r="H42" s="67">
        <f t="shared" si="6"/>
        <v>0.41000000000000003</v>
      </c>
      <c r="I42" s="67">
        <f t="shared" si="7"/>
        <v>0.45194300000000004</v>
      </c>
      <c r="J42" s="4"/>
      <c r="K42" s="4"/>
      <c r="L42" s="4"/>
      <c r="M42" s="4"/>
      <c r="N42" s="4"/>
      <c r="O42" s="4"/>
      <c r="P42" s="4"/>
      <c r="Q42" s="4"/>
      <c r="R42" s="4"/>
      <c r="S42" s="4"/>
      <c r="T42" s="4"/>
      <c r="U42" s="4"/>
      <c r="V42" s="4"/>
      <c r="W42" s="4"/>
      <c r="X42" s="4"/>
      <c r="Y42" s="4"/>
      <c r="Z42" s="4"/>
    </row>
    <row r="43" spans="1:26" ht="15.75" customHeight="1" x14ac:dyDescent="0.25">
      <c r="A43" s="4"/>
      <c r="B43" s="4"/>
      <c r="C43" s="86"/>
      <c r="D43" s="87" t="s">
        <v>211</v>
      </c>
      <c r="E43" s="53">
        <v>0</v>
      </c>
      <c r="F43" s="94">
        <v>6.2E-2</v>
      </c>
      <c r="G43" s="94">
        <v>0.04</v>
      </c>
      <c r="H43" s="67">
        <f t="shared" si="6"/>
        <v>0.10200000000000001</v>
      </c>
      <c r="I43" s="67">
        <f t="shared" si="7"/>
        <v>0.11243460000000001</v>
      </c>
      <c r="J43" s="4"/>
      <c r="K43" s="4"/>
      <c r="L43" s="4"/>
      <c r="M43" s="4"/>
      <c r="N43" s="4"/>
      <c r="O43" s="4"/>
      <c r="P43" s="4"/>
      <c r="Q43" s="4"/>
      <c r="R43" s="4"/>
      <c r="S43" s="4"/>
      <c r="T43" s="4"/>
      <c r="U43" s="4"/>
      <c r="V43" s="4"/>
      <c r="W43" s="4"/>
      <c r="X43" s="4"/>
      <c r="Y43" s="4"/>
      <c r="Z43" s="4"/>
    </row>
    <row r="44" spans="1:26" ht="15.75" customHeight="1" x14ac:dyDescent="0.25">
      <c r="A44" s="4"/>
      <c r="B44" s="4"/>
      <c r="C44" s="95"/>
      <c r="D44" s="95"/>
      <c r="E44" s="96"/>
      <c r="F44" s="96"/>
      <c r="G44" s="96"/>
      <c r="H44" s="97"/>
      <c r="I44" s="97"/>
      <c r="J44" s="4"/>
      <c r="K44" s="4"/>
      <c r="L44" s="4"/>
      <c r="M44" s="4"/>
      <c r="N44" s="4"/>
      <c r="O44" s="4"/>
      <c r="P44" s="4"/>
      <c r="Q44" s="4"/>
      <c r="R44" s="4"/>
      <c r="S44" s="4"/>
      <c r="T44" s="4"/>
      <c r="U44" s="4"/>
      <c r="V44" s="4"/>
      <c r="W44" s="4"/>
      <c r="X44" s="4"/>
      <c r="Y44" s="4"/>
      <c r="Z44" s="4"/>
    </row>
    <row r="45" spans="1:26" ht="15.75" customHeight="1" x14ac:dyDescent="0.25">
      <c r="A45" s="4"/>
      <c r="B45" s="4"/>
      <c r="C45" s="4"/>
      <c r="D45" s="4"/>
      <c r="E45" s="98"/>
      <c r="F45" s="98"/>
      <c r="G45" s="98"/>
      <c r="H45" s="98"/>
      <c r="I45" s="98"/>
      <c r="J45" s="4"/>
      <c r="K45" s="4"/>
      <c r="L45" s="4"/>
      <c r="M45" s="4"/>
      <c r="N45" s="4"/>
      <c r="O45" s="4"/>
      <c r="P45" s="4"/>
      <c r="Q45" s="4"/>
      <c r="R45" s="4"/>
      <c r="S45" s="4"/>
      <c r="T45" s="4"/>
      <c r="U45" s="4"/>
      <c r="V45" s="4"/>
      <c r="W45" s="4"/>
      <c r="X45" s="4"/>
      <c r="Y45" s="4"/>
      <c r="Z45" s="4"/>
    </row>
    <row r="46" spans="1:26" ht="15.75" customHeight="1" x14ac:dyDescent="0.25">
      <c r="A46" s="4"/>
      <c r="B46" s="4"/>
      <c r="C46" s="99"/>
      <c r="D46" s="100"/>
      <c r="E46" s="101" t="s">
        <v>185</v>
      </c>
      <c r="F46" s="101" t="s">
        <v>186</v>
      </c>
      <c r="G46" s="101" t="s">
        <v>187</v>
      </c>
      <c r="H46" s="102"/>
      <c r="I46" s="103"/>
      <c r="J46" s="4"/>
      <c r="K46" s="4"/>
      <c r="L46" s="4"/>
      <c r="M46" s="4"/>
      <c r="N46" s="4"/>
      <c r="O46" s="4"/>
      <c r="P46" s="4"/>
      <c r="Q46" s="4"/>
      <c r="R46" s="4"/>
      <c r="S46" s="4"/>
      <c r="T46" s="4"/>
      <c r="U46" s="4"/>
      <c r="V46" s="4"/>
      <c r="W46" s="4"/>
      <c r="X46" s="4"/>
      <c r="Y46" s="4"/>
      <c r="Z46" s="4"/>
    </row>
    <row r="47" spans="1:26" ht="15.75" customHeight="1" x14ac:dyDescent="0.25">
      <c r="A47" s="4"/>
      <c r="B47" s="4"/>
      <c r="C47" s="104"/>
      <c r="D47" s="105" t="s">
        <v>212</v>
      </c>
      <c r="E47" s="106" t="s">
        <v>190</v>
      </c>
      <c r="F47" s="106" t="s">
        <v>191</v>
      </c>
      <c r="G47" s="106" t="s">
        <v>192</v>
      </c>
      <c r="H47" s="107"/>
      <c r="I47" s="108"/>
      <c r="J47" s="4"/>
      <c r="K47" s="4"/>
      <c r="L47" s="4"/>
      <c r="M47" s="4"/>
      <c r="N47" s="4"/>
      <c r="O47" s="4"/>
      <c r="P47" s="4"/>
      <c r="Q47" s="4"/>
      <c r="R47" s="4"/>
      <c r="S47" s="4"/>
      <c r="T47" s="4"/>
      <c r="U47" s="4"/>
      <c r="V47" s="4"/>
      <c r="W47" s="4"/>
      <c r="X47" s="4"/>
      <c r="Y47" s="4"/>
      <c r="Z47" s="4"/>
    </row>
    <row r="48" spans="1:26" ht="15.75" customHeight="1" x14ac:dyDescent="0.25">
      <c r="A48" s="4"/>
      <c r="B48" s="4"/>
      <c r="C48" s="109"/>
      <c r="D48" s="110"/>
      <c r="E48" s="111">
        <f t="shared" ref="E48:G48" si="8">E7+E17+E27+E37</f>
        <v>3815</v>
      </c>
      <c r="F48" s="111">
        <f t="shared" si="8"/>
        <v>46722</v>
      </c>
      <c r="G48" s="111">
        <f t="shared" si="8"/>
        <v>2258</v>
      </c>
      <c r="H48" s="110"/>
      <c r="I48" s="112"/>
      <c r="J48" s="4"/>
      <c r="K48" s="4"/>
      <c r="L48" s="4"/>
      <c r="M48" s="4"/>
      <c r="N48" s="4"/>
      <c r="O48" s="4"/>
      <c r="P48" s="4"/>
      <c r="Q48" s="4"/>
      <c r="R48" s="4"/>
      <c r="S48" s="4"/>
      <c r="T48" s="4"/>
      <c r="U48" s="4"/>
      <c r="V48" s="4"/>
      <c r="W48" s="4"/>
      <c r="X48" s="4"/>
      <c r="Y48" s="4"/>
      <c r="Z48" s="4"/>
    </row>
    <row r="49" spans="1:26" ht="15.75" customHeight="1" x14ac:dyDescent="0.25">
      <c r="A49" s="4"/>
      <c r="B49" s="4"/>
      <c r="C49" s="4"/>
      <c r="D49" s="4"/>
      <c r="E49" s="98"/>
      <c r="F49" s="98"/>
      <c r="G49" s="98"/>
      <c r="H49" s="4"/>
      <c r="I49" s="4"/>
      <c r="J49" s="4"/>
      <c r="K49" s="4"/>
      <c r="L49" s="4"/>
      <c r="M49" s="4"/>
      <c r="N49" s="4"/>
      <c r="O49" s="4"/>
      <c r="P49" s="4"/>
      <c r="Q49" s="4"/>
      <c r="R49" s="4"/>
      <c r="S49" s="4"/>
      <c r="T49" s="4"/>
      <c r="U49" s="4"/>
      <c r="V49" s="4"/>
      <c r="W49" s="4"/>
      <c r="X49" s="4"/>
      <c r="Y49" s="4"/>
      <c r="Z49" s="4"/>
    </row>
    <row r="50" spans="1:26" ht="15.75" customHeight="1" x14ac:dyDescent="0.25">
      <c r="A50" s="4"/>
      <c r="B50" s="4"/>
      <c r="C50" s="4"/>
      <c r="D50" s="4"/>
      <c r="E50" s="98"/>
      <c r="F50" s="98"/>
      <c r="G50" s="98"/>
      <c r="H50" s="4"/>
      <c r="I50" s="4"/>
      <c r="J50" s="4"/>
      <c r="K50" s="4"/>
      <c r="L50" s="4"/>
      <c r="M50" s="4"/>
      <c r="N50" s="4"/>
      <c r="O50" s="4"/>
      <c r="P50" s="4"/>
      <c r="Q50" s="4"/>
      <c r="R50" s="4"/>
      <c r="S50" s="4"/>
      <c r="T50" s="4"/>
      <c r="U50" s="4"/>
      <c r="V50" s="4"/>
      <c r="W50" s="4"/>
      <c r="X50" s="4"/>
      <c r="Y50" s="4"/>
      <c r="Z50" s="4"/>
    </row>
    <row r="51" spans="1:26"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113"/>
      <c r="D53" s="114" t="s">
        <v>213</v>
      </c>
      <c r="E53" s="114" t="s">
        <v>214</v>
      </c>
      <c r="F53" s="114" t="s">
        <v>215</v>
      </c>
      <c r="G53" s="115" t="s">
        <v>216</v>
      </c>
      <c r="H53" s="116"/>
      <c r="I53" s="2146" t="s">
        <v>0</v>
      </c>
      <c r="J53" s="2147"/>
      <c r="K53" s="4"/>
      <c r="L53" s="4"/>
      <c r="M53" s="4"/>
      <c r="N53" s="4"/>
      <c r="O53" s="4"/>
      <c r="P53" s="4"/>
      <c r="Q53" s="4"/>
      <c r="R53" s="4"/>
      <c r="S53" s="4"/>
      <c r="T53" s="4"/>
      <c r="U53" s="4"/>
      <c r="V53" s="4"/>
      <c r="W53" s="4"/>
      <c r="X53" s="4"/>
      <c r="Y53" s="4"/>
      <c r="Z53" s="4"/>
    </row>
    <row r="54" spans="1:26" ht="15.75" customHeight="1" x14ac:dyDescent="0.25">
      <c r="A54" s="4"/>
      <c r="B54" s="4"/>
      <c r="C54" s="117"/>
      <c r="D54" s="118"/>
      <c r="E54" s="118" t="s">
        <v>189</v>
      </c>
      <c r="F54" s="118" t="s">
        <v>217</v>
      </c>
      <c r="G54" s="119" t="s">
        <v>218</v>
      </c>
      <c r="H54" s="116"/>
      <c r="I54" s="120"/>
      <c r="J54" s="120"/>
      <c r="K54" s="4"/>
      <c r="L54" s="4"/>
      <c r="M54" s="4"/>
      <c r="N54" s="4"/>
      <c r="O54" s="4"/>
      <c r="P54" s="4"/>
      <c r="Q54" s="4"/>
      <c r="R54" s="4"/>
      <c r="S54" s="4"/>
      <c r="T54" s="4"/>
      <c r="U54" s="4"/>
      <c r="V54" s="4"/>
      <c r="W54" s="4"/>
      <c r="X54" s="4"/>
      <c r="Y54" s="4"/>
      <c r="Z54" s="4"/>
    </row>
    <row r="55" spans="1:26" ht="15.75" customHeight="1" x14ac:dyDescent="0.25">
      <c r="A55" s="4"/>
      <c r="B55" s="4"/>
      <c r="C55" s="121"/>
      <c r="D55" s="122"/>
      <c r="E55" s="122"/>
      <c r="F55" s="122"/>
      <c r="G55" s="123"/>
      <c r="H55" s="116"/>
      <c r="I55" s="124" t="s">
        <v>4</v>
      </c>
      <c r="J55" s="125">
        <f>'Summ GHG Rpt Expanded'!G4</f>
        <v>1</v>
      </c>
      <c r="K55" s="4"/>
      <c r="L55" s="4"/>
      <c r="M55" s="4"/>
      <c r="N55" s="4"/>
      <c r="O55" s="4"/>
      <c r="P55" s="4"/>
      <c r="Q55" s="4"/>
      <c r="R55" s="4"/>
      <c r="S55" s="4"/>
      <c r="T55" s="4"/>
      <c r="U55" s="4"/>
      <c r="V55" s="4"/>
      <c r="W55" s="4"/>
      <c r="X55" s="4"/>
      <c r="Y55" s="4"/>
      <c r="Z55" s="4"/>
    </row>
    <row r="56" spans="1:26" ht="15.75" customHeight="1" x14ac:dyDescent="0.25">
      <c r="A56" s="4"/>
      <c r="B56" s="4"/>
      <c r="C56" s="126" t="s">
        <v>219</v>
      </c>
      <c r="D56" s="53">
        <f t="shared" ref="D56:G56" si="9">0</f>
        <v>0</v>
      </c>
      <c r="E56" s="53">
        <f t="shared" si="9"/>
        <v>0</v>
      </c>
      <c r="F56" s="53">
        <f t="shared" si="9"/>
        <v>0</v>
      </c>
      <c r="G56" s="127">
        <f t="shared" si="9"/>
        <v>0</v>
      </c>
      <c r="H56" s="128"/>
      <c r="I56" s="124" t="s">
        <v>5</v>
      </c>
      <c r="J56" s="125">
        <f>'Summ GHG Rpt Expanded'!G5</f>
        <v>28</v>
      </c>
      <c r="K56" s="4"/>
      <c r="L56" s="4"/>
      <c r="M56" s="4"/>
      <c r="N56" s="4"/>
      <c r="O56" s="4"/>
      <c r="P56" s="4"/>
      <c r="Q56" s="4"/>
      <c r="R56" s="4"/>
      <c r="S56" s="4"/>
      <c r="T56" s="4"/>
      <c r="U56" s="4"/>
      <c r="V56" s="4"/>
      <c r="W56" s="4"/>
      <c r="X56" s="4"/>
      <c r="Y56" s="4"/>
      <c r="Z56" s="4"/>
    </row>
    <row r="57" spans="1:26" ht="15.75" customHeight="1" x14ac:dyDescent="0.25">
      <c r="A57" s="4"/>
      <c r="B57" s="4"/>
      <c r="C57" s="126"/>
      <c r="D57" s="54"/>
      <c r="E57" s="54"/>
      <c r="F57" s="53"/>
      <c r="G57" s="127"/>
      <c r="H57" s="128"/>
      <c r="I57" s="124" t="s">
        <v>6</v>
      </c>
      <c r="J57" s="125">
        <f>'Summ GHG Rpt Expanded'!G6</f>
        <v>265</v>
      </c>
      <c r="K57" s="4"/>
      <c r="L57" s="4"/>
      <c r="M57" s="4"/>
      <c r="N57" s="4"/>
      <c r="O57" s="4"/>
      <c r="P57" s="4"/>
      <c r="Q57" s="4"/>
      <c r="R57" s="4"/>
      <c r="S57" s="4"/>
      <c r="T57" s="4"/>
      <c r="U57" s="4"/>
      <c r="V57" s="4"/>
      <c r="W57" s="4"/>
      <c r="X57" s="4"/>
      <c r="Y57" s="4"/>
      <c r="Z57" s="4"/>
    </row>
    <row r="58" spans="1:26" ht="15.75" customHeight="1" x14ac:dyDescent="0.25">
      <c r="A58" s="4"/>
      <c r="B58" s="4"/>
      <c r="C58" s="126" t="s">
        <v>220</v>
      </c>
      <c r="D58" s="53">
        <f>E9+E19+E29+E39</f>
        <v>580</v>
      </c>
      <c r="E58" s="53">
        <f>F58*1.1023</f>
        <v>19.51071</v>
      </c>
      <c r="F58" s="53">
        <f>E11+E21+E31+E41</f>
        <v>17.7</v>
      </c>
      <c r="G58" s="127">
        <f>F58/1000000</f>
        <v>1.77E-5</v>
      </c>
      <c r="H58" s="128"/>
      <c r="I58" s="124" t="s">
        <v>7</v>
      </c>
      <c r="J58" s="129">
        <f>'Summ GHG Rpt Expanded'!G7</f>
        <v>23500</v>
      </c>
      <c r="K58" s="4"/>
      <c r="L58" s="4"/>
      <c r="M58" s="4"/>
      <c r="N58" s="4"/>
      <c r="O58" s="4"/>
      <c r="P58" s="4"/>
      <c r="Q58" s="4"/>
      <c r="R58" s="4"/>
      <c r="S58" s="4"/>
      <c r="T58" s="4"/>
      <c r="U58" s="4"/>
      <c r="V58" s="4"/>
      <c r="W58" s="4"/>
      <c r="X58" s="4"/>
      <c r="Y58" s="4"/>
      <c r="Z58" s="4"/>
    </row>
    <row r="59" spans="1:26" ht="15.75" customHeight="1" x14ac:dyDescent="0.25">
      <c r="A59" s="4"/>
      <c r="B59" s="4"/>
      <c r="C59" s="126"/>
      <c r="D59" s="54"/>
      <c r="E59" s="54"/>
      <c r="F59" s="53"/>
      <c r="G59" s="127"/>
      <c r="H59" s="128"/>
      <c r="I59" s="124" t="s">
        <v>8</v>
      </c>
      <c r="J59" s="129">
        <f>'Summ GHG Rpt Expanded'!G8</f>
        <v>11100</v>
      </c>
      <c r="K59" s="4"/>
      <c r="L59" s="4"/>
      <c r="M59" s="4"/>
      <c r="N59" s="4"/>
      <c r="O59" s="4"/>
      <c r="P59" s="4"/>
      <c r="Q59" s="4"/>
      <c r="R59" s="4"/>
      <c r="S59" s="4"/>
      <c r="T59" s="4"/>
      <c r="U59" s="4"/>
      <c r="V59" s="4"/>
      <c r="W59" s="4"/>
      <c r="X59" s="4"/>
      <c r="Y59" s="4"/>
      <c r="Z59" s="4"/>
    </row>
    <row r="60" spans="1:26" ht="15.75" customHeight="1" x14ac:dyDescent="0.25">
      <c r="A60" s="4"/>
      <c r="B60" s="4"/>
      <c r="C60" s="126" t="s">
        <v>221</v>
      </c>
      <c r="D60" s="53">
        <f>F9+G9+F19+G19+F29+G29+F39+G39</f>
        <v>6413743</v>
      </c>
      <c r="E60" s="53">
        <f>F60*1.1023</f>
        <v>1428193.3415499998</v>
      </c>
      <c r="F60" s="53">
        <f>F11+G11+F21+G21+F31+G31+F41+G41</f>
        <v>1295648.4999999998</v>
      </c>
      <c r="G60" s="127">
        <f>F60/1000000</f>
        <v>1.2956484999999998</v>
      </c>
      <c r="H60" s="128"/>
      <c r="I60" s="98"/>
      <c r="J60" s="4"/>
      <c r="K60" s="4"/>
      <c r="L60" s="4"/>
      <c r="M60" s="4"/>
      <c r="N60" s="4"/>
      <c r="O60" s="4"/>
      <c r="P60" s="4"/>
      <c r="Q60" s="4"/>
      <c r="R60" s="4"/>
      <c r="S60" s="4"/>
      <c r="T60" s="4"/>
      <c r="U60" s="4"/>
      <c r="V60" s="4"/>
      <c r="W60" s="4"/>
      <c r="X60" s="4"/>
      <c r="Y60" s="4"/>
      <c r="Z60" s="4"/>
    </row>
    <row r="61" spans="1:26" ht="15.75" customHeight="1" x14ac:dyDescent="0.25">
      <c r="A61" s="4"/>
      <c r="B61" s="4"/>
      <c r="C61" s="130"/>
      <c r="D61" s="131"/>
      <c r="E61" s="131"/>
      <c r="F61" s="132"/>
      <c r="G61" s="133"/>
      <c r="H61" s="134"/>
      <c r="I61" s="4"/>
      <c r="J61" s="4"/>
      <c r="K61" s="4"/>
      <c r="L61" s="4"/>
      <c r="M61" s="4"/>
      <c r="N61" s="4"/>
      <c r="O61" s="4"/>
      <c r="P61" s="4"/>
      <c r="Q61" s="4"/>
      <c r="R61" s="4"/>
      <c r="S61" s="4"/>
      <c r="T61" s="4"/>
      <c r="U61" s="4"/>
      <c r="V61" s="4"/>
      <c r="W61" s="4"/>
      <c r="X61" s="4"/>
      <c r="Y61" s="4"/>
      <c r="Z61" s="4"/>
    </row>
    <row r="62" spans="1:26" ht="15.75" customHeight="1" x14ac:dyDescent="0.25">
      <c r="A62" s="4"/>
      <c r="B62" s="4"/>
      <c r="C62" s="135" t="s">
        <v>222</v>
      </c>
      <c r="D62" s="136">
        <f>SUM(D56:D61)</f>
        <v>6414323</v>
      </c>
      <c r="E62" s="136">
        <f t="shared" ref="E62:F62" si="10">E56+E58+E60</f>
        <v>1428212.8522599998</v>
      </c>
      <c r="F62" s="137">
        <f t="shared" si="10"/>
        <v>1295666.1999999997</v>
      </c>
      <c r="G62" s="138">
        <f>F62/1000000</f>
        <v>1.2956661999999997</v>
      </c>
      <c r="H62" s="139"/>
      <c r="I62" s="4"/>
      <c r="J62" s="4"/>
      <c r="K62" s="4"/>
      <c r="L62" s="4"/>
      <c r="M62" s="4"/>
      <c r="N62" s="4"/>
      <c r="O62" s="4"/>
      <c r="P62" s="4"/>
      <c r="Q62" s="4"/>
      <c r="R62" s="4"/>
      <c r="S62" s="4"/>
      <c r="T62" s="4"/>
      <c r="U62" s="4"/>
      <c r="V62" s="4"/>
      <c r="W62" s="4"/>
      <c r="X62" s="4"/>
      <c r="Y62" s="4"/>
      <c r="Z62" s="4"/>
    </row>
    <row r="63" spans="1:26" ht="15.75" customHeight="1" x14ac:dyDescent="0.25">
      <c r="A63" s="4"/>
      <c r="B63" s="4"/>
      <c r="C63" s="140"/>
      <c r="D63" s="141"/>
      <c r="E63" s="141"/>
      <c r="F63" s="141"/>
      <c r="G63" s="142"/>
      <c r="H63" s="143"/>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113"/>
      <c r="D67" s="144" t="s">
        <v>213</v>
      </c>
      <c r="E67" s="114" t="s">
        <v>223</v>
      </c>
      <c r="F67" s="114" t="s">
        <v>224</v>
      </c>
      <c r="G67" s="115" t="s">
        <v>225</v>
      </c>
      <c r="H67" s="4"/>
      <c r="I67" s="4"/>
      <c r="J67" s="4"/>
      <c r="K67" s="4"/>
      <c r="L67" s="4"/>
      <c r="M67" s="4"/>
      <c r="N67" s="4"/>
      <c r="O67" s="4"/>
      <c r="P67" s="4"/>
      <c r="Q67" s="4"/>
      <c r="R67" s="4"/>
      <c r="S67" s="4"/>
      <c r="T67" s="4"/>
      <c r="U67" s="4"/>
      <c r="V67" s="4"/>
      <c r="W67" s="4"/>
      <c r="X67" s="4"/>
      <c r="Y67" s="4"/>
      <c r="Z67" s="4"/>
    </row>
    <row r="68" spans="1:26" ht="15.75" customHeight="1" x14ac:dyDescent="0.25">
      <c r="A68" s="4"/>
      <c r="B68" s="4"/>
      <c r="C68" s="145"/>
      <c r="D68" s="146"/>
      <c r="E68" s="118" t="s">
        <v>189</v>
      </c>
      <c r="F68" s="118" t="s">
        <v>217</v>
      </c>
      <c r="G68" s="119" t="s">
        <v>218</v>
      </c>
      <c r="H68" s="4"/>
      <c r="I68" s="4"/>
      <c r="J68" s="4"/>
      <c r="K68" s="4"/>
      <c r="L68" s="4"/>
      <c r="M68" s="4"/>
      <c r="N68" s="4"/>
      <c r="O68" s="4"/>
      <c r="P68" s="4"/>
      <c r="Q68" s="4"/>
      <c r="R68" s="4"/>
      <c r="S68" s="4"/>
      <c r="T68" s="4"/>
      <c r="U68" s="4"/>
      <c r="V68" s="4"/>
      <c r="W68" s="4"/>
      <c r="X68" s="4"/>
      <c r="Y68" s="4"/>
      <c r="Z68" s="4"/>
    </row>
    <row r="69" spans="1:26" ht="15.75" customHeight="1" x14ac:dyDescent="0.25">
      <c r="A69" s="4"/>
      <c r="B69" s="4"/>
      <c r="C69" s="121"/>
      <c r="D69" s="122"/>
      <c r="E69" s="122"/>
      <c r="F69" s="122"/>
      <c r="G69" s="123"/>
      <c r="H69" s="4"/>
      <c r="I69" s="4"/>
      <c r="J69" s="4"/>
      <c r="K69" s="4"/>
      <c r="L69" s="4"/>
      <c r="M69" s="4"/>
      <c r="N69" s="4"/>
      <c r="O69" s="4"/>
      <c r="P69" s="4"/>
      <c r="Q69" s="4"/>
      <c r="R69" s="4"/>
      <c r="S69" s="4"/>
      <c r="T69" s="4"/>
      <c r="U69" s="4"/>
      <c r="V69" s="4"/>
      <c r="W69" s="4"/>
      <c r="X69" s="4"/>
      <c r="Y69" s="4"/>
      <c r="Z69" s="4"/>
    </row>
    <row r="70" spans="1:26" ht="15.75" customHeight="1" x14ac:dyDescent="0.25">
      <c r="A70" s="4"/>
      <c r="B70" s="4"/>
      <c r="C70" s="126" t="s">
        <v>219</v>
      </c>
      <c r="D70" s="53">
        <v>0</v>
      </c>
      <c r="E70" s="53">
        <f t="shared" ref="E70:G70" si="11">0</f>
        <v>0</v>
      </c>
      <c r="F70" s="67">
        <f t="shared" si="11"/>
        <v>0</v>
      </c>
      <c r="G70" s="127">
        <f t="shared" si="11"/>
        <v>0</v>
      </c>
      <c r="H70" s="4"/>
      <c r="I70" s="4"/>
      <c r="J70" s="4"/>
      <c r="K70" s="4"/>
      <c r="L70" s="4"/>
      <c r="M70" s="4"/>
      <c r="N70" s="4"/>
      <c r="O70" s="4"/>
      <c r="P70" s="4"/>
      <c r="Q70" s="4"/>
      <c r="R70" s="4"/>
      <c r="S70" s="4"/>
      <c r="T70" s="4"/>
      <c r="U70" s="4"/>
      <c r="V70" s="4"/>
      <c r="W70" s="4"/>
      <c r="X70" s="4"/>
      <c r="Y70" s="4"/>
      <c r="Z70" s="4"/>
    </row>
    <row r="71" spans="1:26" ht="15.75" customHeight="1" x14ac:dyDescent="0.25">
      <c r="A71" s="4"/>
      <c r="B71" s="4"/>
      <c r="C71" s="126"/>
      <c r="D71" s="54"/>
      <c r="E71" s="54"/>
      <c r="F71" s="67"/>
      <c r="G71" s="127"/>
      <c r="H71" s="4"/>
      <c r="I71" s="4"/>
      <c r="J71" s="4"/>
      <c r="K71" s="4"/>
      <c r="L71" s="4"/>
      <c r="M71" s="4"/>
      <c r="N71" s="4"/>
      <c r="O71" s="4"/>
      <c r="P71" s="4"/>
      <c r="Q71" s="4"/>
      <c r="R71" s="4"/>
      <c r="S71" s="4"/>
      <c r="T71" s="4"/>
      <c r="U71" s="4"/>
      <c r="V71" s="4"/>
      <c r="W71" s="4"/>
      <c r="X71" s="4"/>
      <c r="Y71" s="4"/>
      <c r="Z71" s="4"/>
    </row>
    <row r="72" spans="1:26" ht="15.75" customHeight="1" x14ac:dyDescent="0.25">
      <c r="A72" s="4"/>
      <c r="B72" s="4"/>
      <c r="C72" s="126" t="s">
        <v>220</v>
      </c>
      <c r="D72" s="53">
        <v>580</v>
      </c>
      <c r="E72" s="53">
        <f>F72*1.1023</f>
        <v>0</v>
      </c>
      <c r="F72" s="67">
        <f>E12+E22+E32+E42</f>
        <v>0</v>
      </c>
      <c r="G72" s="127">
        <f>(F72/1000000)*$J$56</f>
        <v>0</v>
      </c>
      <c r="H72" s="4"/>
      <c r="I72" s="4"/>
      <c r="J72" s="4"/>
      <c r="K72" s="4"/>
      <c r="L72" s="4"/>
      <c r="M72" s="4"/>
      <c r="N72" s="4"/>
      <c r="O72" s="4"/>
      <c r="P72" s="4"/>
      <c r="Q72" s="4"/>
      <c r="R72" s="4"/>
      <c r="S72" s="4"/>
      <c r="T72" s="4"/>
      <c r="U72" s="4"/>
      <c r="V72" s="4"/>
      <c r="W72" s="4"/>
      <c r="X72" s="4"/>
      <c r="Y72" s="4"/>
      <c r="Z72" s="4"/>
    </row>
    <row r="73" spans="1:26" ht="15.75" customHeight="1" x14ac:dyDescent="0.25">
      <c r="A73" s="4"/>
      <c r="B73" s="4"/>
      <c r="C73" s="126"/>
      <c r="D73" s="54"/>
      <c r="E73" s="54"/>
      <c r="F73" s="53"/>
      <c r="G73" s="127"/>
      <c r="H73" s="4"/>
      <c r="I73" s="4"/>
      <c r="J73" s="4"/>
      <c r="K73" s="4"/>
      <c r="L73" s="4"/>
      <c r="M73" s="4"/>
      <c r="N73" s="4"/>
      <c r="O73" s="4"/>
      <c r="P73" s="4"/>
      <c r="Q73" s="4"/>
      <c r="R73" s="4"/>
      <c r="S73" s="4"/>
      <c r="T73" s="4"/>
      <c r="U73" s="4"/>
      <c r="V73" s="4"/>
      <c r="W73" s="4"/>
      <c r="X73" s="4"/>
      <c r="Y73" s="4"/>
      <c r="Z73" s="4"/>
    </row>
    <row r="74" spans="1:26" ht="15.75" customHeight="1" x14ac:dyDescent="0.25">
      <c r="A74" s="4"/>
      <c r="B74" s="4"/>
      <c r="C74" s="126" t="s">
        <v>221</v>
      </c>
      <c r="D74" s="53">
        <v>6413743</v>
      </c>
      <c r="E74" s="94">
        <f>F74*1.1023</f>
        <v>2.6896119999999994</v>
      </c>
      <c r="F74" s="94">
        <f>G12+F12+G22+F22+G32+F32+G42+F42</f>
        <v>2.4399999999999995</v>
      </c>
      <c r="G74" s="127">
        <f>(F74/1000000)*$J$56</f>
        <v>6.8319999999999983E-5</v>
      </c>
      <c r="H74" s="4"/>
      <c r="I74" s="4"/>
      <c r="J74" s="4"/>
      <c r="K74" s="4"/>
      <c r="L74" s="4"/>
      <c r="M74" s="4"/>
      <c r="N74" s="4"/>
      <c r="O74" s="4"/>
      <c r="P74" s="4"/>
      <c r="Q74" s="4"/>
      <c r="R74" s="4"/>
      <c r="S74" s="4"/>
      <c r="T74" s="4"/>
      <c r="U74" s="4"/>
      <c r="V74" s="4"/>
      <c r="W74" s="4"/>
      <c r="X74" s="4"/>
      <c r="Y74" s="4"/>
      <c r="Z74" s="4"/>
    </row>
    <row r="75" spans="1:26" ht="15.75" customHeight="1" x14ac:dyDescent="0.25">
      <c r="A75" s="4"/>
      <c r="B75" s="4"/>
      <c r="C75" s="130"/>
      <c r="D75" s="131"/>
      <c r="E75" s="131"/>
      <c r="F75" s="132"/>
      <c r="G75" s="133"/>
      <c r="H75" s="4"/>
      <c r="I75" s="4"/>
      <c r="J75" s="4"/>
      <c r="K75" s="4"/>
      <c r="L75" s="4"/>
      <c r="M75" s="4"/>
      <c r="N75" s="4"/>
      <c r="O75" s="4"/>
      <c r="P75" s="4"/>
      <c r="Q75" s="4"/>
      <c r="R75" s="4"/>
      <c r="S75" s="4"/>
      <c r="T75" s="4"/>
      <c r="U75" s="4"/>
      <c r="V75" s="4"/>
      <c r="W75" s="4"/>
      <c r="X75" s="4"/>
      <c r="Y75" s="4"/>
      <c r="Z75" s="4"/>
    </row>
    <row r="76" spans="1:26" ht="15.75" customHeight="1" x14ac:dyDescent="0.25">
      <c r="A76" s="4"/>
      <c r="B76" s="4"/>
      <c r="C76" s="147" t="s">
        <v>222</v>
      </c>
      <c r="D76" s="148">
        <v>6414323</v>
      </c>
      <c r="E76" s="149">
        <f>E70+E72+E74</f>
        <v>2.6896119999999994</v>
      </c>
      <c r="F76" s="150">
        <f>E76*0.9072</f>
        <v>2.4400160063999996</v>
      </c>
      <c r="G76" s="151">
        <f>(F76/1000000)*$J$56</f>
        <v>6.8320448179199993E-5</v>
      </c>
      <c r="H76" s="4"/>
      <c r="I76" s="4"/>
      <c r="J76" s="4"/>
      <c r="K76" s="4"/>
      <c r="L76" s="4"/>
      <c r="M76" s="4"/>
      <c r="N76" s="4"/>
      <c r="O76" s="4"/>
      <c r="P76" s="4"/>
      <c r="Q76" s="4"/>
      <c r="R76" s="4"/>
      <c r="S76" s="4"/>
      <c r="T76" s="4"/>
      <c r="U76" s="4"/>
      <c r="V76" s="4"/>
      <c r="W76" s="4"/>
      <c r="X76" s="4"/>
      <c r="Y76" s="4"/>
      <c r="Z76" s="4"/>
    </row>
    <row r="77" spans="1:26" ht="15.75" customHeight="1" x14ac:dyDescent="0.25">
      <c r="A77" s="4"/>
      <c r="B77" s="4"/>
      <c r="C77" s="152"/>
      <c r="D77" s="153"/>
      <c r="E77" s="153"/>
      <c r="F77" s="153"/>
      <c r="G77" s="15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113"/>
      <c r="D80" s="144" t="s">
        <v>213</v>
      </c>
      <c r="E80" s="114" t="s">
        <v>226</v>
      </c>
      <c r="F80" s="114" t="s">
        <v>227</v>
      </c>
      <c r="G80" s="115" t="s">
        <v>228</v>
      </c>
      <c r="H80" s="4"/>
      <c r="I80" s="4"/>
      <c r="J80" s="4"/>
      <c r="K80" s="4"/>
      <c r="L80" s="4"/>
      <c r="M80" s="4"/>
      <c r="N80" s="4"/>
      <c r="O80" s="4"/>
      <c r="P80" s="4"/>
      <c r="Q80" s="4"/>
      <c r="R80" s="4"/>
      <c r="S80" s="4"/>
      <c r="T80" s="4"/>
      <c r="U80" s="4"/>
      <c r="V80" s="4"/>
      <c r="W80" s="4"/>
      <c r="X80" s="4"/>
      <c r="Y80" s="4"/>
      <c r="Z80" s="4"/>
    </row>
    <row r="81" spans="1:26" ht="15.75" customHeight="1" x14ac:dyDescent="0.25">
      <c r="A81" s="4"/>
      <c r="B81" s="4"/>
      <c r="C81" s="117"/>
      <c r="D81" s="118"/>
      <c r="E81" s="118" t="s">
        <v>189</v>
      </c>
      <c r="F81" s="118" t="s">
        <v>217</v>
      </c>
      <c r="G81" s="119" t="s">
        <v>218</v>
      </c>
      <c r="H81" s="4"/>
      <c r="I81" s="4"/>
      <c r="J81" s="4"/>
      <c r="K81" s="4"/>
      <c r="L81" s="4"/>
      <c r="M81" s="4"/>
      <c r="N81" s="4"/>
      <c r="O81" s="4"/>
      <c r="P81" s="4"/>
      <c r="Q81" s="4"/>
      <c r="R81" s="4"/>
      <c r="S81" s="4"/>
      <c r="T81" s="4"/>
      <c r="U81" s="4"/>
      <c r="V81" s="4"/>
      <c r="W81" s="4"/>
      <c r="X81" s="4"/>
      <c r="Y81" s="4"/>
      <c r="Z81" s="4"/>
    </row>
    <row r="82" spans="1:26" ht="15.75" customHeight="1" x14ac:dyDescent="0.25">
      <c r="A82" s="4"/>
      <c r="B82" s="4"/>
      <c r="C82" s="121"/>
      <c r="D82" s="122"/>
      <c r="E82" s="122"/>
      <c r="F82" s="122"/>
      <c r="G82" s="123"/>
      <c r="H82" s="4"/>
      <c r="I82" s="4"/>
      <c r="J82" s="4"/>
      <c r="K82" s="4"/>
      <c r="L82" s="4"/>
      <c r="M82" s="4"/>
      <c r="N82" s="4"/>
      <c r="O82" s="4"/>
      <c r="P82" s="4"/>
      <c r="Q82" s="4"/>
      <c r="R82" s="4"/>
      <c r="S82" s="4"/>
      <c r="T82" s="4"/>
      <c r="U82" s="4"/>
      <c r="V82" s="4"/>
      <c r="W82" s="4"/>
      <c r="X82" s="4"/>
      <c r="Y82" s="4"/>
      <c r="Z82" s="4"/>
    </row>
    <row r="83" spans="1:26" ht="15.75" customHeight="1" x14ac:dyDescent="0.25">
      <c r="A83" s="4"/>
      <c r="B83" s="4"/>
      <c r="C83" s="126" t="s">
        <v>219</v>
      </c>
      <c r="D83" s="53">
        <v>0</v>
      </c>
      <c r="E83" s="53">
        <f t="shared" ref="E83:G83" si="12">0</f>
        <v>0</v>
      </c>
      <c r="F83" s="53">
        <f t="shared" si="12"/>
        <v>0</v>
      </c>
      <c r="G83" s="127">
        <f t="shared" si="12"/>
        <v>0</v>
      </c>
      <c r="H83" s="4"/>
      <c r="I83" s="4"/>
      <c r="J83" s="4"/>
      <c r="K83" s="4"/>
      <c r="L83" s="4"/>
      <c r="M83" s="4"/>
      <c r="N83" s="4"/>
      <c r="O83" s="4"/>
      <c r="P83" s="4"/>
      <c r="Q83" s="4"/>
      <c r="R83" s="4"/>
      <c r="S83" s="4"/>
      <c r="T83" s="4"/>
      <c r="U83" s="4"/>
      <c r="V83" s="4"/>
      <c r="W83" s="4"/>
      <c r="X83" s="4"/>
      <c r="Y83" s="4"/>
      <c r="Z83" s="4"/>
    </row>
    <row r="84" spans="1:26" ht="15.75" customHeight="1" x14ac:dyDescent="0.25">
      <c r="A84" s="4"/>
      <c r="B84" s="4"/>
      <c r="C84" s="126"/>
      <c r="D84" s="54"/>
      <c r="E84" s="54"/>
      <c r="F84" s="53"/>
      <c r="G84" s="127"/>
      <c r="H84" s="4"/>
      <c r="I84" s="4"/>
      <c r="J84" s="4"/>
      <c r="K84" s="4"/>
      <c r="L84" s="4"/>
      <c r="M84" s="4"/>
      <c r="N84" s="4"/>
      <c r="O84" s="4"/>
      <c r="P84" s="4"/>
      <c r="Q84" s="4"/>
      <c r="R84" s="4"/>
      <c r="S84" s="4"/>
      <c r="T84" s="4"/>
      <c r="U84" s="4"/>
      <c r="V84" s="4"/>
      <c r="W84" s="4"/>
      <c r="X84" s="4"/>
      <c r="Y84" s="4"/>
      <c r="Z84" s="4"/>
    </row>
    <row r="85" spans="1:26" ht="15.75" customHeight="1" x14ac:dyDescent="0.25">
      <c r="A85" s="4"/>
      <c r="B85" s="4"/>
      <c r="C85" s="126" t="s">
        <v>220</v>
      </c>
      <c r="D85" s="53">
        <v>580</v>
      </c>
      <c r="E85" s="53">
        <f>F85*1.1023</f>
        <v>0</v>
      </c>
      <c r="F85" s="53">
        <f>E13+E23+E33+E43</f>
        <v>0</v>
      </c>
      <c r="G85" s="127">
        <f>(F85/1000000)*$J$57</f>
        <v>0</v>
      </c>
      <c r="H85" s="4"/>
      <c r="I85" s="4"/>
      <c r="J85" s="4"/>
      <c r="K85" s="4"/>
      <c r="L85" s="4"/>
      <c r="M85" s="4"/>
      <c r="N85" s="4"/>
      <c r="O85" s="4"/>
      <c r="P85" s="4"/>
      <c r="Q85" s="4"/>
      <c r="R85" s="4"/>
      <c r="S85" s="4"/>
      <c r="T85" s="4"/>
      <c r="U85" s="4"/>
      <c r="V85" s="4"/>
      <c r="W85" s="4"/>
      <c r="X85" s="4"/>
      <c r="Y85" s="4"/>
      <c r="Z85" s="4"/>
    </row>
    <row r="86" spans="1:26" ht="15.75" customHeight="1" x14ac:dyDescent="0.25">
      <c r="A86" s="4"/>
      <c r="B86" s="4"/>
      <c r="C86" s="126"/>
      <c r="D86" s="54"/>
      <c r="E86" s="54"/>
      <c r="F86" s="53"/>
      <c r="G86" s="127"/>
      <c r="H86" s="4"/>
      <c r="I86" s="4"/>
      <c r="J86" s="4"/>
      <c r="K86" s="4"/>
      <c r="L86" s="4"/>
      <c r="M86" s="4"/>
      <c r="N86" s="4"/>
      <c r="O86" s="4"/>
      <c r="P86" s="4"/>
      <c r="Q86" s="4"/>
      <c r="R86" s="4"/>
      <c r="S86" s="4"/>
      <c r="T86" s="4"/>
      <c r="U86" s="4"/>
      <c r="V86" s="4"/>
      <c r="W86" s="4"/>
      <c r="X86" s="4"/>
      <c r="Y86" s="4"/>
      <c r="Z86" s="4"/>
    </row>
    <row r="87" spans="1:26" ht="15.75" customHeight="1" x14ac:dyDescent="0.25">
      <c r="A87" s="4"/>
      <c r="B87" s="4"/>
      <c r="C87" s="126" t="s">
        <v>221</v>
      </c>
      <c r="D87" s="53">
        <v>6413743</v>
      </c>
      <c r="E87" s="155">
        <f>F87*1.1023</f>
        <v>0.76609850000000013</v>
      </c>
      <c r="F87" s="155">
        <f>G13+F13+G23+F23+G33+F33+G43+F43</f>
        <v>0.69500000000000006</v>
      </c>
      <c r="G87" s="127">
        <f>(F87/1000000)*$J$57</f>
        <v>1.8417499999999999E-4</v>
      </c>
      <c r="H87" s="4"/>
      <c r="I87" s="4"/>
      <c r="J87" s="4"/>
      <c r="K87" s="4"/>
      <c r="L87" s="4"/>
      <c r="M87" s="4"/>
      <c r="N87" s="4"/>
      <c r="O87" s="4"/>
      <c r="P87" s="4"/>
      <c r="Q87" s="4"/>
      <c r="R87" s="4"/>
      <c r="S87" s="4"/>
      <c r="T87" s="4"/>
      <c r="U87" s="4"/>
      <c r="V87" s="4"/>
      <c r="W87" s="4"/>
      <c r="X87" s="4"/>
      <c r="Y87" s="4"/>
      <c r="Z87" s="4"/>
    </row>
    <row r="88" spans="1:26" ht="15.75" customHeight="1" x14ac:dyDescent="0.25">
      <c r="A88" s="4"/>
      <c r="B88" s="4"/>
      <c r="C88" s="130"/>
      <c r="D88" s="131"/>
      <c r="E88" s="131"/>
      <c r="F88" s="132"/>
      <c r="G88" s="133"/>
      <c r="H88" s="4"/>
      <c r="I88" s="4"/>
      <c r="J88" s="4"/>
      <c r="K88" s="4"/>
      <c r="L88" s="4"/>
      <c r="M88" s="4"/>
      <c r="N88" s="4"/>
      <c r="O88" s="4"/>
      <c r="P88" s="4"/>
      <c r="Q88" s="4"/>
      <c r="R88" s="4"/>
      <c r="S88" s="4"/>
      <c r="T88" s="4"/>
      <c r="U88" s="4"/>
      <c r="V88" s="4"/>
      <c r="W88" s="4"/>
      <c r="X88" s="4"/>
      <c r="Y88" s="4"/>
      <c r="Z88" s="4"/>
    </row>
    <row r="89" spans="1:26" ht="15.75" customHeight="1" x14ac:dyDescent="0.25">
      <c r="A89" s="4"/>
      <c r="B89" s="4"/>
      <c r="C89" s="156" t="s">
        <v>222</v>
      </c>
      <c r="D89" s="157">
        <v>6414323</v>
      </c>
      <c r="E89" s="158">
        <f>E83+E85+E87</f>
        <v>0.76609850000000013</v>
      </c>
      <c r="F89" s="158">
        <f>E89*0.9072</f>
        <v>0.69500455920000015</v>
      </c>
      <c r="G89" s="159">
        <f>(F89/1000000)*$J$57</f>
        <v>1.8417620818800005E-4</v>
      </c>
      <c r="H89" s="4"/>
      <c r="I89" s="4"/>
      <c r="J89" s="4"/>
      <c r="K89" s="4"/>
      <c r="L89" s="4"/>
      <c r="M89" s="4"/>
      <c r="N89" s="4"/>
      <c r="O89" s="4"/>
      <c r="P89" s="4"/>
      <c r="Q89" s="4"/>
      <c r="R89" s="4"/>
      <c r="S89" s="4"/>
      <c r="T89" s="4"/>
      <c r="U89" s="4"/>
      <c r="V89" s="4"/>
      <c r="W89" s="4"/>
      <c r="X89" s="4"/>
      <c r="Y89" s="4"/>
      <c r="Z89" s="4"/>
    </row>
    <row r="90" spans="1:26" ht="15.75" customHeight="1" x14ac:dyDescent="0.25">
      <c r="A90" s="4"/>
      <c r="B90" s="4"/>
      <c r="C90" s="140"/>
      <c r="D90" s="141"/>
      <c r="E90" s="141"/>
      <c r="F90" s="141"/>
      <c r="G90" s="142"/>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QOM2uU+LBETygSgQ2AxbZcmAx5+rDWxf1WjFZGMipuXjei/Q0EywTdU/St74Lng1J4lyV/pIeaMLTl2z+IT7Bg==" saltValue="H1sB3VJg2J7H95SS/NiczA==" spinCount="100000" sheet="1" objects="1" scenarios="1"/>
  <mergeCells count="2">
    <mergeCell ref="E4:G4"/>
    <mergeCell ref="I53:J53"/>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1000"/>
  <sheetViews>
    <sheetView topLeftCell="A4" workbookViewId="0">
      <selection activeCell="AK17" sqref="AK17"/>
    </sheetView>
  </sheetViews>
  <sheetFormatPr defaultColWidth="16.83203125" defaultRowHeight="15" customHeight="1" x14ac:dyDescent="0.2"/>
  <cols>
    <col min="1" max="1" width="3.83203125" customWidth="1"/>
    <col min="2" max="2" width="23" customWidth="1"/>
    <col min="3" max="3" width="12.5" customWidth="1"/>
    <col min="4" max="4" width="10.6640625" customWidth="1"/>
    <col min="5" max="5" width="11.83203125" customWidth="1"/>
    <col min="6" max="6" width="9.33203125" customWidth="1"/>
    <col min="7" max="7" width="16.5" customWidth="1"/>
    <col min="8" max="8" width="9.33203125" customWidth="1"/>
    <col min="9" max="9" width="13.33203125" customWidth="1"/>
    <col min="10" max="10" width="9.33203125" customWidth="1"/>
    <col min="11" max="11" width="11.1640625" customWidth="1"/>
    <col min="12" max="12" width="9.33203125" customWidth="1"/>
    <col min="13" max="13" width="12.33203125" customWidth="1"/>
    <col min="14" max="14" width="9.33203125" customWidth="1"/>
    <col min="15" max="15" width="15.6640625" customWidth="1"/>
    <col min="16" max="18" width="9.33203125" customWidth="1"/>
    <col min="19" max="19" width="14" customWidth="1"/>
    <col min="20" max="20" width="9.33203125" customWidth="1"/>
    <col min="21" max="21" width="12.5" customWidth="1"/>
    <col min="22" max="24" width="9.33203125" customWidth="1"/>
    <col min="25" max="25" width="11.33203125" customWidth="1"/>
    <col min="26" max="26" width="9.33203125" customWidth="1"/>
    <col min="27" max="27" width="10.6640625" customWidth="1"/>
    <col min="28" max="28" width="9.33203125" customWidth="1"/>
    <col min="29" max="29" width="11.33203125" customWidth="1"/>
    <col min="30" max="32" width="9.33203125" customWidth="1"/>
    <col min="33" max="33" width="10.33203125" customWidth="1"/>
    <col min="34" max="34" width="9.33203125" customWidth="1"/>
    <col min="35" max="35" width="10.1640625" customWidth="1"/>
    <col min="36" max="36" width="9.33203125" customWidth="1"/>
    <col min="37" max="37" width="10.6640625" customWidth="1"/>
    <col min="38" max="38" width="9.33203125" customWidth="1"/>
    <col min="39" max="39" width="12" customWidth="1"/>
  </cols>
  <sheetData>
    <row r="1" spans="1:39" x14ac:dyDescent="0.25">
      <c r="A1" s="4"/>
      <c r="B1" s="1526" t="s">
        <v>1382</v>
      </c>
      <c r="C1" s="1550"/>
      <c r="D1" s="4"/>
      <c r="E1" s="4"/>
      <c r="F1" s="4"/>
      <c r="G1" s="3" t="s">
        <v>268</v>
      </c>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row>
    <row r="2" spans="1:39" ht="293.25" customHeight="1"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row>
    <row r="3" spans="1:39" x14ac:dyDescent="0.25">
      <c r="A3" s="4"/>
      <c r="B3" s="2203" t="s">
        <v>1383</v>
      </c>
      <c r="C3" s="2204"/>
      <c r="D3" s="2204"/>
      <c r="E3" s="2204"/>
      <c r="F3" s="2204"/>
      <c r="G3" s="2204"/>
      <c r="H3" s="2204"/>
      <c r="I3" s="2204"/>
      <c r="J3" s="908"/>
      <c r="K3" s="908"/>
      <c r="L3" s="908"/>
      <c r="M3" s="908"/>
      <c r="N3" s="908"/>
      <c r="O3" s="908"/>
      <c r="P3" s="908"/>
      <c r="Q3" s="908"/>
      <c r="R3" s="908"/>
      <c r="S3" s="908"/>
      <c r="T3" s="908"/>
      <c r="U3" s="908"/>
      <c r="V3" s="908"/>
      <c r="W3" s="908"/>
      <c r="X3" s="908"/>
      <c r="Y3" s="909"/>
      <c r="Z3" s="4"/>
      <c r="AA3" s="4"/>
      <c r="AB3" s="4"/>
      <c r="AC3" s="2146" t="s">
        <v>0</v>
      </c>
      <c r="AD3" s="2147"/>
      <c r="AE3" s="4"/>
      <c r="AF3" s="4"/>
      <c r="AG3" s="4"/>
      <c r="AH3" s="4"/>
      <c r="AI3" s="4"/>
      <c r="AJ3" s="4"/>
      <c r="AK3" s="4"/>
      <c r="AL3" s="4"/>
      <c r="AM3" s="4"/>
    </row>
    <row r="4" spans="1:39" ht="70.5" customHeight="1" x14ac:dyDescent="0.25">
      <c r="A4" s="4"/>
      <c r="B4" s="1551" t="s">
        <v>764</v>
      </c>
      <c r="C4" s="933" t="s">
        <v>979</v>
      </c>
      <c r="D4" s="933"/>
      <c r="E4" s="933" t="s">
        <v>1384</v>
      </c>
      <c r="F4" s="1464"/>
      <c r="G4" s="933" t="s">
        <v>1385</v>
      </c>
      <c r="H4" s="1464"/>
      <c r="I4" s="933" t="s">
        <v>1386</v>
      </c>
      <c r="J4" s="1464"/>
      <c r="K4" s="933" t="s">
        <v>1387</v>
      </c>
      <c r="L4" s="1464"/>
      <c r="M4" s="933" t="s">
        <v>1388</v>
      </c>
      <c r="N4" s="1464"/>
      <c r="O4" s="933" t="s">
        <v>1389</v>
      </c>
      <c r="P4" s="1464"/>
      <c r="Q4" s="933" t="s">
        <v>1390</v>
      </c>
      <c r="R4" s="1464"/>
      <c r="S4" s="933" t="s">
        <v>1391</v>
      </c>
      <c r="T4" s="933"/>
      <c r="U4" s="933" t="s">
        <v>1392</v>
      </c>
      <c r="V4" s="1464"/>
      <c r="W4" s="933" t="s">
        <v>1393</v>
      </c>
      <c r="X4" s="4"/>
      <c r="Y4" s="1552" t="s">
        <v>1394</v>
      </c>
      <c r="Z4" s="4"/>
      <c r="AA4" s="4"/>
      <c r="AB4" s="4"/>
      <c r="AC4" s="120"/>
      <c r="AD4" s="120"/>
      <c r="AE4" s="4"/>
      <c r="AF4" s="4"/>
      <c r="AG4" s="4"/>
      <c r="AH4" s="4"/>
      <c r="AI4" s="4"/>
      <c r="AJ4" s="4"/>
      <c r="AK4" s="4"/>
      <c r="AL4" s="4"/>
      <c r="AM4" s="4"/>
    </row>
    <row r="5" spans="1:39" x14ac:dyDescent="0.25">
      <c r="A5" s="1"/>
      <c r="B5" s="1553">
        <v>2011</v>
      </c>
      <c r="C5" s="540">
        <v>5828289</v>
      </c>
      <c r="D5" s="42" t="s">
        <v>835</v>
      </c>
      <c r="E5" s="1046">
        <v>0.09</v>
      </c>
      <c r="F5" s="42" t="s">
        <v>835</v>
      </c>
      <c r="G5" s="1554">
        <v>365</v>
      </c>
      <c r="H5" s="42" t="s">
        <v>835</v>
      </c>
      <c r="I5" s="1555">
        <v>1E-3</v>
      </c>
      <c r="J5" s="42" t="s">
        <v>835</v>
      </c>
      <c r="K5" s="1337">
        <v>0.6</v>
      </c>
      <c r="L5" s="42" t="s">
        <v>835</v>
      </c>
      <c r="M5" s="1556">
        <v>0.16250000000000001</v>
      </c>
      <c r="N5" s="42" t="s">
        <v>836</v>
      </c>
      <c r="O5" s="1337">
        <f>C5*$E$5*$G$5*$M$5*$K$5*$I$5</f>
        <v>18667.281130874999</v>
      </c>
      <c r="P5" s="42" t="s">
        <v>835</v>
      </c>
      <c r="Q5" s="540">
        <f>$AD$6</f>
        <v>28</v>
      </c>
      <c r="R5" s="42" t="s">
        <v>835</v>
      </c>
      <c r="S5" s="1557">
        <v>9.9999999999999995E-7</v>
      </c>
      <c r="T5" s="42" t="s">
        <v>835</v>
      </c>
      <c r="U5" s="1337">
        <f>12/44</f>
        <v>0.27272727272727271</v>
      </c>
      <c r="V5" s="42" t="s">
        <v>836</v>
      </c>
      <c r="W5" s="1">
        <f>O5*Q$5*S$5*U$5</f>
        <v>0.14255014681759087</v>
      </c>
      <c r="X5" s="42" t="s">
        <v>836</v>
      </c>
      <c r="Y5" s="1558">
        <f>W5*44/12</f>
        <v>0.52268387166449981</v>
      </c>
      <c r="Z5" s="1"/>
      <c r="AA5" s="1"/>
      <c r="AB5" s="1"/>
      <c r="AC5" s="124" t="s">
        <v>4</v>
      </c>
      <c r="AD5" s="125">
        <f>'Summ GHG Rpt Expanded'!G4</f>
        <v>1</v>
      </c>
      <c r="AE5" s="1"/>
      <c r="AF5" s="1"/>
      <c r="AG5" s="1"/>
      <c r="AH5" s="1"/>
      <c r="AI5" s="1"/>
      <c r="AJ5" s="1"/>
      <c r="AK5" s="1"/>
      <c r="AL5" s="1"/>
      <c r="AM5" s="1"/>
    </row>
    <row r="6" spans="1:39" x14ac:dyDescent="0.25">
      <c r="A6" s="4"/>
      <c r="B6" s="978"/>
      <c r="C6" s="520"/>
      <c r="D6" s="520"/>
      <c r="E6" s="520"/>
      <c r="F6" s="520"/>
      <c r="G6" s="520"/>
      <c r="H6" s="520"/>
      <c r="I6" s="520"/>
      <c r="J6" s="520"/>
      <c r="K6" s="520"/>
      <c r="L6" s="520"/>
      <c r="M6" s="520"/>
      <c r="N6" s="520"/>
      <c r="O6" s="520"/>
      <c r="P6" s="520"/>
      <c r="Q6" s="520"/>
      <c r="R6" s="520"/>
      <c r="S6" s="520"/>
      <c r="T6" s="520"/>
      <c r="U6" s="520"/>
      <c r="V6" s="520"/>
      <c r="W6" s="520"/>
      <c r="X6" s="520"/>
      <c r="Y6" s="979"/>
      <c r="Z6" s="4"/>
      <c r="AA6" s="4"/>
      <c r="AB6" s="4"/>
      <c r="AC6" s="124" t="s">
        <v>5</v>
      </c>
      <c r="AD6" s="125">
        <f>'Summ GHG Rpt Expanded'!G5</f>
        <v>28</v>
      </c>
      <c r="AE6" s="4"/>
      <c r="AF6" s="4"/>
      <c r="AG6" s="4"/>
      <c r="AH6" s="4"/>
      <c r="AI6" s="4"/>
      <c r="AJ6" s="4"/>
      <c r="AK6" s="4"/>
      <c r="AL6" s="4"/>
      <c r="AM6" s="4"/>
    </row>
    <row r="7" spans="1:39"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124" t="s">
        <v>6</v>
      </c>
      <c r="AD7" s="125">
        <f>'Summ GHG Rpt Expanded'!G6</f>
        <v>265</v>
      </c>
      <c r="AE7" s="4"/>
      <c r="AF7" s="4"/>
      <c r="AG7" s="4"/>
      <c r="AH7" s="4"/>
      <c r="AI7" s="4"/>
      <c r="AJ7" s="4"/>
      <c r="AK7" s="4"/>
      <c r="AL7" s="4"/>
      <c r="AM7" s="4"/>
    </row>
    <row r="8" spans="1:39" x14ac:dyDescent="0.25">
      <c r="A8" s="4"/>
      <c r="B8" s="1559" t="s">
        <v>1395</v>
      </c>
      <c r="C8" s="1560"/>
      <c r="D8" s="1560"/>
      <c r="E8" s="1560"/>
      <c r="F8" s="1560"/>
      <c r="G8" s="1560"/>
      <c r="H8" s="1560"/>
      <c r="I8" s="1560"/>
      <c r="J8" s="908"/>
      <c r="K8" s="908"/>
      <c r="L8" s="908"/>
      <c r="M8" s="908"/>
      <c r="N8" s="908"/>
      <c r="O8" s="908"/>
      <c r="P8" s="908"/>
      <c r="Q8" s="908"/>
      <c r="R8" s="908"/>
      <c r="S8" s="908"/>
      <c r="T8" s="908"/>
      <c r="U8" s="908"/>
      <c r="V8" s="908"/>
      <c r="W8" s="908"/>
      <c r="X8" s="908"/>
      <c r="Y8" s="909"/>
      <c r="Z8" s="4"/>
      <c r="AA8" s="4"/>
      <c r="AB8" s="4"/>
      <c r="AC8" s="124" t="s">
        <v>7</v>
      </c>
      <c r="AD8" s="129">
        <f>'Summ GHG Rpt Expanded'!G7</f>
        <v>23500</v>
      </c>
      <c r="AE8" s="4"/>
      <c r="AF8" s="4"/>
      <c r="AG8" s="4"/>
      <c r="AH8" s="4"/>
      <c r="AI8" s="4"/>
      <c r="AJ8" s="4"/>
      <c r="AK8" s="4"/>
      <c r="AL8" s="4"/>
      <c r="AM8" s="4"/>
    </row>
    <row r="9" spans="1:39" ht="75" customHeight="1" x14ac:dyDescent="0.25">
      <c r="A9" s="4"/>
      <c r="B9" s="1551" t="s">
        <v>764</v>
      </c>
      <c r="C9" s="933" t="s">
        <v>979</v>
      </c>
      <c r="D9" s="4"/>
      <c r="E9" s="933" t="s">
        <v>1396</v>
      </c>
      <c r="F9" s="1464"/>
      <c r="G9" s="933" t="s">
        <v>1397</v>
      </c>
      <c r="H9" s="1464"/>
      <c r="I9" s="933" t="s">
        <v>1398</v>
      </c>
      <c r="J9" s="933"/>
      <c r="K9" s="933" t="s">
        <v>1399</v>
      </c>
      <c r="L9" s="1464"/>
      <c r="M9" s="933" t="s">
        <v>1400</v>
      </c>
      <c r="N9" s="1464"/>
      <c r="O9" s="933" t="s">
        <v>1401</v>
      </c>
      <c r="P9" s="933"/>
      <c r="Q9" s="933" t="s">
        <v>1402</v>
      </c>
      <c r="R9" s="1464"/>
      <c r="S9" s="933" t="s">
        <v>1393</v>
      </c>
      <c r="T9" s="4"/>
      <c r="U9" s="933" t="s">
        <v>1403</v>
      </c>
      <c r="V9" s="4"/>
      <c r="W9" s="4"/>
      <c r="X9" s="4"/>
      <c r="Y9" s="912"/>
      <c r="Z9" s="4"/>
      <c r="AA9" s="4"/>
      <c r="AB9" s="4"/>
      <c r="AC9" s="124" t="s">
        <v>8</v>
      </c>
      <c r="AD9" s="129">
        <f>'Summ GHG Rpt Expanded'!G8</f>
        <v>11100</v>
      </c>
      <c r="AE9" s="4"/>
      <c r="AF9" s="4"/>
      <c r="AG9" s="4"/>
      <c r="AH9" s="4"/>
      <c r="AI9" s="4"/>
      <c r="AJ9" s="4"/>
      <c r="AK9" s="4"/>
      <c r="AL9" s="4"/>
      <c r="AM9" s="4"/>
    </row>
    <row r="10" spans="1:39" x14ac:dyDescent="0.25">
      <c r="A10" s="1"/>
      <c r="B10" s="1553">
        <v>2011</v>
      </c>
      <c r="C10" s="540">
        <v>5828289</v>
      </c>
      <c r="D10" s="42" t="s">
        <v>835</v>
      </c>
      <c r="E10" s="1561">
        <v>0.81169999999999998</v>
      </c>
      <c r="F10" s="42" t="s">
        <v>835</v>
      </c>
      <c r="G10" s="1562">
        <v>4</v>
      </c>
      <c r="H10" s="42" t="s">
        <v>835</v>
      </c>
      <c r="I10" s="1563">
        <v>9.9999999999999995E-7</v>
      </c>
      <c r="J10" s="42" t="s">
        <v>836</v>
      </c>
      <c r="K10" s="1564">
        <f>C10*E10*G10*I10</f>
        <v>18.923288725199999</v>
      </c>
      <c r="L10" s="42" t="s">
        <v>835</v>
      </c>
      <c r="M10" s="540">
        <f>$AD$7</f>
        <v>265</v>
      </c>
      <c r="N10" s="42" t="s">
        <v>835</v>
      </c>
      <c r="O10" s="1557">
        <f>1/1000000</f>
        <v>9.9999999999999995E-7</v>
      </c>
      <c r="P10" s="42" t="s">
        <v>835</v>
      </c>
      <c r="Q10" s="1337">
        <f>12/44</f>
        <v>0.27272727272727271</v>
      </c>
      <c r="R10" s="42" t="s">
        <v>836</v>
      </c>
      <c r="S10" s="1045">
        <f>K10*M10*O10*Q10</f>
        <v>1.3676376851394544E-3</v>
      </c>
      <c r="T10" s="42" t="s">
        <v>836</v>
      </c>
      <c r="U10" s="1045">
        <f>S10*44/12</f>
        <v>5.0146715121779997E-3</v>
      </c>
      <c r="V10" s="1"/>
      <c r="W10" s="1"/>
      <c r="X10" s="1"/>
      <c r="Y10" s="1565"/>
      <c r="Z10" s="1"/>
      <c r="AA10" s="1"/>
      <c r="AB10" s="1"/>
      <c r="AC10" s="1"/>
      <c r="AD10" s="1"/>
      <c r="AE10" s="1"/>
      <c r="AF10" s="1"/>
      <c r="AG10" s="1"/>
      <c r="AH10" s="1"/>
      <c r="AI10" s="1"/>
      <c r="AJ10" s="1"/>
      <c r="AK10" s="1"/>
      <c r="AL10" s="1"/>
      <c r="AM10" s="1"/>
    </row>
    <row r="11" spans="1:39" x14ac:dyDescent="0.25">
      <c r="A11" s="4"/>
      <c r="B11" s="978"/>
      <c r="C11" s="520"/>
      <c r="D11" s="520"/>
      <c r="E11" s="520"/>
      <c r="F11" s="520"/>
      <c r="G11" s="520"/>
      <c r="H11" s="520"/>
      <c r="I11" s="520"/>
      <c r="J11" s="520"/>
      <c r="K11" s="520"/>
      <c r="L11" s="520"/>
      <c r="M11" s="520"/>
      <c r="N11" s="520"/>
      <c r="O11" s="520"/>
      <c r="P11" s="520"/>
      <c r="Q11" s="520"/>
      <c r="R11" s="520"/>
      <c r="S11" s="520"/>
      <c r="T11" s="520"/>
      <c r="U11" s="520"/>
      <c r="V11" s="520"/>
      <c r="W11" s="520"/>
      <c r="X11" s="520"/>
      <c r="Y11" s="979"/>
      <c r="Z11" s="4"/>
      <c r="AA11" s="4"/>
      <c r="AB11" s="4"/>
      <c r="AC11" s="4"/>
      <c r="AD11" s="4"/>
      <c r="AE11" s="4"/>
      <c r="AF11" s="4"/>
      <c r="AG11" s="4"/>
      <c r="AH11" s="4"/>
      <c r="AI11" s="4"/>
      <c r="AJ11" s="4"/>
      <c r="AK11" s="4"/>
      <c r="AL11" s="4"/>
      <c r="AM11" s="4"/>
    </row>
    <row r="12" spans="1:39"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row>
    <row r="13" spans="1:39" x14ac:dyDescent="0.25">
      <c r="A13" s="4"/>
      <c r="B13" s="1559" t="s">
        <v>1404</v>
      </c>
      <c r="C13" s="1560"/>
      <c r="D13" s="1560"/>
      <c r="E13" s="1560"/>
      <c r="F13" s="1560"/>
      <c r="G13" s="1560"/>
      <c r="H13" s="1560"/>
      <c r="I13" s="1560"/>
      <c r="J13" s="908"/>
      <c r="K13" s="908"/>
      <c r="L13" s="908"/>
      <c r="M13" s="908"/>
      <c r="N13" s="908"/>
      <c r="O13" s="908"/>
      <c r="P13" s="908"/>
      <c r="Q13" s="908"/>
      <c r="R13" s="908"/>
      <c r="S13" s="908"/>
      <c r="T13" s="908"/>
      <c r="U13" s="908"/>
      <c r="V13" s="908"/>
      <c r="W13" s="908"/>
      <c r="X13" s="908"/>
      <c r="Y13" s="908"/>
      <c r="Z13" s="908"/>
      <c r="AA13" s="908"/>
      <c r="AB13" s="908"/>
      <c r="AC13" s="908"/>
      <c r="AD13" s="908"/>
      <c r="AE13" s="908"/>
      <c r="AF13" s="908"/>
      <c r="AG13" s="908"/>
      <c r="AH13" s="908"/>
      <c r="AI13" s="908"/>
      <c r="AJ13" s="908"/>
      <c r="AK13" s="908"/>
      <c r="AL13" s="908"/>
      <c r="AM13" s="909"/>
    </row>
    <row r="14" spans="1:39" ht="90" customHeight="1" x14ac:dyDescent="0.25">
      <c r="A14" s="4"/>
      <c r="B14" s="1551" t="s">
        <v>764</v>
      </c>
      <c r="C14" s="933" t="s">
        <v>979</v>
      </c>
      <c r="D14" s="4"/>
      <c r="E14" s="933" t="s">
        <v>1405</v>
      </c>
      <c r="F14" s="1464"/>
      <c r="G14" s="933" t="s">
        <v>1406</v>
      </c>
      <c r="H14" s="1464"/>
      <c r="I14" s="933" t="s">
        <v>1407</v>
      </c>
      <c r="J14" s="1464"/>
      <c r="K14" s="933" t="s">
        <v>1386</v>
      </c>
      <c r="L14" s="933"/>
      <c r="M14" s="933" t="s">
        <v>1408</v>
      </c>
      <c r="N14" s="933"/>
      <c r="O14" s="933" t="s">
        <v>1409</v>
      </c>
      <c r="P14" s="4"/>
      <c r="Q14" s="933" t="s">
        <v>1410</v>
      </c>
      <c r="R14" s="933"/>
      <c r="S14" s="933" t="s">
        <v>1411</v>
      </c>
      <c r="T14" s="933"/>
      <c r="U14" s="933" t="s">
        <v>1412</v>
      </c>
      <c r="V14" s="1464"/>
      <c r="W14" s="933" t="s">
        <v>1413</v>
      </c>
      <c r="X14" s="1464"/>
      <c r="Y14" s="933" t="s">
        <v>1414</v>
      </c>
      <c r="Z14" s="1464"/>
      <c r="AA14" s="933" t="s">
        <v>1415</v>
      </c>
      <c r="AB14" s="1464"/>
      <c r="AC14" s="933" t="s">
        <v>1391</v>
      </c>
      <c r="AD14" s="933"/>
      <c r="AE14" s="933" t="s">
        <v>1416</v>
      </c>
      <c r="AF14" s="1464"/>
      <c r="AG14" s="933" t="s">
        <v>1417</v>
      </c>
      <c r="AH14" s="933"/>
      <c r="AI14" s="933" t="s">
        <v>1418</v>
      </c>
      <c r="AJ14" s="933"/>
      <c r="AK14" s="933" t="s">
        <v>1419</v>
      </c>
      <c r="AL14" s="4"/>
      <c r="AM14" s="1552" t="s">
        <v>1420</v>
      </c>
    </row>
    <row r="15" spans="1:39" x14ac:dyDescent="0.25">
      <c r="A15" s="4"/>
      <c r="B15" s="959"/>
      <c r="C15" s="1030"/>
      <c r="D15" s="1030"/>
      <c r="E15" s="1566"/>
      <c r="F15" s="1567"/>
      <c r="G15" s="1566"/>
      <c r="H15" s="1567"/>
      <c r="I15" s="1567"/>
      <c r="J15" s="1567"/>
      <c r="K15" s="1567"/>
      <c r="L15" s="1567"/>
      <c r="M15" s="1567"/>
      <c r="N15" s="1567"/>
      <c r="O15" s="1567"/>
      <c r="P15" s="1567"/>
      <c r="Q15" s="1567"/>
      <c r="R15" s="1567"/>
      <c r="S15" s="1567"/>
      <c r="T15" s="1567"/>
      <c r="U15" s="1566"/>
      <c r="V15" s="1567"/>
      <c r="W15" s="1567"/>
      <c r="X15" s="1567"/>
      <c r="Y15" s="1567"/>
      <c r="Z15" s="1567"/>
      <c r="AA15" s="1567"/>
      <c r="AB15" s="1567"/>
      <c r="AC15" s="1567" t="s">
        <v>1421</v>
      </c>
      <c r="AD15" s="1030"/>
      <c r="AE15" s="1030"/>
      <c r="AF15" s="1030"/>
      <c r="AG15" s="1567"/>
      <c r="AH15" s="1567"/>
      <c r="AI15" s="1567"/>
      <c r="AJ15" s="1567"/>
      <c r="AK15" s="1567"/>
      <c r="AL15" s="1030"/>
      <c r="AM15" s="1568"/>
    </row>
    <row r="16" spans="1:39" x14ac:dyDescent="0.25">
      <c r="A16" s="1"/>
      <c r="B16" s="1553">
        <v>2011</v>
      </c>
      <c r="C16" s="540">
        <v>5828289</v>
      </c>
      <c r="D16" s="42" t="s">
        <v>835</v>
      </c>
      <c r="E16" s="1337">
        <v>42.6</v>
      </c>
      <c r="F16" s="42" t="s">
        <v>835</v>
      </c>
      <c r="G16" s="1561">
        <v>0.16</v>
      </c>
      <c r="H16" s="42" t="s">
        <v>835</v>
      </c>
      <c r="I16" s="1564">
        <v>1.75</v>
      </c>
      <c r="J16" s="42" t="s">
        <v>835</v>
      </c>
      <c r="K16" s="1555">
        <v>1E-3</v>
      </c>
      <c r="L16" s="42" t="s">
        <v>836</v>
      </c>
      <c r="M16" s="540">
        <f>C16*E16*G16*I16*K16</f>
        <v>69519.831191999998</v>
      </c>
      <c r="N16" s="1487" t="s">
        <v>1342</v>
      </c>
      <c r="O16" s="540">
        <v>11.265631541818182</v>
      </c>
      <c r="P16" s="42" t="s">
        <v>836</v>
      </c>
      <c r="Q16" s="540">
        <f>M16-O16</f>
        <v>69508.565560458184</v>
      </c>
      <c r="R16" s="540" t="s">
        <v>835</v>
      </c>
      <c r="S16" s="1561">
        <v>0</v>
      </c>
      <c r="T16" s="42" t="s">
        <v>835</v>
      </c>
      <c r="U16" s="1564">
        <v>5.0000000000000001E-3</v>
      </c>
      <c r="V16" s="42" t="s">
        <v>835</v>
      </c>
      <c r="W16" s="1045">
        <f>44/28</f>
        <v>1.5714285714285714</v>
      </c>
      <c r="X16" s="42" t="s">
        <v>836</v>
      </c>
      <c r="Y16" s="1337">
        <f>Q16*(1-S16)*U16*W16</f>
        <v>546.1387294036</v>
      </c>
      <c r="Z16" s="42" t="s">
        <v>835</v>
      </c>
      <c r="AA16" s="540">
        <f>$AD$7</f>
        <v>265</v>
      </c>
      <c r="AB16" s="42" t="s">
        <v>835</v>
      </c>
      <c r="AC16" s="1557">
        <f>1/1000000</f>
        <v>9.9999999999999995E-7</v>
      </c>
      <c r="AD16" s="42" t="s">
        <v>835</v>
      </c>
      <c r="AE16" s="1337">
        <f>12/44</f>
        <v>0.27272727272727271</v>
      </c>
      <c r="AF16" s="42" t="s">
        <v>836</v>
      </c>
      <c r="AG16" s="1045">
        <f>Y16*AA$16*AC$16*AE$16</f>
        <v>3.9470935443260177E-2</v>
      </c>
      <c r="AH16" s="1569" t="s">
        <v>1341</v>
      </c>
      <c r="AI16" s="1045">
        <f>(0.00149671961912727)*(AD7/310)</f>
        <v>1.279453867963634E-3</v>
      </c>
      <c r="AJ16" s="1569" t="s">
        <v>836</v>
      </c>
      <c r="AK16" s="1045">
        <f>AG16+AI16</f>
        <v>4.0750389311223809E-2</v>
      </c>
      <c r="AL16" s="1569" t="s">
        <v>836</v>
      </c>
      <c r="AM16" s="1570">
        <f>AK16/AE16</f>
        <v>0.14941809414115398</v>
      </c>
    </row>
    <row r="17" spans="1:39" x14ac:dyDescent="0.25">
      <c r="A17" s="1"/>
      <c r="B17" s="1571"/>
      <c r="C17" s="1572"/>
      <c r="D17" s="1573"/>
      <c r="E17" s="1574"/>
      <c r="F17" s="1573"/>
      <c r="G17" s="1575"/>
      <c r="H17" s="1573"/>
      <c r="I17" s="1576"/>
      <c r="J17" s="1573"/>
      <c r="K17" s="1577"/>
      <c r="L17" s="1573"/>
      <c r="M17" s="1572"/>
      <c r="N17" s="1578"/>
      <c r="O17" s="1572"/>
      <c r="P17" s="1573"/>
      <c r="Q17" s="1572"/>
      <c r="R17" s="1572"/>
      <c r="S17" s="1575"/>
      <c r="T17" s="1573"/>
      <c r="U17" s="1576"/>
      <c r="V17" s="1573"/>
      <c r="W17" s="1579"/>
      <c r="X17" s="1573"/>
      <c r="Y17" s="1574"/>
      <c r="Z17" s="1573"/>
      <c r="AA17" s="1572"/>
      <c r="AB17" s="1573"/>
      <c r="AC17" s="1580"/>
      <c r="AD17" s="1573"/>
      <c r="AE17" s="1574"/>
      <c r="AF17" s="1573"/>
      <c r="AG17" s="1579"/>
      <c r="AH17" s="1581"/>
      <c r="AI17" s="1579"/>
      <c r="AJ17" s="1581"/>
      <c r="AK17" s="1579"/>
      <c r="AL17" s="1581"/>
      <c r="AM17" s="1582"/>
    </row>
    <row r="18" spans="1:39"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row>
    <row r="19" spans="1:39" ht="19.5" customHeight="1" x14ac:dyDescent="0.25">
      <c r="A19" s="4"/>
      <c r="B19" s="1559" t="s">
        <v>1422</v>
      </c>
      <c r="C19" s="1560"/>
      <c r="D19" s="1560"/>
      <c r="E19" s="1560"/>
      <c r="F19" s="1560"/>
      <c r="G19" s="1560"/>
      <c r="H19" s="908"/>
      <c r="I19" s="908"/>
      <c r="J19" s="908"/>
      <c r="K19" s="908"/>
      <c r="L19" s="908"/>
      <c r="M19" s="908"/>
      <c r="N19" s="908"/>
      <c r="O19" s="908"/>
      <c r="P19" s="908"/>
      <c r="Q19" s="908"/>
      <c r="R19" s="908"/>
      <c r="S19" s="908"/>
      <c r="T19" s="908"/>
      <c r="U19" s="908"/>
      <c r="V19" s="908"/>
      <c r="W19" s="908"/>
      <c r="X19" s="908"/>
      <c r="Y19" s="908"/>
      <c r="Z19" s="908"/>
      <c r="AA19" s="909"/>
      <c r="AB19" s="4"/>
      <c r="AC19" s="4"/>
      <c r="AD19" s="4"/>
      <c r="AE19" s="4"/>
      <c r="AF19" s="4"/>
      <c r="AG19" s="4"/>
      <c r="AH19" s="4"/>
      <c r="AI19" s="4"/>
      <c r="AJ19" s="4"/>
      <c r="AK19" s="4"/>
      <c r="AL19" s="4"/>
      <c r="AM19" s="4"/>
    </row>
    <row r="20" spans="1:39" ht="45" customHeight="1" x14ac:dyDescent="0.25">
      <c r="A20" s="4"/>
      <c r="B20" s="1551" t="s">
        <v>764</v>
      </c>
      <c r="C20" s="933" t="s">
        <v>1423</v>
      </c>
      <c r="D20" s="933"/>
      <c r="E20" s="933" t="s">
        <v>1424</v>
      </c>
      <c r="F20" s="1464"/>
      <c r="G20" s="933" t="s">
        <v>1425</v>
      </c>
      <c r="H20" s="1464"/>
      <c r="I20" s="933" t="s">
        <v>1426</v>
      </c>
      <c r="J20" s="1464"/>
      <c r="K20" s="933" t="s">
        <v>814</v>
      </c>
      <c r="L20" s="1464"/>
      <c r="M20" s="933" t="s">
        <v>1427</v>
      </c>
      <c r="N20" s="1464"/>
      <c r="O20" s="933" t="s">
        <v>628</v>
      </c>
      <c r="P20" s="1464"/>
      <c r="Q20" s="933" t="s">
        <v>1425</v>
      </c>
      <c r="R20" s="1464"/>
      <c r="S20" s="933" t="s">
        <v>628</v>
      </c>
      <c r="T20" s="1464"/>
      <c r="U20" s="933" t="s">
        <v>1428</v>
      </c>
      <c r="V20" s="933"/>
      <c r="W20" s="933" t="s">
        <v>1429</v>
      </c>
      <c r="X20" s="1464"/>
      <c r="Y20" s="933" t="s">
        <v>628</v>
      </c>
      <c r="Z20" s="4"/>
      <c r="AA20" s="1552" t="s">
        <v>628</v>
      </c>
      <c r="AB20" s="4"/>
      <c r="AC20" s="4"/>
      <c r="AD20" s="4"/>
      <c r="AE20" s="4"/>
      <c r="AF20" s="4"/>
      <c r="AG20" s="4"/>
      <c r="AH20" s="4"/>
      <c r="AI20" s="4"/>
      <c r="AJ20" s="4"/>
      <c r="AK20" s="4"/>
      <c r="AL20" s="4"/>
      <c r="AM20" s="4"/>
    </row>
    <row r="21" spans="1:39" ht="15.75" customHeight="1" x14ac:dyDescent="0.25">
      <c r="A21" s="4"/>
      <c r="B21" s="959"/>
      <c r="C21" s="1030" t="s">
        <v>217</v>
      </c>
      <c r="D21" s="4"/>
      <c r="E21" s="1030" t="s">
        <v>1430</v>
      </c>
      <c r="F21" s="1030"/>
      <c r="G21" s="1030" t="s">
        <v>1431</v>
      </c>
      <c r="H21" s="1030"/>
      <c r="I21" s="1030" t="s">
        <v>1432</v>
      </c>
      <c r="J21" s="1030"/>
      <c r="K21" s="1030" t="s">
        <v>1433</v>
      </c>
      <c r="L21" s="1030"/>
      <c r="M21" s="1030" t="s">
        <v>1434</v>
      </c>
      <c r="N21" s="1030"/>
      <c r="O21" s="1030" t="s">
        <v>1435</v>
      </c>
      <c r="P21" s="1030"/>
      <c r="Q21" s="1030" t="s">
        <v>1436</v>
      </c>
      <c r="R21" s="1030"/>
      <c r="S21" s="1030" t="s">
        <v>1437</v>
      </c>
      <c r="T21" s="1030"/>
      <c r="U21" s="1030" t="s">
        <v>1438</v>
      </c>
      <c r="V21" s="1030"/>
      <c r="W21" s="1030"/>
      <c r="X21" s="1030"/>
      <c r="Y21" s="1030" t="s">
        <v>821</v>
      </c>
      <c r="Z21" s="4"/>
      <c r="AA21" s="1583" t="s">
        <v>1439</v>
      </c>
      <c r="AB21" s="4"/>
      <c r="AC21" s="4"/>
      <c r="AD21" s="4"/>
      <c r="AE21" s="4"/>
      <c r="AF21" s="4"/>
      <c r="AG21" s="4"/>
      <c r="AH21" s="4"/>
      <c r="AI21" s="4"/>
      <c r="AJ21" s="4"/>
      <c r="AK21" s="4"/>
      <c r="AL21" s="4"/>
      <c r="AM21" s="4"/>
    </row>
    <row r="22" spans="1:39" ht="15.75" customHeight="1" x14ac:dyDescent="0.25">
      <c r="A22" s="1"/>
      <c r="B22" s="1553">
        <v>2011</v>
      </c>
      <c r="C22" s="1337">
        <v>8618.4</v>
      </c>
      <c r="D22" s="42" t="s">
        <v>835</v>
      </c>
      <c r="E22" s="1554">
        <v>7.9</v>
      </c>
      <c r="F22" s="42" t="s">
        <v>835</v>
      </c>
      <c r="G22" s="540">
        <v>1000</v>
      </c>
      <c r="H22" s="42" t="s">
        <v>835</v>
      </c>
      <c r="I22" s="1584">
        <v>4.0999999999999996</v>
      </c>
      <c r="J22" s="42" t="s">
        <v>835</v>
      </c>
      <c r="K22" s="1337">
        <v>0.25</v>
      </c>
      <c r="L22" s="42" t="s">
        <v>835</v>
      </c>
      <c r="M22" s="1561">
        <v>0.33</v>
      </c>
      <c r="N22" s="42" t="s">
        <v>836</v>
      </c>
      <c r="O22" s="1585">
        <f>C22*$E$22*$I$22*$M$22*$K$22*$G$22</f>
        <v>23029873.02</v>
      </c>
      <c r="P22" s="42" t="s">
        <v>835</v>
      </c>
      <c r="Q22" s="1586">
        <v>9.9999999999999998E-13</v>
      </c>
      <c r="R22" s="42" t="s">
        <v>836</v>
      </c>
      <c r="S22" s="1337">
        <f>O22*Q22</f>
        <v>2.302987302E-5</v>
      </c>
      <c r="T22" s="42" t="s">
        <v>835</v>
      </c>
      <c r="U22" s="540">
        <f>$AD$6</f>
        <v>28</v>
      </c>
      <c r="V22" s="42" t="s">
        <v>835</v>
      </c>
      <c r="W22" s="1337">
        <f>12/44</f>
        <v>0.27272727272727271</v>
      </c>
      <c r="X22" s="42" t="s">
        <v>836</v>
      </c>
      <c r="Y22" s="1045">
        <f>S22*U$22*W$22</f>
        <v>1.7586448488E-4</v>
      </c>
      <c r="Z22" s="42" t="s">
        <v>836</v>
      </c>
      <c r="AA22" s="1587">
        <f>Y22*44/12</f>
        <v>6.4483644456000001E-4</v>
      </c>
      <c r="AB22" s="4"/>
      <c r="AC22" s="4"/>
      <c r="AD22" s="4"/>
      <c r="AE22" s="4"/>
      <c r="AF22" s="4"/>
      <c r="AG22" s="4"/>
      <c r="AH22" s="4"/>
      <c r="AI22" s="4"/>
      <c r="AJ22" s="4"/>
      <c r="AK22" s="4"/>
      <c r="AL22" s="4"/>
      <c r="AM22" s="4"/>
    </row>
    <row r="23" spans="1:39" ht="15.75" customHeight="1" x14ac:dyDescent="0.25">
      <c r="A23" s="4"/>
      <c r="B23" s="978"/>
      <c r="C23" s="520"/>
      <c r="D23" s="520"/>
      <c r="E23" s="520"/>
      <c r="F23" s="520"/>
      <c r="G23" s="520"/>
      <c r="H23" s="520"/>
      <c r="I23" s="520"/>
      <c r="J23" s="520"/>
      <c r="K23" s="520"/>
      <c r="L23" s="520"/>
      <c r="M23" s="520"/>
      <c r="N23" s="520"/>
      <c r="O23" s="520"/>
      <c r="P23" s="520"/>
      <c r="Q23" s="520"/>
      <c r="R23" s="520"/>
      <c r="S23" s="520"/>
      <c r="T23" s="520"/>
      <c r="U23" s="520"/>
      <c r="V23" s="520"/>
      <c r="W23" s="520"/>
      <c r="X23" s="520"/>
      <c r="Y23" s="520"/>
      <c r="Z23" s="520"/>
      <c r="AA23" s="979"/>
      <c r="AB23" s="4"/>
      <c r="AC23" s="4"/>
      <c r="AD23" s="4"/>
      <c r="AE23" s="4"/>
      <c r="AF23" s="4"/>
      <c r="AG23" s="4"/>
      <c r="AH23" s="4"/>
      <c r="AI23" s="4"/>
      <c r="AJ23" s="4"/>
      <c r="AK23" s="4"/>
      <c r="AL23" s="4"/>
      <c r="AM23" s="4"/>
    </row>
    <row r="24" spans="1:39" ht="15.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row>
    <row r="25" spans="1:39" ht="15.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row>
    <row r="26" spans="1:39" ht="12.75" customHeight="1" x14ac:dyDescent="0.25">
      <c r="A26" s="4"/>
      <c r="B26" s="2205" t="s">
        <v>1440</v>
      </c>
      <c r="C26" s="2149"/>
      <c r="D26" s="2149"/>
      <c r="E26" s="2149"/>
      <c r="F26" s="2149"/>
      <c r="G26" s="2149"/>
      <c r="H26" s="2149"/>
      <c r="I26" s="2149"/>
      <c r="J26" s="2149"/>
      <c r="K26" s="2149"/>
      <c r="L26" s="2149"/>
      <c r="M26" s="2149"/>
      <c r="N26" s="2149"/>
      <c r="O26" s="4"/>
      <c r="P26" s="4"/>
      <c r="Q26" s="4"/>
      <c r="R26" s="4"/>
      <c r="S26" s="4"/>
      <c r="T26" s="4"/>
      <c r="U26" s="4"/>
      <c r="V26" s="4"/>
      <c r="W26" s="4"/>
      <c r="X26" s="4"/>
      <c r="Y26" s="4"/>
      <c r="Z26" s="4"/>
      <c r="AA26" s="4"/>
      <c r="AB26" s="4"/>
      <c r="AC26" s="4"/>
      <c r="AD26" s="4"/>
      <c r="AE26" s="4"/>
      <c r="AF26" s="4"/>
      <c r="AG26" s="4"/>
      <c r="AH26" s="4"/>
      <c r="AI26" s="4"/>
      <c r="AJ26" s="4"/>
      <c r="AK26" s="4"/>
      <c r="AL26" s="4"/>
      <c r="AM26" s="4"/>
    </row>
    <row r="27" spans="1:39" ht="15.7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row>
    <row r="28" spans="1:39" ht="15.75" customHeight="1" x14ac:dyDescent="0.3">
      <c r="A28" s="4"/>
      <c r="B28" s="1588" t="s">
        <v>1441</v>
      </c>
      <c r="C28" s="1588">
        <v>2011</v>
      </c>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row>
    <row r="29" spans="1:39" ht="18" customHeight="1" x14ac:dyDescent="0.35">
      <c r="A29" s="4"/>
      <c r="B29" s="4" t="s">
        <v>1442</v>
      </c>
      <c r="C29" s="951">
        <f>Y5</f>
        <v>0.52268387166449981</v>
      </c>
      <c r="D29" s="951"/>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row>
    <row r="30" spans="1:39" ht="18" customHeight="1" x14ac:dyDescent="0.35">
      <c r="A30" s="4"/>
      <c r="B30" s="4" t="s">
        <v>1443</v>
      </c>
      <c r="C30" s="1589">
        <f>AM16</f>
        <v>0.14941809414115398</v>
      </c>
      <c r="D30" s="951"/>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row>
    <row r="31" spans="1:39" ht="18" customHeight="1" x14ac:dyDescent="0.35">
      <c r="A31" s="4"/>
      <c r="B31" s="4" t="s">
        <v>1444</v>
      </c>
      <c r="C31" s="951">
        <f>SUM(C32:C35)</f>
        <v>6.4483644456000001E-4</v>
      </c>
      <c r="D31" s="951"/>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row>
    <row r="32" spans="1:39" ht="15.75" customHeight="1" x14ac:dyDescent="0.25">
      <c r="A32" s="4"/>
      <c r="B32" s="1590" t="s">
        <v>1445</v>
      </c>
      <c r="C32" s="951">
        <v>0</v>
      </c>
      <c r="D32" s="951"/>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row>
    <row r="33" spans="1:39" ht="15.75" customHeight="1" x14ac:dyDescent="0.25">
      <c r="A33" s="4"/>
      <c r="B33" s="1590" t="s">
        <v>1446</v>
      </c>
      <c r="C33" s="951">
        <f>AA22</f>
        <v>6.4483644456000001E-4</v>
      </c>
      <c r="D33" s="951"/>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row>
    <row r="34" spans="1:39" ht="15.75" customHeight="1" x14ac:dyDescent="0.25">
      <c r="A34" s="4"/>
      <c r="B34" s="1590" t="s">
        <v>1447</v>
      </c>
      <c r="C34" s="951">
        <v>0</v>
      </c>
      <c r="D34" s="951"/>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row>
    <row r="35" spans="1:39" ht="15.75" customHeight="1" x14ac:dyDescent="0.25">
      <c r="A35" s="4"/>
      <c r="B35" s="1590" t="s">
        <v>1448</v>
      </c>
      <c r="C35" s="951">
        <v>0</v>
      </c>
      <c r="D35" s="951"/>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row>
    <row r="36" spans="1:39" ht="15.75" customHeight="1" x14ac:dyDescent="0.25">
      <c r="A36" s="4"/>
      <c r="B36" s="1488" t="s">
        <v>1009</v>
      </c>
      <c r="C36" s="1591">
        <f>SUM(C29:C31)</f>
        <v>0.67274680225021377</v>
      </c>
      <c r="D36" s="951"/>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row>
    <row r="37" spans="1:39" ht="15.75" customHeight="1" x14ac:dyDescent="0.25">
      <c r="A37" s="4"/>
      <c r="B37" s="4"/>
      <c r="C37" s="4"/>
      <c r="D37" s="4"/>
      <c r="E37" s="4"/>
      <c r="F37" s="4"/>
      <c r="G37" s="4"/>
      <c r="H37" s="4"/>
      <c r="I37" s="4"/>
      <c r="J37" s="4"/>
      <c r="K37" s="4"/>
      <c r="L37" s="4"/>
      <c r="M37" s="4"/>
      <c r="N37" s="4"/>
      <c r="O37" s="4"/>
      <c r="P37" s="4"/>
      <c r="Q37" s="4"/>
      <c r="R37" s="4"/>
      <c r="S37" s="1592">
        <f>SUM(C29:C31)</f>
        <v>0.67274680225021377</v>
      </c>
      <c r="T37" s="4"/>
      <c r="U37" s="4"/>
      <c r="V37" s="4"/>
      <c r="W37" s="4"/>
      <c r="X37" s="4"/>
      <c r="Y37" s="4"/>
      <c r="Z37" s="4"/>
      <c r="AA37" s="4"/>
      <c r="AB37" s="4"/>
      <c r="AC37" s="4"/>
      <c r="AD37" s="4"/>
      <c r="AE37" s="4"/>
      <c r="AF37" s="4"/>
      <c r="AG37" s="4"/>
      <c r="AH37" s="4"/>
      <c r="AI37" s="4"/>
      <c r="AJ37" s="4"/>
      <c r="AK37" s="4"/>
      <c r="AL37" s="4"/>
      <c r="AM37" s="4"/>
    </row>
    <row r="38" spans="1:39"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row>
    <row r="39" spans="1:39"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row>
    <row r="40" spans="1:39"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row>
    <row r="41" spans="1:39"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39"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39"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39"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39"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39"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1:39"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1:39"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1:39"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1:39"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1:39"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1:39"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1:39"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1:39"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1:39"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1:39"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1" spans="1:39"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4" spans="1:39"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row>
    <row r="115" spans="1:39"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row>
    <row r="116" spans="1:39"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row>
    <row r="117" spans="1:39"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row>
    <row r="118" spans="1:39"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row>
    <row r="119" spans="1:39"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row>
    <row r="120" spans="1:39"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row>
    <row r="121" spans="1:39"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row>
    <row r="122" spans="1:39"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row>
    <row r="123" spans="1:39"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row>
    <row r="124" spans="1:39"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row>
    <row r="125" spans="1:39"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row>
    <row r="126" spans="1:39"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row>
    <row r="127" spans="1:39"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row>
    <row r="128" spans="1:39"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row>
    <row r="129" spans="1:39"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row>
    <row r="130" spans="1:39"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row>
    <row r="131" spans="1:39"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row>
    <row r="132" spans="1:39"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row>
    <row r="133" spans="1:39"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row>
    <row r="134" spans="1:39"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row>
    <row r="135" spans="1:39"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row>
    <row r="136" spans="1:39"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row>
    <row r="137" spans="1:39"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row>
    <row r="138" spans="1:39"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row>
    <row r="139" spans="1:39"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row>
    <row r="140" spans="1:39"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row>
    <row r="141" spans="1:39"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row>
    <row r="142" spans="1:39"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row>
    <row r="143" spans="1:39"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row>
    <row r="144" spans="1:39"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row>
    <row r="145" spans="1:39"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row>
    <row r="146" spans="1:39"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row>
    <row r="147" spans="1:39"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row>
    <row r="149" spans="1:39"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row>
    <row r="150" spans="1:39"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row>
    <row r="151" spans="1:39"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row>
    <row r="152" spans="1:39"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row>
    <row r="153" spans="1:39"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row>
    <row r="154" spans="1:39"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row>
    <row r="155" spans="1:39"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row>
    <row r="156" spans="1:39"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row>
    <row r="157" spans="1:39"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row>
    <row r="158" spans="1:39"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row>
    <row r="159" spans="1:39"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row>
    <row r="160" spans="1:39"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row>
    <row r="161" spans="1:39"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row>
    <row r="162" spans="1:39"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row>
    <row r="163" spans="1:39"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row>
    <row r="164" spans="1:39"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row>
    <row r="165" spans="1:39"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row>
    <row r="166" spans="1:39"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row>
    <row r="167" spans="1:39"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row>
    <row r="168" spans="1:39"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row>
    <row r="169" spans="1:39"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row>
    <row r="170" spans="1:39"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row>
    <row r="171" spans="1:39"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row>
    <row r="172" spans="1:39"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row>
    <row r="173" spans="1:39"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row>
    <row r="174" spans="1:39"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row>
    <row r="175" spans="1:39"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row>
    <row r="176" spans="1:39"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row>
    <row r="177" spans="1:39"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row>
    <row r="178" spans="1:39"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row>
    <row r="180" spans="1:39"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row>
    <row r="181" spans="1:39"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row>
    <row r="182" spans="1:39"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row>
    <row r="183" spans="1:39"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row>
    <row r="184" spans="1:39"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row>
    <row r="185" spans="1:39"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row>
    <row r="186" spans="1:39"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row>
    <row r="187" spans="1:39"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row>
    <row r="188" spans="1:39"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row>
    <row r="189" spans="1:39"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row>
    <row r="190" spans="1:39"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row>
    <row r="191" spans="1:39"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row>
    <row r="192" spans="1:39"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row>
    <row r="193" spans="1:39"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row>
    <row r="194" spans="1:39"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row>
    <row r="195" spans="1:39"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row>
    <row r="196" spans="1:39"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row>
    <row r="197" spans="1:39"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row>
    <row r="198" spans="1:39"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row>
    <row r="199" spans="1:39"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row>
    <row r="200" spans="1:39"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row>
    <row r="201" spans="1:39"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row>
    <row r="202" spans="1:39"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row>
    <row r="203" spans="1:39"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row>
    <row r="204" spans="1:39"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row>
    <row r="205" spans="1:39"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row>
    <row r="206" spans="1:39"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row>
    <row r="207" spans="1:39"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row>
    <row r="208" spans="1:39"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row>
    <row r="209" spans="1:39"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row>
    <row r="210" spans="1:39"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row>
    <row r="211" spans="1:39"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row>
    <row r="212" spans="1:39"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row>
    <row r="213" spans="1:39"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row>
    <row r="214" spans="1:39"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row>
    <row r="215" spans="1:39"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row>
    <row r="216" spans="1:39"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row>
    <row r="217" spans="1:39"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row>
    <row r="218" spans="1:39"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row>
    <row r="219" spans="1:39"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row>
    <row r="220" spans="1:39"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row>
    <row r="221" spans="1:39"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row>
    <row r="222" spans="1:39"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row>
    <row r="223" spans="1:39"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row>
    <row r="224" spans="1:39"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row>
    <row r="225" spans="1:39"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row>
    <row r="226" spans="1:39"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row>
    <row r="227" spans="1:39"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row>
    <row r="228" spans="1:39"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row>
    <row r="229" spans="1:39"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row>
    <row r="230" spans="1:39"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row>
    <row r="231" spans="1:39"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row>
    <row r="232" spans="1:39"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row>
    <row r="233" spans="1:39"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row>
    <row r="234" spans="1:39"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row>
    <row r="235" spans="1:39"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row>
    <row r="236" spans="1:39"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row>
    <row r="237" spans="1:39"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row>
    <row r="238" spans="1:39"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row>
    <row r="239" spans="1:39"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row>
    <row r="240" spans="1:39"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row>
    <row r="241" spans="1:39"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row>
    <row r="242" spans="1:39"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row>
    <row r="243" spans="1:39"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row>
    <row r="244" spans="1:39"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row>
    <row r="245" spans="1:39"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row>
    <row r="246" spans="1:39"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row>
    <row r="247" spans="1:39"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row>
    <row r="248" spans="1:39"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row>
    <row r="249" spans="1:39"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row>
    <row r="250" spans="1:39"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row>
    <row r="251" spans="1:39"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row>
    <row r="252" spans="1:39"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row>
    <row r="253" spans="1:39"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row>
    <row r="254" spans="1:39"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row>
    <row r="255" spans="1:39"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row>
    <row r="256" spans="1:39"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row>
    <row r="257" spans="1:39"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row>
    <row r="258" spans="1:39"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row>
    <row r="259" spans="1:39"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row>
    <row r="260" spans="1:39"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row>
    <row r="261" spans="1:39"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row>
    <row r="262" spans="1:39"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row>
    <row r="263" spans="1:39"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row>
    <row r="264" spans="1:39"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row>
    <row r="265" spans="1:39"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row>
    <row r="266" spans="1:39"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row>
    <row r="267" spans="1:39"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row>
    <row r="268" spans="1:39"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row>
    <row r="269" spans="1:39"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row>
    <row r="270" spans="1:39"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row>
    <row r="271" spans="1:39"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row>
    <row r="272" spans="1:39"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row>
    <row r="273" spans="1:39"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row>
    <row r="274" spans="1:39"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row>
    <row r="275" spans="1:39"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row>
    <row r="276" spans="1:39"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row>
    <row r="277" spans="1:39"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row>
    <row r="278" spans="1:39"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row>
    <row r="279" spans="1:39"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row>
    <row r="280" spans="1:39"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row>
    <row r="281" spans="1:39"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row>
    <row r="282" spans="1:39"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row>
    <row r="283" spans="1:39"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row>
    <row r="284" spans="1:39"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row>
    <row r="285" spans="1:39"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row>
    <row r="286" spans="1:39"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row>
    <row r="287" spans="1:39"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row>
    <row r="288" spans="1:39"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row>
    <row r="289" spans="1:39"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row>
    <row r="290" spans="1:39"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row>
    <row r="291" spans="1:39"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39"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row>
    <row r="293" spans="1:39"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row>
    <row r="294" spans="1:39"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row>
    <row r="295" spans="1:39"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row>
    <row r="296" spans="1:39"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row>
    <row r="297" spans="1:39"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row>
    <row r="298" spans="1:39"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row>
    <row r="299" spans="1:39"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row>
    <row r="300" spans="1:39"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row>
    <row r="301" spans="1:39"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row>
    <row r="302" spans="1:39"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row>
    <row r="303" spans="1:39"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row>
    <row r="304" spans="1:39"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row>
    <row r="305" spans="1:39"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row>
    <row r="306" spans="1:39"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row>
    <row r="307" spans="1:39"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row>
    <row r="308" spans="1:39"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row>
    <row r="309" spans="1:39"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row>
    <row r="310" spans="1:39"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row>
    <row r="311" spans="1:39"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row>
    <row r="312" spans="1:39"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row>
    <row r="313" spans="1:39"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row>
    <row r="314" spans="1:39"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row>
    <row r="315" spans="1:39"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row>
    <row r="316" spans="1:39"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row>
    <row r="317" spans="1:39"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row>
    <row r="318" spans="1:39"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row>
    <row r="319" spans="1:39"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row>
    <row r="320" spans="1:39"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row>
    <row r="321" spans="1:39"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row>
    <row r="322" spans="1:39"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row>
    <row r="323" spans="1:39"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row>
    <row r="324" spans="1:39"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row>
    <row r="325" spans="1:39"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row>
    <row r="326" spans="1:39"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row>
    <row r="327" spans="1:39"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row>
    <row r="328" spans="1:39"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row>
    <row r="329" spans="1:39"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row>
    <row r="330" spans="1:39"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row>
    <row r="331" spans="1:39"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row>
    <row r="332" spans="1:39"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row>
    <row r="333" spans="1:39"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row>
    <row r="334" spans="1:39"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row>
    <row r="335" spans="1:39"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row>
    <row r="336" spans="1:39"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row>
    <row r="337" spans="1:39"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row>
    <row r="338" spans="1:39"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row>
    <row r="339" spans="1:39"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row>
    <row r="340" spans="1:39"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row>
    <row r="341" spans="1:39"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row>
    <row r="342" spans="1:39"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row>
    <row r="343" spans="1:39"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row>
    <row r="344" spans="1:39"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row>
    <row r="345" spans="1:39"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row>
    <row r="346" spans="1:39"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row>
    <row r="347" spans="1:39"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row>
    <row r="348" spans="1:39"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row>
    <row r="349" spans="1:39"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row>
    <row r="350" spans="1:39"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row>
    <row r="351" spans="1:39"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row>
    <row r="352" spans="1:39"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row>
    <row r="353" spans="1:39"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39"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row>
    <row r="355" spans="1:39"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row>
    <row r="356" spans="1:39"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row>
    <row r="357" spans="1:39"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row>
    <row r="358" spans="1:39"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39"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row>
    <row r="360" spans="1:39"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row>
    <row r="361" spans="1:39"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row>
    <row r="362" spans="1:39"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row>
    <row r="363" spans="1:39"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row>
    <row r="364" spans="1:39"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row>
    <row r="365" spans="1:39"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row>
    <row r="366" spans="1:39"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row>
    <row r="367" spans="1:39"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39"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row>
    <row r="369" spans="1:39"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row>
    <row r="370" spans="1:39"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row>
    <row r="371" spans="1:39"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row>
    <row r="372" spans="1:39"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row>
    <row r="373" spans="1:39"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row>
    <row r="374" spans="1:39"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row>
    <row r="375" spans="1:39"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row>
    <row r="376" spans="1:39"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39"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row>
    <row r="378" spans="1:39"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row>
    <row r="379" spans="1:39"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row>
    <row r="380" spans="1:39"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row>
    <row r="381" spans="1:39"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row>
    <row r="382" spans="1:39"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row>
    <row r="383" spans="1:39"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row>
    <row r="384" spans="1:39"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row>
    <row r="385" spans="1:39"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row>
    <row r="386" spans="1:39"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row>
    <row r="387" spans="1:39"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row>
    <row r="388" spans="1:39"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row>
    <row r="389" spans="1:39"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row>
    <row r="390" spans="1:39"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row>
    <row r="391" spans="1:39"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row>
    <row r="392" spans="1:39"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row>
    <row r="393" spans="1:39"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row>
    <row r="394" spans="1:39"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row>
    <row r="395" spans="1:39"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row>
    <row r="396" spans="1:39"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row>
    <row r="397" spans="1:39"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row>
    <row r="398" spans="1:39"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row>
    <row r="399" spans="1:39"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row>
    <row r="400" spans="1:39"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row>
    <row r="401" spans="1:39"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row>
    <row r="402" spans="1:39"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row>
    <row r="403" spans="1:39"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row>
    <row r="404" spans="1:39"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row>
    <row r="405" spans="1:39"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row>
    <row r="406" spans="1:39"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row>
    <row r="407" spans="1:39"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row>
    <row r="408" spans="1:39"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row>
    <row r="409" spans="1:39"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row>
    <row r="410" spans="1:39"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row>
    <row r="411" spans="1:39"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row>
    <row r="412" spans="1:39"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row>
    <row r="413" spans="1:39"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row>
    <row r="414" spans="1:39"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row>
    <row r="415" spans="1:39"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row>
    <row r="416" spans="1:39"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row>
    <row r="417" spans="1:39"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row>
    <row r="418" spans="1:39"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row>
    <row r="419" spans="1:39"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row>
    <row r="420" spans="1:39"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row>
    <row r="421" spans="1:39"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row>
    <row r="422" spans="1:39"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row>
    <row r="423" spans="1:39"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row>
    <row r="424" spans="1:39"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row>
    <row r="425" spans="1:39"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row>
    <row r="426" spans="1:39"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row>
    <row r="427" spans="1:39"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row>
    <row r="428" spans="1:39"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row>
    <row r="429" spans="1:39"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row>
    <row r="430" spans="1:39"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row>
    <row r="431" spans="1:39"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row>
    <row r="432" spans="1:39"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row>
    <row r="433" spans="1:39"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row>
    <row r="434" spans="1:39"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row>
    <row r="435" spans="1:39"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row>
    <row r="436" spans="1:39"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row>
    <row r="437" spans="1:39"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row>
    <row r="438" spans="1:39"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row>
    <row r="439" spans="1:39"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row>
    <row r="440" spans="1:39"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row>
    <row r="441" spans="1:39"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row>
    <row r="442" spans="1:39"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row>
    <row r="443" spans="1:39"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row>
    <row r="444" spans="1:39"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row>
    <row r="445" spans="1:39"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row>
    <row r="446" spans="1:39"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row>
    <row r="447" spans="1:39"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row>
    <row r="448" spans="1:39"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row>
    <row r="449" spans="1:39"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row>
    <row r="450" spans="1:39"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row>
    <row r="451" spans="1:39"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row>
    <row r="452" spans="1:39"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row>
    <row r="453" spans="1:39"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row>
    <row r="454" spans="1:39"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row>
    <row r="455" spans="1:39"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row>
    <row r="456" spans="1:39"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row>
    <row r="457" spans="1:39"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row>
    <row r="458" spans="1:39"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row>
    <row r="459" spans="1:39"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row>
    <row r="460" spans="1:39"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row>
    <row r="461" spans="1:39"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row>
    <row r="462" spans="1:39"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row>
    <row r="463" spans="1:39"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row>
    <row r="464" spans="1:39"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row>
    <row r="465" spans="1:39"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row>
    <row r="466" spans="1:39"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row>
    <row r="467" spans="1:39"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row>
    <row r="468" spans="1:39"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row>
    <row r="469" spans="1:39"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row>
    <row r="470" spans="1:39"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row>
    <row r="471" spans="1:39"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row>
    <row r="472" spans="1:39"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row>
    <row r="473" spans="1:39"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row>
    <row r="474" spans="1:39"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row>
    <row r="475" spans="1:39"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row>
    <row r="476" spans="1:39"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row>
    <row r="477" spans="1:39"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row>
    <row r="478" spans="1:39"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row>
    <row r="479" spans="1:39"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row>
    <row r="480" spans="1:39"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row>
    <row r="481" spans="1:39"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row>
    <row r="482" spans="1:39"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row>
    <row r="483" spans="1:39"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row>
    <row r="484" spans="1:39"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row>
    <row r="485" spans="1:39"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row>
    <row r="486" spans="1:39"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row>
    <row r="487" spans="1:39"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row>
    <row r="488" spans="1:39"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row>
    <row r="489" spans="1:39"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row>
    <row r="490" spans="1:39"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row>
    <row r="491" spans="1:39"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row>
    <row r="492" spans="1:39"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row>
    <row r="493" spans="1:39"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row>
    <row r="494" spans="1:39"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row>
    <row r="495" spans="1:39"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row>
    <row r="496" spans="1:39"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row>
    <row r="497" spans="1:39"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row>
    <row r="498" spans="1:39"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row>
    <row r="499" spans="1:39"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row>
    <row r="500" spans="1:39"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row>
    <row r="501" spans="1:39"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row>
    <row r="502" spans="1:39"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row>
    <row r="503" spans="1:39"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row>
    <row r="504" spans="1:39"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row>
    <row r="505" spans="1:39"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row>
    <row r="506" spans="1:39"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row>
    <row r="507" spans="1:39"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row>
    <row r="508" spans="1:39"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row>
    <row r="509" spans="1:39"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row>
    <row r="510" spans="1:39"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row>
    <row r="511" spans="1:39"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row>
    <row r="512" spans="1:39"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row>
    <row r="513" spans="1:39"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row>
    <row r="514" spans="1:39"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row>
    <row r="515" spans="1:39"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row>
    <row r="516" spans="1:39"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row>
    <row r="517" spans="1:39"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row>
    <row r="518" spans="1:39"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row>
    <row r="519" spans="1:39"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row>
    <row r="520" spans="1:39"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row>
    <row r="521" spans="1:39"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row>
    <row r="522" spans="1:39"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row>
    <row r="523" spans="1:39"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row>
    <row r="524" spans="1:39"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row>
    <row r="525" spans="1:39"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row>
    <row r="526" spans="1:39"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row>
    <row r="527" spans="1:39"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row>
    <row r="528" spans="1:39"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row>
    <row r="529" spans="1:39"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row>
    <row r="530" spans="1:39"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row>
    <row r="531" spans="1:39"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row>
    <row r="532" spans="1:39"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row>
    <row r="533" spans="1:39"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row>
    <row r="534" spans="1:39"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row>
    <row r="535" spans="1:39"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row>
    <row r="536" spans="1:39"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row>
    <row r="537" spans="1:39"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row>
    <row r="538" spans="1:39"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row>
    <row r="539" spans="1:39"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row>
    <row r="540" spans="1:39"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row>
    <row r="541" spans="1:39"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row>
    <row r="542" spans="1:39"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row>
    <row r="543" spans="1:39"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row>
    <row r="544" spans="1:39"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row>
    <row r="545" spans="1:39"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row>
    <row r="546" spans="1:39"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row>
    <row r="547" spans="1:39"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row>
    <row r="548" spans="1:39"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row>
    <row r="549" spans="1:39"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row>
    <row r="550" spans="1:39"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row>
    <row r="551" spans="1:39"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row>
    <row r="552" spans="1:39"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row>
    <row r="553" spans="1:39"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row>
    <row r="554" spans="1:39"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row>
    <row r="555" spans="1:39"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row>
    <row r="556" spans="1:39"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row>
    <row r="557" spans="1:39"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row>
    <row r="558" spans="1:39"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row>
    <row r="559" spans="1:39"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row>
    <row r="560" spans="1:39"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row>
    <row r="561" spans="1:39"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row>
    <row r="562" spans="1:39"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row>
    <row r="563" spans="1:39"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row>
    <row r="564" spans="1:39"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row>
    <row r="565" spans="1:39"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row>
    <row r="566" spans="1:39"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row>
    <row r="567" spans="1:39"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row>
    <row r="568" spans="1:39"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row>
    <row r="569" spans="1:39"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row>
    <row r="570" spans="1:39"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row>
    <row r="571" spans="1:39"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row>
    <row r="572" spans="1:39"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row>
    <row r="573" spans="1:39"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row>
    <row r="574" spans="1:39"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row>
    <row r="575" spans="1:39"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row>
    <row r="576" spans="1:39"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7" spans="1:39"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row>
    <row r="578" spans="1:39"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row>
    <row r="579" spans="1:39"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row>
    <row r="580" spans="1:39"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row>
    <row r="581" spans="1:39"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row>
    <row r="582" spans="1:39"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row>
    <row r="583" spans="1:39"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row>
    <row r="584" spans="1:39"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row>
    <row r="585" spans="1:39"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row>
    <row r="586" spans="1:39"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row>
    <row r="587" spans="1:39"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row>
    <row r="588" spans="1:39"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row>
    <row r="589" spans="1:39"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row>
    <row r="590" spans="1:39"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row>
    <row r="591" spans="1:39"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row>
    <row r="592" spans="1:39"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row>
    <row r="593" spans="1:39"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row>
    <row r="594" spans="1:39"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row>
    <row r="595" spans="1:39"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row>
    <row r="596" spans="1:39"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row>
    <row r="597" spans="1:39"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row>
    <row r="598" spans="1:39"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row>
    <row r="599" spans="1:39"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row>
    <row r="600" spans="1:39"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39"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row>
    <row r="602" spans="1:39"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row>
    <row r="603" spans="1:39"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row>
    <row r="604" spans="1:39"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row>
    <row r="605" spans="1:39"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row>
    <row r="606" spans="1:39"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row>
    <row r="607" spans="1:39"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row>
    <row r="608" spans="1:39"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row>
    <row r="609" spans="1:39"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row>
    <row r="610" spans="1:39"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row>
    <row r="611" spans="1:39"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row>
    <row r="612" spans="1:39"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row>
    <row r="613" spans="1:39"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row>
    <row r="614" spans="1:39"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row>
    <row r="615" spans="1:39"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row>
    <row r="616" spans="1:39"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row>
    <row r="617" spans="1:39"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39"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row>
    <row r="619" spans="1:39"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row>
    <row r="620" spans="1:39"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row>
    <row r="621" spans="1:39"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39"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row>
    <row r="623" spans="1:39"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row>
    <row r="624" spans="1:39"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row>
    <row r="625" spans="1:39"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row>
    <row r="626" spans="1:39"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39"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row>
    <row r="628" spans="1:39"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row>
    <row r="629" spans="1:39"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row>
    <row r="630" spans="1:39"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row>
    <row r="631" spans="1:39"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39"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row>
    <row r="633" spans="1:39"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row>
    <row r="634" spans="1:39"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row>
    <row r="635" spans="1:39"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row>
    <row r="636" spans="1:39"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row>
    <row r="637" spans="1:39"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row>
    <row r="638" spans="1:39"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row>
    <row r="639" spans="1:39"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row>
    <row r="640" spans="1:39"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row>
    <row r="641" spans="1:39"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row>
    <row r="642" spans="1:39"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row>
    <row r="643" spans="1:39"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row>
    <row r="644" spans="1:39"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row>
    <row r="645" spans="1:39"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row>
    <row r="646" spans="1:39"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row>
    <row r="647" spans="1:39"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row>
    <row r="648" spans="1:39"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row>
    <row r="649" spans="1:39"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row>
    <row r="650" spans="1:39"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row>
    <row r="651" spans="1:39"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row>
    <row r="652" spans="1:39"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row>
    <row r="653" spans="1:39"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row>
    <row r="654" spans="1:39"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row>
    <row r="655" spans="1:39"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row>
    <row r="656" spans="1:39"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row>
    <row r="657" spans="1:39"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row>
    <row r="658" spans="1:39"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row>
    <row r="659" spans="1:39"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row>
    <row r="660" spans="1:39"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row>
    <row r="661" spans="1:39"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row>
    <row r="662" spans="1:39"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row>
    <row r="663" spans="1:39"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row>
    <row r="664" spans="1:39"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row>
    <row r="665" spans="1:39"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row>
    <row r="666" spans="1:39"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row>
    <row r="667" spans="1:39"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row>
    <row r="668" spans="1:39"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row>
    <row r="669" spans="1:39"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row>
    <row r="670" spans="1:39"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row>
    <row r="671" spans="1:39"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row>
    <row r="672" spans="1:39"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row>
    <row r="673" spans="1:39"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39"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row>
    <row r="675" spans="1:39"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row>
    <row r="676" spans="1:39"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row>
    <row r="677" spans="1:39"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row>
    <row r="678" spans="1:39"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row>
    <row r="679" spans="1:39"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row>
    <row r="680" spans="1:39"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row>
    <row r="681" spans="1:39"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row>
    <row r="682" spans="1:39"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row>
    <row r="683" spans="1:39"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row>
    <row r="684" spans="1:39"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row>
    <row r="685" spans="1:39"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row>
    <row r="686" spans="1:39"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row>
    <row r="687" spans="1:39"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row>
    <row r="688" spans="1:39"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row>
    <row r="689" spans="1:39"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row>
    <row r="690" spans="1:39"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row>
    <row r="691" spans="1:39"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row>
    <row r="692" spans="1:39"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row>
    <row r="693" spans="1:39"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row>
    <row r="694" spans="1:39"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row>
    <row r="695" spans="1:39"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row>
    <row r="696" spans="1:39"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row>
    <row r="697" spans="1:39"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row>
    <row r="698" spans="1:39"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row>
    <row r="699" spans="1:39"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row>
    <row r="700" spans="1:39"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row>
    <row r="701" spans="1:39"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row>
    <row r="702" spans="1:39"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row>
    <row r="703" spans="1:39"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row>
    <row r="704" spans="1:39"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row>
    <row r="705" spans="1:39"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row>
    <row r="706" spans="1:39"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row>
    <row r="707" spans="1:39"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row>
    <row r="708" spans="1:39"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row>
    <row r="709" spans="1:39"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row>
    <row r="710" spans="1:39"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row>
    <row r="711" spans="1:39"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row>
    <row r="712" spans="1:39"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row>
    <row r="713" spans="1:39"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row>
    <row r="714" spans="1:39"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row>
    <row r="715" spans="1:39"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row>
    <row r="716" spans="1:39"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row>
    <row r="717" spans="1:39"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row>
    <row r="718" spans="1:39"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row>
    <row r="719" spans="1:39"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row>
    <row r="720" spans="1:39"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row>
    <row r="721" spans="1:39"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row>
    <row r="722" spans="1:39"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row>
    <row r="723" spans="1:39"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row>
    <row r="724" spans="1:39"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row>
    <row r="725" spans="1:39"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row>
    <row r="726" spans="1:39"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row>
    <row r="727" spans="1:39"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row>
    <row r="728" spans="1:39"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row>
    <row r="729" spans="1:39"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row>
    <row r="730" spans="1:39"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row>
    <row r="731" spans="1:39"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row>
    <row r="732" spans="1:39"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row>
    <row r="733" spans="1:39"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row>
    <row r="734" spans="1:39"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row>
    <row r="735" spans="1:39"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row>
    <row r="736" spans="1:39"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row>
    <row r="737" spans="1:39"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row>
    <row r="738" spans="1:39"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row>
    <row r="739" spans="1:39"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row>
    <row r="740" spans="1:39"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row>
    <row r="741" spans="1:39"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row>
    <row r="742" spans="1:39"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row>
    <row r="743" spans="1:39"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row>
    <row r="744" spans="1:39"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row>
    <row r="745" spans="1:39"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row>
    <row r="746" spans="1:39"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row>
    <row r="747" spans="1:39"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row>
    <row r="748" spans="1:39"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row>
    <row r="749" spans="1:39"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row>
    <row r="750" spans="1:39"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row>
    <row r="751" spans="1:39"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row>
    <row r="752" spans="1:39"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row>
    <row r="753" spans="1:39"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row>
    <row r="754" spans="1:39"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row>
    <row r="755" spans="1:39"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row>
    <row r="756" spans="1:39"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row>
    <row r="757" spans="1:39"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row>
    <row r="758" spans="1:39"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row>
    <row r="759" spans="1:39"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row>
    <row r="760" spans="1:39"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row>
    <row r="761" spans="1:39"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row>
    <row r="762" spans="1:39"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row>
    <row r="763" spans="1:39"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row>
    <row r="764" spans="1:39"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row>
    <row r="765" spans="1:39"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row>
    <row r="766" spans="1:39"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row>
    <row r="767" spans="1:39"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row>
    <row r="768" spans="1:39"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row>
    <row r="769" spans="1:39"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row>
    <row r="770" spans="1:39"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row>
    <row r="771" spans="1:39"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row>
    <row r="772" spans="1:39"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row>
    <row r="773" spans="1:39"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row>
    <row r="774" spans="1:39"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row>
    <row r="775" spans="1:39"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row>
    <row r="776" spans="1:39"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row>
    <row r="777" spans="1:39"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row>
    <row r="778" spans="1:39"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row>
    <row r="779" spans="1:39"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row>
    <row r="780" spans="1:39"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row>
    <row r="781" spans="1:39"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row>
    <row r="782" spans="1:39"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row>
    <row r="783" spans="1:39"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row>
    <row r="784" spans="1:39"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row>
    <row r="785" spans="1:39"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row>
    <row r="786" spans="1:39"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row>
    <row r="787" spans="1:39"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row>
    <row r="788" spans="1:39"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row>
    <row r="789" spans="1:39"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row>
    <row r="790" spans="1:39"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row>
    <row r="791" spans="1:39"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row>
    <row r="792" spans="1:39"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row>
    <row r="793" spans="1:39"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row>
    <row r="794" spans="1:39"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row>
    <row r="795" spans="1:39"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row>
    <row r="796" spans="1:39"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row>
    <row r="797" spans="1:39"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row>
    <row r="798" spans="1:39"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row>
    <row r="799" spans="1:39"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row>
    <row r="800" spans="1:39"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row>
    <row r="801" spans="1:39"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row>
    <row r="802" spans="1:39"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row>
    <row r="803" spans="1:39"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row>
    <row r="804" spans="1:39"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row>
    <row r="805" spans="1:39"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row>
    <row r="806" spans="1:39"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row>
    <row r="807" spans="1:39"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row>
    <row r="808" spans="1:39"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row>
    <row r="809" spans="1:39"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row>
    <row r="810" spans="1:39"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row>
    <row r="811" spans="1:39"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row>
    <row r="812" spans="1:39"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row>
    <row r="813" spans="1:39"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row>
    <row r="814" spans="1:39"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row>
    <row r="815" spans="1:39"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row>
    <row r="816" spans="1:39"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row>
    <row r="817" spans="1:39"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row>
    <row r="818" spans="1:39"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row>
    <row r="819" spans="1:39"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row>
    <row r="820" spans="1:39"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row>
    <row r="821" spans="1:39"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row>
    <row r="822" spans="1:39"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row>
    <row r="823" spans="1:39"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row>
    <row r="824" spans="1:39"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row>
    <row r="825" spans="1:39"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row>
    <row r="826" spans="1:39"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row>
    <row r="827" spans="1:39"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row>
    <row r="828" spans="1:39"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row>
    <row r="829" spans="1:39"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row>
    <row r="830" spans="1:39"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row>
    <row r="831" spans="1:39"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row>
    <row r="832" spans="1:39"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row>
    <row r="833" spans="1:39"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row>
    <row r="834" spans="1:39"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row>
    <row r="835" spans="1:39"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row>
    <row r="836" spans="1:39"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row>
    <row r="837" spans="1:39"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row>
    <row r="838" spans="1:39"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row>
    <row r="839" spans="1:39"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row>
    <row r="840" spans="1:39"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row>
    <row r="841" spans="1:39"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row>
    <row r="842" spans="1:39"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row>
    <row r="843" spans="1:39"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row>
    <row r="844" spans="1:39"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row>
    <row r="845" spans="1:39"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row>
    <row r="846" spans="1:39"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row>
    <row r="847" spans="1:39"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row>
    <row r="848" spans="1:39"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row>
    <row r="849" spans="1:39"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row>
    <row r="850" spans="1:39"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row>
    <row r="851" spans="1:39"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row>
    <row r="852" spans="1:39"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row>
    <row r="853" spans="1:39"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row>
    <row r="854" spans="1:39"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row>
    <row r="855" spans="1:39"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row>
    <row r="856" spans="1:39"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row>
    <row r="857" spans="1:39"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row>
    <row r="858" spans="1:39"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row>
    <row r="859" spans="1:39"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row>
    <row r="860" spans="1:39"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row>
    <row r="861" spans="1:39"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row>
    <row r="862" spans="1:39"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row>
    <row r="863" spans="1:39"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row>
    <row r="864" spans="1:39"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row>
    <row r="865" spans="1:39"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row>
    <row r="866" spans="1:39"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row>
    <row r="867" spans="1:39"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row>
    <row r="868" spans="1:39"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row>
    <row r="869" spans="1:39"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row>
    <row r="870" spans="1:39"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row>
    <row r="871" spans="1:39"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row>
    <row r="872" spans="1:39"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row>
    <row r="873" spans="1:39"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row>
    <row r="874" spans="1:39"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row>
    <row r="875" spans="1:39"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row>
    <row r="876" spans="1:39"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row>
    <row r="877" spans="1:39"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row>
    <row r="878" spans="1:39"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row>
    <row r="879" spans="1:39"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row>
    <row r="880" spans="1:39"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row>
    <row r="881" spans="1:39"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row>
    <row r="882" spans="1:39"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row>
    <row r="883" spans="1:39"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row>
    <row r="884" spans="1:39"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row>
    <row r="885" spans="1:39"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row>
    <row r="886" spans="1:39"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row>
    <row r="887" spans="1:39"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row>
    <row r="888" spans="1:39"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row>
    <row r="889" spans="1:39"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row>
    <row r="890" spans="1:39"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row>
    <row r="891" spans="1:39"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row>
    <row r="892" spans="1:39"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row>
    <row r="893" spans="1:39"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row>
    <row r="894" spans="1:39"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row>
    <row r="895" spans="1:39"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row>
    <row r="896" spans="1:39"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row>
    <row r="897" spans="1:39"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row>
    <row r="898" spans="1:39"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row>
    <row r="899" spans="1:39"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row>
    <row r="900" spans="1:39"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row>
    <row r="901" spans="1:39"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row>
    <row r="902" spans="1:39"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row>
    <row r="903" spans="1:39"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row>
    <row r="904" spans="1:39"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row>
    <row r="905" spans="1:39"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row>
    <row r="906" spans="1:39"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row>
    <row r="907" spans="1:39"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row>
    <row r="908" spans="1:39"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row>
    <row r="909" spans="1:39"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row>
    <row r="910" spans="1:39"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row>
    <row r="911" spans="1:39"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row>
    <row r="912" spans="1:39"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row>
    <row r="913" spans="1:39"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row>
    <row r="914" spans="1:39"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row>
    <row r="915" spans="1:39"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row>
    <row r="916" spans="1:39"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row>
    <row r="917" spans="1:39"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row>
    <row r="918" spans="1:39"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row>
    <row r="919" spans="1:39"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row>
    <row r="920" spans="1:39"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row>
    <row r="921" spans="1:39"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row>
    <row r="922" spans="1:39"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row>
    <row r="923" spans="1:39"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row>
    <row r="924" spans="1:39"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row>
    <row r="925" spans="1:39"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row>
    <row r="926" spans="1:39"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row>
    <row r="927" spans="1:39"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row>
    <row r="928" spans="1:39"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row>
    <row r="929" spans="1:39"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row>
    <row r="930" spans="1:39"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row>
    <row r="931" spans="1:39"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row>
    <row r="932" spans="1:39"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row>
    <row r="933" spans="1:39"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row>
    <row r="934" spans="1:39"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row>
    <row r="935" spans="1:39"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row>
    <row r="936" spans="1:39"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row>
    <row r="937" spans="1:39"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row>
    <row r="938" spans="1:39"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row>
    <row r="939" spans="1:39"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row>
    <row r="940" spans="1:39"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row>
    <row r="941" spans="1:39"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row>
    <row r="942" spans="1:39"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row>
    <row r="943" spans="1:39"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row>
    <row r="944" spans="1:39"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row>
    <row r="945" spans="1:39"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row>
    <row r="946" spans="1:39"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row>
    <row r="947" spans="1:39"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row>
    <row r="948" spans="1:39"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row>
    <row r="949" spans="1:39"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row>
    <row r="950" spans="1:39"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row>
    <row r="951" spans="1:39"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row>
    <row r="952" spans="1:39"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row>
    <row r="953" spans="1:39"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row>
    <row r="954" spans="1:39"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row>
    <row r="955" spans="1:39"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row>
    <row r="956" spans="1:39"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row>
    <row r="957" spans="1:39"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row>
    <row r="958" spans="1:39"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row>
    <row r="959" spans="1:39"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row>
    <row r="960" spans="1:39"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row>
    <row r="961" spans="1:39"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row>
    <row r="962" spans="1:39"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row>
    <row r="963" spans="1:39"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row>
    <row r="964" spans="1:39"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row>
    <row r="965" spans="1:39"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row>
    <row r="966" spans="1:39"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row>
    <row r="967" spans="1:39"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row>
    <row r="968" spans="1:39"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row>
    <row r="969" spans="1:39"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row>
    <row r="970" spans="1:39"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row>
    <row r="971" spans="1:39"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row>
    <row r="972" spans="1:39"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row>
    <row r="973" spans="1:39"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row>
    <row r="974" spans="1:39"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row>
    <row r="975" spans="1:39"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row>
    <row r="976" spans="1:39"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row>
    <row r="977" spans="1:39"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row>
    <row r="978" spans="1:39"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row>
    <row r="979" spans="1:39"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row>
    <row r="980" spans="1:39"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row>
    <row r="981" spans="1:39"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row>
    <row r="982" spans="1:39"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row>
    <row r="983" spans="1:39"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row>
    <row r="984" spans="1:39"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row>
    <row r="985" spans="1:39"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row>
    <row r="986" spans="1:39"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row>
    <row r="987" spans="1:39"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row>
    <row r="988" spans="1:39"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row>
    <row r="989" spans="1:39"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row>
    <row r="990" spans="1:39"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row>
    <row r="991" spans="1:39"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row>
    <row r="992" spans="1:39"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row>
    <row r="993" spans="1:39"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row>
    <row r="994" spans="1:39"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row>
    <row r="995" spans="1:39"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row>
    <row r="996" spans="1:39"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row>
    <row r="997" spans="1:39"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row>
    <row r="998" spans="1:39"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row>
    <row r="999" spans="1:39"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row>
    <row r="1000" spans="1:39"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row>
  </sheetData>
  <sheetProtection algorithmName="SHA-512" hashValue="AZN3bjDthSw/X6zZwcAGee4GdBpqN3g/Jo+BPblMOu0N7/NbPea2NjAheUCfWq7hhok/uC7o34hcHh7tOKpFkg==" saltValue="nuH1QnDzorLxKJdcD1/6AA==" spinCount="100000" sheet="1" objects="1" scenarios="1"/>
  <mergeCells count="3">
    <mergeCell ref="B3:I3"/>
    <mergeCell ref="AC3:AD3"/>
    <mergeCell ref="B26:N26"/>
  </mergeCells>
  <conditionalFormatting sqref="B26:N26">
    <cfRule type="cellIs" dxfId="1" priority="1" operator="equal">
      <formula>0</formula>
    </cfRule>
  </conditionalFormatting>
  <conditionalFormatting sqref="B26:N26">
    <cfRule type="cellIs" dxfId="0" priority="2" operator="notEqual">
      <formula>0</formula>
    </cfRule>
  </conditionalFormatting>
  <pageMargins left="0.7" right="0.7" top="0.75" bottom="0.75" header="0" footer="0"/>
  <pageSetup orientation="landscape"/>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C1000"/>
  <sheetViews>
    <sheetView topLeftCell="A222" zoomScaleNormal="100" workbookViewId="0">
      <selection activeCell="E248" sqref="E248"/>
    </sheetView>
  </sheetViews>
  <sheetFormatPr defaultColWidth="16.83203125" defaultRowHeight="15" customHeight="1" x14ac:dyDescent="0.2"/>
  <cols>
    <col min="1" max="1" width="6" customWidth="1"/>
    <col min="2" max="2" width="34.33203125" customWidth="1"/>
    <col min="3" max="3" width="17.83203125" customWidth="1"/>
    <col min="4" max="4" width="3.83203125" customWidth="1"/>
    <col min="5" max="5" width="19.33203125" customWidth="1"/>
    <col min="6" max="6" width="3.83203125" customWidth="1"/>
    <col min="7" max="7" width="15" customWidth="1"/>
    <col min="8" max="8" width="3.83203125" customWidth="1"/>
    <col min="9" max="9" width="17.83203125" customWidth="1"/>
    <col min="10" max="10" width="3.83203125" customWidth="1"/>
    <col min="11" max="11" width="16.6640625" customWidth="1"/>
    <col min="12" max="12" width="3.83203125" customWidth="1"/>
    <col min="13" max="13" width="20.5" customWidth="1"/>
    <col min="14" max="14" width="8.6640625" customWidth="1"/>
    <col min="15" max="15" width="15.6640625" customWidth="1"/>
    <col min="16" max="16" width="3.83203125" customWidth="1"/>
    <col min="17" max="17" width="13.83203125" customWidth="1"/>
    <col min="18" max="18" width="3.83203125" customWidth="1"/>
    <col min="19" max="19" width="16.6640625" customWidth="1"/>
    <col min="20" max="20" width="3.83203125" customWidth="1"/>
    <col min="21" max="21" width="15.1640625" customWidth="1"/>
    <col min="22" max="22" width="3.83203125" customWidth="1"/>
    <col min="23" max="23" width="16.33203125" customWidth="1"/>
    <col min="24" max="24" width="2.83203125" customWidth="1"/>
    <col min="25" max="25" width="14" customWidth="1"/>
    <col min="26" max="26" width="11" customWidth="1"/>
    <col min="27" max="27" width="20" customWidth="1"/>
    <col min="28" max="28" width="2.83203125" customWidth="1"/>
    <col min="29" max="29" width="17" customWidth="1"/>
    <col min="30" max="30" width="2.83203125" customWidth="1"/>
    <col min="31" max="31" width="15.5" customWidth="1"/>
    <col min="32" max="81" width="9.33203125" customWidth="1"/>
  </cols>
  <sheetData>
    <row r="1" spans="1:81" x14ac:dyDescent="0.25">
      <c r="A1" s="4" t="s">
        <v>1449</v>
      </c>
      <c r="B1" s="4"/>
      <c r="C1" s="4"/>
      <c r="D1" s="4"/>
      <c r="E1" s="3" t="s">
        <v>268</v>
      </c>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row>
    <row r="2" spans="1:81" ht="409.5" customHeight="1" x14ac:dyDescent="0.25">
      <c r="A2" s="4"/>
      <c r="B2" s="2212"/>
      <c r="C2" s="2149"/>
      <c r="D2" s="2149"/>
      <c r="E2" s="2149"/>
      <c r="F2" s="2149"/>
      <c r="G2" s="2149"/>
      <c r="H2" s="2149"/>
      <c r="I2" s="2149"/>
      <c r="J2" s="2149"/>
      <c r="K2" s="2149"/>
      <c r="L2" s="2149"/>
      <c r="M2" s="2149"/>
      <c r="N2" s="2149"/>
      <c r="O2" s="2149"/>
      <c r="P2" s="2149"/>
      <c r="Q2" s="2149"/>
      <c r="R2" s="2149"/>
      <c r="S2" s="2149"/>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row>
    <row r="3" spans="1:81" x14ac:dyDescent="0.25">
      <c r="A3" s="4"/>
      <c r="B3" s="1593" t="s">
        <v>1450</v>
      </c>
      <c r="C3" s="1594"/>
      <c r="D3" s="1594"/>
      <c r="E3" s="1594"/>
      <c r="F3" s="1594"/>
      <c r="G3" s="1594"/>
      <c r="H3" s="1594"/>
      <c r="I3" s="1594"/>
      <c r="J3" s="1594"/>
      <c r="K3" s="1594"/>
      <c r="L3" s="1594"/>
      <c r="M3" s="1595"/>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row>
    <row r="4" spans="1:81" ht="45" customHeight="1" x14ac:dyDescent="0.25">
      <c r="A4" s="4"/>
      <c r="B4" s="104"/>
      <c r="C4" s="1596" t="s">
        <v>1451</v>
      </c>
      <c r="D4" s="1596"/>
      <c r="E4" s="1596" t="s">
        <v>1452</v>
      </c>
      <c r="F4" s="1596"/>
      <c r="G4" s="1596" t="s">
        <v>1453</v>
      </c>
      <c r="H4" s="1597"/>
      <c r="I4" s="1596" t="s">
        <v>1454</v>
      </c>
      <c r="J4" s="1597"/>
      <c r="K4" s="1596" t="s">
        <v>1393</v>
      </c>
      <c r="L4" s="1597"/>
      <c r="M4" s="1598" t="s">
        <v>1455</v>
      </c>
      <c r="N4" s="4"/>
      <c r="O4" s="4"/>
      <c r="P4" s="4"/>
      <c r="Q4" s="4"/>
      <c r="R4" s="4"/>
      <c r="S4" s="4"/>
      <c r="T4" s="4"/>
      <c r="U4" s="4"/>
      <c r="V4" s="4"/>
      <c r="W4" s="4"/>
      <c r="X4" s="4"/>
      <c r="Y4" s="4"/>
      <c r="Z4" s="4"/>
      <c r="AA4" s="4"/>
      <c r="AB4" s="4"/>
      <c r="AC4" s="4"/>
      <c r="AD4" s="4"/>
      <c r="AE4" s="4"/>
      <c r="AF4" s="2146" t="s">
        <v>0</v>
      </c>
      <c r="AG4" s="2147"/>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row>
    <row r="5" spans="1:81" x14ac:dyDescent="0.25">
      <c r="A5" s="4"/>
      <c r="B5" s="164" t="s">
        <v>1456</v>
      </c>
      <c r="C5" s="106"/>
      <c r="D5" s="106"/>
      <c r="E5" s="107"/>
      <c r="F5" s="107"/>
      <c r="G5" s="107"/>
      <c r="H5" s="107"/>
      <c r="I5" s="107"/>
      <c r="J5" s="107"/>
      <c r="K5" s="107"/>
      <c r="L5" s="107"/>
      <c r="M5" s="108"/>
      <c r="N5" s="4"/>
      <c r="O5" s="4"/>
      <c r="P5" s="4"/>
      <c r="Q5" s="4"/>
      <c r="R5" s="4"/>
      <c r="S5" s="4"/>
      <c r="T5" s="4"/>
      <c r="U5" s="4"/>
      <c r="V5" s="4"/>
      <c r="W5" s="4"/>
      <c r="X5" s="4"/>
      <c r="Y5" s="4"/>
      <c r="Z5" s="4"/>
      <c r="AA5" s="4"/>
      <c r="AB5" s="4"/>
      <c r="AC5" s="4"/>
      <c r="AD5" s="4"/>
      <c r="AE5" s="4"/>
      <c r="AF5" s="1599"/>
      <c r="AG5" s="1599"/>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row>
    <row r="6" spans="1:81" x14ac:dyDescent="0.25">
      <c r="A6" s="4"/>
      <c r="B6" s="781" t="s">
        <v>1457</v>
      </c>
      <c r="C6" s="1600">
        <v>53</v>
      </c>
      <c r="D6" s="106" t="s">
        <v>835</v>
      </c>
      <c r="E6" s="1518">
        <v>138.93539364</v>
      </c>
      <c r="F6" s="106" t="s">
        <v>836</v>
      </c>
      <c r="G6" s="232">
        <f t="shared" ref="G6:G9" si="0">C6*E6*1000</f>
        <v>7363575.8629200002</v>
      </c>
      <c r="H6" s="106" t="s">
        <v>836</v>
      </c>
      <c r="I6" s="1166">
        <f t="shared" ref="I6:I9" si="1">G6/1000*10^-6</f>
        <v>7.36357586292E-3</v>
      </c>
      <c r="J6" s="106" t="s">
        <v>836</v>
      </c>
      <c r="K6" s="942">
        <f>(I6*$AG$7)*(12/44)</f>
        <v>5.6230942953207269E-2</v>
      </c>
      <c r="L6" s="106" t="s">
        <v>836</v>
      </c>
      <c r="M6" s="165">
        <f t="shared" ref="M6:M9" si="2">K6/(12/44)</f>
        <v>0.20618012416176001</v>
      </c>
      <c r="N6" s="4"/>
      <c r="O6" s="4"/>
      <c r="P6" s="4"/>
      <c r="Q6" s="4"/>
      <c r="R6" s="4"/>
      <c r="S6" s="4"/>
      <c r="T6" s="4"/>
      <c r="U6" s="4"/>
      <c r="V6" s="4"/>
      <c r="W6" s="4"/>
      <c r="X6" s="4"/>
      <c r="Y6" s="4"/>
      <c r="Z6" s="4"/>
      <c r="AA6" s="4"/>
      <c r="AB6" s="4"/>
      <c r="AC6" s="4"/>
      <c r="AD6" s="4"/>
      <c r="AE6" s="4"/>
      <c r="AF6" s="1601" t="s">
        <v>4</v>
      </c>
      <c r="AG6" s="125">
        <f>'Summ GHG Rpt Expanded'!G4</f>
        <v>1</v>
      </c>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row>
    <row r="7" spans="1:81" x14ac:dyDescent="0.25">
      <c r="A7" s="4"/>
      <c r="B7" s="781" t="s">
        <v>1458</v>
      </c>
      <c r="C7" s="1600">
        <v>28</v>
      </c>
      <c r="D7" s="106" t="s">
        <v>835</v>
      </c>
      <c r="E7" s="1518">
        <v>65.967509930000006</v>
      </c>
      <c r="F7" s="106" t="s">
        <v>836</v>
      </c>
      <c r="G7" s="232">
        <f t="shared" si="0"/>
        <v>1847090.2780400002</v>
      </c>
      <c r="H7" s="106" t="s">
        <v>836</v>
      </c>
      <c r="I7" s="1166">
        <f t="shared" si="1"/>
        <v>1.8470902780400001E-3</v>
      </c>
      <c r="J7" s="106" t="s">
        <v>836</v>
      </c>
      <c r="K7" s="942">
        <f t="shared" ref="K7:K24" si="3">(I7*$AG$7)*(12/44)</f>
        <v>1.4105053032305455E-2</v>
      </c>
      <c r="L7" s="106" t="s">
        <v>836</v>
      </c>
      <c r="M7" s="165">
        <f t="shared" si="2"/>
        <v>5.1718527785120004E-2</v>
      </c>
      <c r="N7" s="4"/>
      <c r="O7" s="4"/>
      <c r="P7" s="4"/>
      <c r="Q7" s="4"/>
      <c r="R7" s="4"/>
      <c r="S7" s="4"/>
      <c r="T7" s="4"/>
      <c r="U7" s="4"/>
      <c r="V7" s="4"/>
      <c r="W7" s="4"/>
      <c r="X7" s="4"/>
      <c r="Y7" s="4"/>
      <c r="Z7" s="4"/>
      <c r="AA7" s="4"/>
      <c r="AB7" s="4"/>
      <c r="AC7" s="4"/>
      <c r="AD7" s="4"/>
      <c r="AE7" s="4"/>
      <c r="AF7" s="1601" t="s">
        <v>5</v>
      </c>
      <c r="AG7" s="125">
        <f>'Summ GHG Rpt Expanded'!G5</f>
        <v>28</v>
      </c>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row>
    <row r="8" spans="1:81" x14ac:dyDescent="0.25">
      <c r="A8" s="4"/>
      <c r="B8" s="781" t="s">
        <v>1459</v>
      </c>
      <c r="C8" s="1600">
        <v>0</v>
      </c>
      <c r="D8" s="106" t="s">
        <v>835</v>
      </c>
      <c r="E8" s="1518">
        <v>48.578723359999998</v>
      </c>
      <c r="F8" s="106" t="s">
        <v>836</v>
      </c>
      <c r="G8" s="232">
        <f t="shared" si="0"/>
        <v>0</v>
      </c>
      <c r="H8" s="106" t="s">
        <v>836</v>
      </c>
      <c r="I8" s="1166">
        <f t="shared" si="1"/>
        <v>0</v>
      </c>
      <c r="J8" s="106" t="s">
        <v>836</v>
      </c>
      <c r="K8" s="942">
        <f t="shared" si="3"/>
        <v>0</v>
      </c>
      <c r="L8" s="106" t="s">
        <v>836</v>
      </c>
      <c r="M8" s="165">
        <f t="shared" si="2"/>
        <v>0</v>
      </c>
      <c r="N8" s="4"/>
      <c r="O8" s="4"/>
      <c r="P8" s="4"/>
      <c r="Q8" s="4"/>
      <c r="R8" s="4"/>
      <c r="S8" s="4"/>
      <c r="T8" s="4"/>
      <c r="U8" s="4"/>
      <c r="V8" s="4"/>
      <c r="W8" s="4"/>
      <c r="X8" s="4"/>
      <c r="Y8" s="4"/>
      <c r="Z8" s="4"/>
      <c r="AA8" s="4"/>
      <c r="AB8" s="4"/>
      <c r="AC8" s="4"/>
      <c r="AD8" s="4"/>
      <c r="AE8" s="4"/>
      <c r="AF8" s="1601" t="s">
        <v>6</v>
      </c>
      <c r="AG8" s="125">
        <f>'Summ GHG Rpt Expanded'!G6</f>
        <v>265</v>
      </c>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row>
    <row r="9" spans="1:81" x14ac:dyDescent="0.25">
      <c r="A9" s="4"/>
      <c r="B9" s="781" t="s">
        <v>1460</v>
      </c>
      <c r="C9" s="1600">
        <v>0</v>
      </c>
      <c r="D9" s="106" t="s">
        <v>835</v>
      </c>
      <c r="E9" s="1518">
        <v>73.327800060000001</v>
      </c>
      <c r="F9" s="106" t="s">
        <v>836</v>
      </c>
      <c r="G9" s="232">
        <f t="shared" si="0"/>
        <v>0</v>
      </c>
      <c r="H9" s="106" t="s">
        <v>836</v>
      </c>
      <c r="I9" s="1166">
        <f t="shared" si="1"/>
        <v>0</v>
      </c>
      <c r="J9" s="106" t="s">
        <v>836</v>
      </c>
      <c r="K9" s="942">
        <f t="shared" si="3"/>
        <v>0</v>
      </c>
      <c r="L9" s="106" t="s">
        <v>836</v>
      </c>
      <c r="M9" s="165">
        <f t="shared" si="2"/>
        <v>0</v>
      </c>
      <c r="N9" s="4"/>
      <c r="O9" s="4"/>
      <c r="P9" s="4"/>
      <c r="Q9" s="4"/>
      <c r="R9" s="4"/>
      <c r="S9" s="4"/>
      <c r="T9" s="4"/>
      <c r="U9" s="4"/>
      <c r="V9" s="4"/>
      <c r="W9" s="4"/>
      <c r="X9" s="4"/>
      <c r="Y9" s="4"/>
      <c r="Z9" s="4"/>
      <c r="AA9" s="4"/>
      <c r="AB9" s="4"/>
      <c r="AC9" s="4"/>
      <c r="AD9" s="4"/>
      <c r="AE9" s="4"/>
      <c r="AF9" s="1601" t="s">
        <v>7</v>
      </c>
      <c r="AG9" s="129">
        <f>'Summ GHG Rpt Expanded'!G7</f>
        <v>23500</v>
      </c>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row>
    <row r="10" spans="1:81" x14ac:dyDescent="0.25">
      <c r="A10" s="4"/>
      <c r="B10" s="164" t="s">
        <v>1461</v>
      </c>
      <c r="C10" s="1393"/>
      <c r="D10" s="106"/>
      <c r="E10" s="1518"/>
      <c r="F10" s="106"/>
      <c r="G10" s="232"/>
      <c r="H10" s="106"/>
      <c r="I10" s="1166"/>
      <c r="J10" s="106"/>
      <c r="K10" s="942"/>
      <c r="L10" s="106"/>
      <c r="M10" s="165"/>
      <c r="N10" s="4"/>
      <c r="O10" s="4"/>
      <c r="P10" s="4"/>
      <c r="Q10" s="4"/>
      <c r="R10" s="4"/>
      <c r="S10" s="4"/>
      <c r="T10" s="4"/>
      <c r="U10" s="4"/>
      <c r="V10" s="4"/>
      <c r="W10" s="4"/>
      <c r="X10" s="4"/>
      <c r="Y10" s="4"/>
      <c r="Z10" s="4"/>
      <c r="AA10" s="4"/>
      <c r="AB10" s="4"/>
      <c r="AC10" s="4"/>
      <c r="AD10" s="4"/>
      <c r="AE10" s="4"/>
      <c r="AF10" s="1601" t="s">
        <v>8</v>
      </c>
      <c r="AG10" s="129">
        <f>'Summ GHG Rpt Expanded'!G8</f>
        <v>11100</v>
      </c>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row>
    <row r="11" spans="1:81" x14ac:dyDescent="0.25">
      <c r="A11" s="4"/>
      <c r="B11" s="781" t="s">
        <v>1462</v>
      </c>
      <c r="C11" s="1600">
        <v>42</v>
      </c>
      <c r="D11" s="106" t="s">
        <v>835</v>
      </c>
      <c r="E11" s="1518">
        <v>94.374200790000003</v>
      </c>
      <c r="F11" s="106" t="s">
        <v>836</v>
      </c>
      <c r="G11" s="232">
        <f t="shared" ref="G11:G19" si="4">C11*E11*1000</f>
        <v>3963716.4331800002</v>
      </c>
      <c r="H11" s="106" t="s">
        <v>836</v>
      </c>
      <c r="I11" s="1166">
        <f t="shared" ref="I11:I19" si="5">G11/1000*10^-6</f>
        <v>3.9637164331799996E-3</v>
      </c>
      <c r="J11" s="106" t="s">
        <v>836</v>
      </c>
      <c r="K11" s="942">
        <f t="shared" si="3"/>
        <v>3.0268380035192725E-2</v>
      </c>
      <c r="L11" s="106" t="s">
        <v>836</v>
      </c>
      <c r="M11" s="165">
        <f t="shared" ref="M11:M19" si="6">K11/(12/44)</f>
        <v>0.11098406012904</v>
      </c>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row>
    <row r="12" spans="1:81" x14ac:dyDescent="0.25">
      <c r="A12" s="4"/>
      <c r="B12" s="781" t="s">
        <v>1463</v>
      </c>
      <c r="C12" s="1600">
        <v>10</v>
      </c>
      <c r="D12" s="106" t="s">
        <v>835</v>
      </c>
      <c r="E12" s="1518">
        <v>66.696864169999998</v>
      </c>
      <c r="F12" s="106" t="s">
        <v>836</v>
      </c>
      <c r="G12" s="232">
        <f t="shared" si="4"/>
        <v>666968.64170000004</v>
      </c>
      <c r="H12" s="106" t="s">
        <v>836</v>
      </c>
      <c r="I12" s="1166">
        <f t="shared" si="5"/>
        <v>6.6696864169999998E-4</v>
      </c>
      <c r="J12" s="106" t="s">
        <v>836</v>
      </c>
      <c r="K12" s="942">
        <f t="shared" si="3"/>
        <v>5.093215082072727E-3</v>
      </c>
      <c r="L12" s="106" t="s">
        <v>836</v>
      </c>
      <c r="M12" s="165">
        <f t="shared" si="6"/>
        <v>1.86751219676E-2</v>
      </c>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row>
    <row r="13" spans="1:81" x14ac:dyDescent="0.25">
      <c r="A13" s="4"/>
      <c r="B13" s="781" t="s">
        <v>1459</v>
      </c>
      <c r="C13" s="1600">
        <v>0</v>
      </c>
      <c r="D13" s="106" t="s">
        <v>835</v>
      </c>
      <c r="E13" s="1518">
        <v>60.030499669999998</v>
      </c>
      <c r="F13" s="106" t="s">
        <v>836</v>
      </c>
      <c r="G13" s="232">
        <f t="shared" si="4"/>
        <v>0</v>
      </c>
      <c r="H13" s="106" t="s">
        <v>836</v>
      </c>
      <c r="I13" s="1166">
        <f t="shared" si="5"/>
        <v>0</v>
      </c>
      <c r="J13" s="106" t="s">
        <v>836</v>
      </c>
      <c r="K13" s="942">
        <f t="shared" si="3"/>
        <v>0</v>
      </c>
      <c r="L13" s="106" t="s">
        <v>836</v>
      </c>
      <c r="M13" s="165">
        <f t="shared" si="6"/>
        <v>0</v>
      </c>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row>
    <row r="14" spans="1:81" x14ac:dyDescent="0.25">
      <c r="A14" s="4"/>
      <c r="B14" s="781" t="s">
        <v>1460</v>
      </c>
      <c r="C14" s="1600">
        <v>0</v>
      </c>
      <c r="D14" s="106" t="s">
        <v>835</v>
      </c>
      <c r="E14" s="1518">
        <v>69.411475499999995</v>
      </c>
      <c r="F14" s="106" t="s">
        <v>836</v>
      </c>
      <c r="G14" s="232">
        <f t="shared" si="4"/>
        <v>0</v>
      </c>
      <c r="H14" s="106" t="s">
        <v>836</v>
      </c>
      <c r="I14" s="1166">
        <f t="shared" si="5"/>
        <v>0</v>
      </c>
      <c r="J14" s="106" t="s">
        <v>836</v>
      </c>
      <c r="K14" s="942">
        <f t="shared" si="3"/>
        <v>0</v>
      </c>
      <c r="L14" s="106" t="s">
        <v>836</v>
      </c>
      <c r="M14" s="165">
        <f t="shared" si="6"/>
        <v>0</v>
      </c>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row>
    <row r="15" spans="1:81" x14ac:dyDescent="0.25">
      <c r="A15" s="4"/>
      <c r="B15" s="781" t="s">
        <v>1464</v>
      </c>
      <c r="C15" s="1600">
        <v>7</v>
      </c>
      <c r="D15" s="106" t="s">
        <v>835</v>
      </c>
      <c r="E15" s="1518">
        <v>59.813174429999997</v>
      </c>
      <c r="F15" s="106" t="s">
        <v>836</v>
      </c>
      <c r="G15" s="232">
        <f t="shared" si="4"/>
        <v>418692.22100999998</v>
      </c>
      <c r="H15" s="106" t="s">
        <v>836</v>
      </c>
      <c r="I15" s="1166">
        <f t="shared" si="5"/>
        <v>4.1869222100999993E-4</v>
      </c>
      <c r="J15" s="106" t="s">
        <v>836</v>
      </c>
      <c r="K15" s="942">
        <f t="shared" si="3"/>
        <v>3.19728605134909E-3</v>
      </c>
      <c r="L15" s="106" t="s">
        <v>836</v>
      </c>
      <c r="M15" s="165">
        <f t="shared" si="6"/>
        <v>1.1723382188279998E-2</v>
      </c>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row>
    <row r="16" spans="1:81" x14ac:dyDescent="0.25">
      <c r="A16" s="4"/>
      <c r="B16" s="781" t="s">
        <v>1465</v>
      </c>
      <c r="C16" s="1600">
        <v>15</v>
      </c>
      <c r="D16" s="106" t="s">
        <v>835</v>
      </c>
      <c r="E16" s="1518">
        <v>57.866542279999997</v>
      </c>
      <c r="F16" s="106" t="s">
        <v>836</v>
      </c>
      <c r="G16" s="232">
        <f t="shared" si="4"/>
        <v>867998.13419999997</v>
      </c>
      <c r="H16" s="106" t="s">
        <v>836</v>
      </c>
      <c r="I16" s="1166">
        <f t="shared" si="5"/>
        <v>8.679981342E-4</v>
      </c>
      <c r="J16" s="106" t="s">
        <v>836</v>
      </c>
      <c r="K16" s="942">
        <f t="shared" si="3"/>
        <v>6.6283493884363633E-3</v>
      </c>
      <c r="L16" s="106" t="s">
        <v>836</v>
      </c>
      <c r="M16" s="165">
        <f t="shared" si="6"/>
        <v>2.4303947757599999E-2</v>
      </c>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row>
    <row r="17" spans="1:81" x14ac:dyDescent="0.25">
      <c r="A17" s="4"/>
      <c r="B17" s="781" t="s">
        <v>1466</v>
      </c>
      <c r="C17" s="1602">
        <v>3.9119999999999999</v>
      </c>
      <c r="D17" s="106" t="s">
        <v>835</v>
      </c>
      <c r="E17" s="1518">
        <v>43.159728520000002</v>
      </c>
      <c r="F17" s="106" t="s">
        <v>836</v>
      </c>
      <c r="G17" s="232">
        <f t="shared" si="4"/>
        <v>168840.85797024</v>
      </c>
      <c r="H17" s="106" t="s">
        <v>836</v>
      </c>
      <c r="I17" s="1166">
        <f t="shared" si="5"/>
        <v>1.6884085797023998E-4</v>
      </c>
      <c r="J17" s="106" t="s">
        <v>836</v>
      </c>
      <c r="K17" s="942">
        <f t="shared" si="3"/>
        <v>1.289330188136378E-3</v>
      </c>
      <c r="L17" s="106" t="s">
        <v>836</v>
      </c>
      <c r="M17" s="165">
        <f t="shared" si="6"/>
        <v>4.7275440231667196E-3</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row>
    <row r="18" spans="1:81" x14ac:dyDescent="0.25">
      <c r="A18" s="4"/>
      <c r="B18" s="781" t="s">
        <v>1467</v>
      </c>
      <c r="C18" s="1602">
        <v>7.3949999999999996</v>
      </c>
      <c r="D18" s="106" t="s">
        <v>835</v>
      </c>
      <c r="E18" s="1518">
        <v>41.996092650000001</v>
      </c>
      <c r="F18" s="106" t="s">
        <v>836</v>
      </c>
      <c r="G18" s="232">
        <f t="shared" si="4"/>
        <v>310561.10514674999</v>
      </c>
      <c r="H18" s="106" t="s">
        <v>836</v>
      </c>
      <c r="I18" s="1166">
        <f t="shared" si="5"/>
        <v>3.1056110514674997E-4</v>
      </c>
      <c r="J18" s="106" t="s">
        <v>836</v>
      </c>
      <c r="K18" s="942">
        <f t="shared" si="3"/>
        <v>2.3715575302115451E-3</v>
      </c>
      <c r="L18" s="106" t="s">
        <v>836</v>
      </c>
      <c r="M18" s="165">
        <f t="shared" si="6"/>
        <v>8.6957109441089999E-3</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row>
    <row r="19" spans="1:81" x14ac:dyDescent="0.25">
      <c r="A19" s="4"/>
      <c r="B19" s="781" t="s">
        <v>1468</v>
      </c>
      <c r="C19" s="1600">
        <v>4</v>
      </c>
      <c r="D19" s="106" t="s">
        <v>835</v>
      </c>
      <c r="E19" s="1518">
        <v>97.583393290000004</v>
      </c>
      <c r="F19" s="106" t="s">
        <v>836</v>
      </c>
      <c r="G19" s="232">
        <f t="shared" si="4"/>
        <v>390333.57316000003</v>
      </c>
      <c r="H19" s="106" t="s">
        <v>836</v>
      </c>
      <c r="I19" s="1166">
        <f t="shared" si="5"/>
        <v>3.9033357316000002E-4</v>
      </c>
      <c r="J19" s="106" t="s">
        <v>836</v>
      </c>
      <c r="K19" s="942">
        <f t="shared" si="3"/>
        <v>2.9807291041309089E-3</v>
      </c>
      <c r="L19" s="106" t="s">
        <v>836</v>
      </c>
      <c r="M19" s="165">
        <f t="shared" si="6"/>
        <v>1.092934004848E-2</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row>
    <row r="20" spans="1:81" x14ac:dyDescent="0.25">
      <c r="A20" s="4"/>
      <c r="B20" s="164" t="s">
        <v>716</v>
      </c>
      <c r="C20" s="1603"/>
      <c r="D20" s="106"/>
      <c r="E20" s="1518"/>
      <c r="F20" s="106"/>
      <c r="G20" s="232"/>
      <c r="H20" s="106"/>
      <c r="I20" s="1166"/>
      <c r="J20" s="106"/>
      <c r="K20" s="942"/>
      <c r="L20" s="106"/>
      <c r="M20" s="165"/>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row>
    <row r="21" spans="1:81" ht="15.75" customHeight="1" x14ac:dyDescent="0.25">
      <c r="A21" s="4"/>
      <c r="B21" s="781" t="s">
        <v>1469</v>
      </c>
      <c r="C21" s="1602">
        <v>24</v>
      </c>
      <c r="D21" s="106" t="s">
        <v>835</v>
      </c>
      <c r="E21" s="1518">
        <v>8</v>
      </c>
      <c r="F21" s="106" t="s">
        <v>836</v>
      </c>
      <c r="G21" s="232">
        <f t="shared" ref="G21:G24" si="7">C21*E21*1000</f>
        <v>192000</v>
      </c>
      <c r="H21" s="106" t="s">
        <v>836</v>
      </c>
      <c r="I21" s="1166">
        <f t="shared" ref="I21:I24" si="8">G21/1000*10^-6</f>
        <v>1.92E-4</v>
      </c>
      <c r="J21" s="106" t="s">
        <v>836</v>
      </c>
      <c r="K21" s="942">
        <f t="shared" si="3"/>
        <v>1.4661818181818183E-3</v>
      </c>
      <c r="L21" s="106" t="s">
        <v>836</v>
      </c>
      <c r="M21" s="165">
        <f t="shared" ref="M21:M24" si="9">K21/(12/44)</f>
        <v>5.3760000000000006E-3</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row>
    <row r="22" spans="1:81" ht="15.75" customHeight="1" x14ac:dyDescent="0.25">
      <c r="A22" s="4"/>
      <c r="B22" s="781" t="s">
        <v>1470</v>
      </c>
      <c r="C22" s="1600">
        <v>12</v>
      </c>
      <c r="D22" s="106" t="s">
        <v>835</v>
      </c>
      <c r="E22" s="1518">
        <v>5</v>
      </c>
      <c r="F22" s="106" t="s">
        <v>836</v>
      </c>
      <c r="G22" s="232">
        <f t="shared" si="7"/>
        <v>60000</v>
      </c>
      <c r="H22" s="106" t="s">
        <v>836</v>
      </c>
      <c r="I22" s="1166">
        <f t="shared" si="8"/>
        <v>5.9999999999999995E-5</v>
      </c>
      <c r="J22" s="106" t="s">
        <v>836</v>
      </c>
      <c r="K22" s="942">
        <f t="shared" si="3"/>
        <v>4.5818181818181808E-4</v>
      </c>
      <c r="L22" s="106" t="s">
        <v>836</v>
      </c>
      <c r="M22" s="165">
        <f t="shared" si="9"/>
        <v>1.6799999999999999E-3</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row>
    <row r="23" spans="1:81" ht="15.75" customHeight="1" x14ac:dyDescent="0.25">
      <c r="A23" s="4"/>
      <c r="B23" s="781" t="s">
        <v>1471</v>
      </c>
      <c r="C23" s="1600">
        <v>23</v>
      </c>
      <c r="D23" s="106" t="s">
        <v>835</v>
      </c>
      <c r="E23" s="1518">
        <v>1.5</v>
      </c>
      <c r="F23" s="106" t="s">
        <v>836</v>
      </c>
      <c r="G23" s="232">
        <f t="shared" si="7"/>
        <v>34500</v>
      </c>
      <c r="H23" s="106" t="s">
        <v>836</v>
      </c>
      <c r="I23" s="1166">
        <f t="shared" si="8"/>
        <v>3.4499999999999998E-5</v>
      </c>
      <c r="J23" s="106" t="s">
        <v>836</v>
      </c>
      <c r="K23" s="942">
        <f t="shared" si="3"/>
        <v>2.634545454545454E-4</v>
      </c>
      <c r="L23" s="106" t="s">
        <v>836</v>
      </c>
      <c r="M23" s="165">
        <f t="shared" si="9"/>
        <v>9.6599999999999984E-4</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row>
    <row r="24" spans="1:81" ht="15.75" customHeight="1" x14ac:dyDescent="0.25">
      <c r="A24" s="4"/>
      <c r="B24" s="781" t="s">
        <v>1472</v>
      </c>
      <c r="C24" s="1602">
        <v>79.099999999999994</v>
      </c>
      <c r="D24" s="106" t="s">
        <v>835</v>
      </c>
      <c r="E24" s="1518">
        <v>18</v>
      </c>
      <c r="F24" s="106" t="s">
        <v>836</v>
      </c>
      <c r="G24" s="232">
        <f t="shared" si="7"/>
        <v>1423800</v>
      </c>
      <c r="H24" s="106" t="s">
        <v>836</v>
      </c>
      <c r="I24" s="1166">
        <f t="shared" si="8"/>
        <v>1.4237999999999998E-3</v>
      </c>
      <c r="J24" s="106" t="s">
        <v>836</v>
      </c>
      <c r="K24" s="942">
        <f t="shared" si="3"/>
        <v>1.0872654545454543E-2</v>
      </c>
      <c r="L24" s="106" t="s">
        <v>836</v>
      </c>
      <c r="M24" s="165">
        <f t="shared" si="9"/>
        <v>3.9866399999999996E-2</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row>
    <row r="25" spans="1:81" ht="15.75" customHeight="1" x14ac:dyDescent="0.25">
      <c r="A25" s="4"/>
      <c r="B25" s="1604" t="s">
        <v>1473</v>
      </c>
      <c r="C25" s="1605"/>
      <c r="D25" s="1605"/>
      <c r="E25" s="1605"/>
      <c r="F25" s="1605"/>
      <c r="G25" s="1606">
        <f>SUM(G6:G24)</f>
        <v>17708077.107326992</v>
      </c>
      <c r="H25" s="1607"/>
      <c r="I25" s="1608">
        <f>SUM(I6:I24)</f>
        <v>1.7708077107326994E-2</v>
      </c>
      <c r="J25" s="1607"/>
      <c r="K25" s="1609">
        <f>SUM(K6:K24)</f>
        <v>0.13522531609231517</v>
      </c>
      <c r="L25" s="1610"/>
      <c r="M25" s="1611">
        <f>SUM(M6:M24)</f>
        <v>0.4958261590051557</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row>
    <row r="26" spans="1:81" ht="15.75" customHeight="1" x14ac:dyDescent="0.25">
      <c r="A26" s="4"/>
      <c r="B26" s="1"/>
      <c r="C26" s="1030"/>
      <c r="D26" s="1030"/>
      <c r="E26" s="1030"/>
      <c r="F26" s="1030"/>
      <c r="G26" s="540"/>
      <c r="H26" s="42"/>
      <c r="I26" s="1046"/>
      <c r="J26" s="42"/>
      <c r="K26" s="1045"/>
      <c r="L26" s="4"/>
      <c r="M26" s="104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row>
    <row r="27" spans="1:81" ht="15.75" customHeight="1" x14ac:dyDescent="0.25">
      <c r="A27" s="4"/>
      <c r="B27" s="1"/>
      <c r="C27" s="1030"/>
      <c r="D27" s="1030"/>
      <c r="E27" s="1030"/>
      <c r="F27" s="1030"/>
      <c r="G27" s="540"/>
      <c r="H27" s="42"/>
      <c r="I27" s="1046"/>
      <c r="J27" s="42"/>
      <c r="K27" s="1045"/>
      <c r="L27" s="4"/>
      <c r="M27" s="1045"/>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row>
    <row r="28" spans="1:81" ht="15.75" customHeight="1" x14ac:dyDescent="0.25">
      <c r="A28" s="4"/>
      <c r="B28" s="1588"/>
      <c r="C28" s="1492"/>
      <c r="D28" s="1492"/>
      <c r="E28" s="1492"/>
      <c r="F28" s="1492"/>
      <c r="G28" s="1612"/>
      <c r="H28" s="1133"/>
      <c r="I28" s="1613"/>
      <c r="J28" s="1133"/>
      <c r="K28" s="1614"/>
      <c r="L28" s="39"/>
      <c r="M28" s="1614"/>
      <c r="N28" s="39"/>
      <c r="O28" s="39"/>
      <c r="P28" s="39"/>
      <c r="Q28" s="39"/>
      <c r="R28" s="39"/>
      <c r="S28" s="39"/>
      <c r="T28" s="39"/>
      <c r="U28" s="39"/>
      <c r="V28" s="39"/>
      <c r="W28" s="39"/>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row>
    <row r="29" spans="1:81" ht="15.75" customHeight="1" x14ac:dyDescent="0.25">
      <c r="A29" s="4"/>
      <c r="B29" s="1593" t="s">
        <v>1474</v>
      </c>
      <c r="C29" s="1615"/>
      <c r="D29" s="1615"/>
      <c r="E29" s="1615"/>
      <c r="F29" s="1615"/>
      <c r="G29" s="1616"/>
      <c r="H29" s="1617"/>
      <c r="I29" s="1618"/>
      <c r="J29" s="1617"/>
      <c r="K29" s="1619"/>
      <c r="L29" s="1594"/>
      <c r="M29" s="1619"/>
      <c r="N29" s="1594"/>
      <c r="O29" s="1594"/>
      <c r="P29" s="1594"/>
      <c r="Q29" s="1594"/>
      <c r="R29" s="1594"/>
      <c r="S29" s="1594"/>
      <c r="T29" s="1594"/>
      <c r="U29" s="1594"/>
      <c r="V29" s="1594"/>
      <c r="W29" s="1595"/>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row>
    <row r="30" spans="1:81" ht="75" customHeight="1" x14ac:dyDescent="0.25">
      <c r="A30" s="4"/>
      <c r="B30" s="1364"/>
      <c r="C30" s="1620" t="s">
        <v>1475</v>
      </c>
      <c r="D30" s="1621"/>
      <c r="E30" s="1620" t="s">
        <v>1476</v>
      </c>
      <c r="F30" s="1620"/>
      <c r="G30" s="1622" t="s">
        <v>1477</v>
      </c>
      <c r="H30" s="1622"/>
      <c r="I30" s="1620" t="s">
        <v>1478</v>
      </c>
      <c r="J30" s="1607"/>
      <c r="K30" s="1620" t="s">
        <v>1479</v>
      </c>
      <c r="L30" s="1620"/>
      <c r="M30" s="1620" t="s">
        <v>1480</v>
      </c>
      <c r="N30" s="1620"/>
      <c r="O30" s="1620" t="s">
        <v>1481</v>
      </c>
      <c r="P30" s="1620"/>
      <c r="Q30" s="1620" t="s">
        <v>1482</v>
      </c>
      <c r="R30" s="1620"/>
      <c r="S30" s="1620" t="s">
        <v>1483</v>
      </c>
      <c r="T30" s="1620"/>
      <c r="U30" s="1620" t="s">
        <v>1484</v>
      </c>
      <c r="V30" s="1620"/>
      <c r="W30" s="1623" t="s">
        <v>1485</v>
      </c>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row>
    <row r="31" spans="1:81" ht="15.75" customHeight="1" x14ac:dyDescent="0.25">
      <c r="A31" s="4"/>
      <c r="B31" s="1624" t="s">
        <v>1456</v>
      </c>
      <c r="C31" s="1625"/>
      <c r="D31" s="1626"/>
      <c r="E31" s="1627"/>
      <c r="F31" s="1626"/>
      <c r="G31" s="1626"/>
      <c r="H31" s="1626"/>
      <c r="I31" s="1625"/>
      <c r="J31" s="1625"/>
      <c r="K31" s="1625"/>
      <c r="L31" s="1625"/>
      <c r="M31" s="1628"/>
      <c r="N31" s="1625"/>
      <c r="O31" s="1629"/>
      <c r="P31" s="1630"/>
      <c r="Q31" s="1628"/>
      <c r="R31" s="1625"/>
      <c r="S31" s="1625"/>
      <c r="T31" s="1625"/>
      <c r="U31" s="1625"/>
      <c r="V31" s="1625"/>
      <c r="W31" s="1631"/>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row>
    <row r="32" spans="1:81" ht="15.75" customHeight="1" x14ac:dyDescent="0.25">
      <c r="A32" s="4"/>
      <c r="B32" s="781" t="s">
        <v>1457</v>
      </c>
      <c r="C32" s="1600">
        <v>53</v>
      </c>
      <c r="D32" s="106" t="s">
        <v>835</v>
      </c>
      <c r="E32" s="1393">
        <v>680</v>
      </c>
      <c r="F32" s="106" t="s">
        <v>835</v>
      </c>
      <c r="G32" s="1518">
        <v>9.9951580009000001</v>
      </c>
      <c r="H32" s="106" t="s">
        <v>836</v>
      </c>
      <c r="I32" s="1520">
        <f t="shared" ref="I32:I33" si="10">C32*E32*G32*365</f>
        <v>131482305.43863913</v>
      </c>
      <c r="J32" s="106" t="s">
        <v>835</v>
      </c>
      <c r="K32" s="1113">
        <v>0.24</v>
      </c>
      <c r="L32" s="1632" t="s">
        <v>835</v>
      </c>
      <c r="M32" s="1633">
        <v>0.11818290022824871</v>
      </c>
      <c r="N32" s="1632" t="s">
        <v>836</v>
      </c>
      <c r="O32" s="1520">
        <f t="shared" ref="O32:O33" si="11">(I32*K32)*M32</f>
        <v>3729350.4445043546</v>
      </c>
      <c r="P32" s="106" t="s">
        <v>836</v>
      </c>
      <c r="Q32" s="1520">
        <f t="shared" ref="Q32:Q33" si="12">O32*0.000662</f>
        <v>2468.8299942618828</v>
      </c>
      <c r="R32" s="106" t="s">
        <v>836</v>
      </c>
      <c r="S32" s="1634">
        <f t="shared" ref="S32:S33" si="13">Q32/1000000</f>
        <v>2.468829994261883E-3</v>
      </c>
      <c r="T32" s="106" t="s">
        <v>836</v>
      </c>
      <c r="U32" s="1634">
        <f>(S32*$AG$7)*12/44</f>
        <v>1.8852883592545288E-2</v>
      </c>
      <c r="V32" s="106" t="s">
        <v>836</v>
      </c>
      <c r="W32" s="1635">
        <f t="shared" ref="W32:W33" si="14">U32/(12/44)</f>
        <v>6.9127239839332721E-2</v>
      </c>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row>
    <row r="33" spans="1:81" ht="15.75" customHeight="1" x14ac:dyDescent="0.25">
      <c r="A33" s="4"/>
      <c r="B33" s="781" t="s">
        <v>1458</v>
      </c>
      <c r="C33" s="1600">
        <v>28</v>
      </c>
      <c r="D33" s="106" t="s">
        <v>835</v>
      </c>
      <c r="E33" s="1393">
        <v>476</v>
      </c>
      <c r="F33" s="106" t="s">
        <v>835</v>
      </c>
      <c r="G33" s="1518">
        <v>8.4220347966000002</v>
      </c>
      <c r="H33" s="106" t="s">
        <v>836</v>
      </c>
      <c r="I33" s="1520">
        <f t="shared" si="10"/>
        <v>40970841.115715951</v>
      </c>
      <c r="J33" s="106" t="s">
        <v>835</v>
      </c>
      <c r="K33" s="1113">
        <v>0.17</v>
      </c>
      <c r="L33" s="1632" t="s">
        <v>835</v>
      </c>
      <c r="M33" s="1633">
        <v>1.2467660091668786E-2</v>
      </c>
      <c r="N33" s="1632" t="s">
        <v>836</v>
      </c>
      <c r="O33" s="1520">
        <f t="shared" si="11"/>
        <v>86837.788519087451</v>
      </c>
      <c r="P33" s="106" t="s">
        <v>836</v>
      </c>
      <c r="Q33" s="1520">
        <f t="shared" si="12"/>
        <v>57.486615999635895</v>
      </c>
      <c r="R33" s="106" t="s">
        <v>836</v>
      </c>
      <c r="S33" s="1634">
        <f t="shared" si="13"/>
        <v>5.7486615999635894E-5</v>
      </c>
      <c r="T33" s="106" t="s">
        <v>836</v>
      </c>
      <c r="U33" s="1634">
        <f t="shared" ref="U33:U60" si="15">(S33*$AG$7)*12/44</f>
        <v>4.3898870399721959E-4</v>
      </c>
      <c r="V33" s="106" t="s">
        <v>836</v>
      </c>
      <c r="W33" s="1635">
        <f t="shared" si="14"/>
        <v>1.6096252479898053E-3</v>
      </c>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row>
    <row r="34" spans="1:81" ht="15.75" customHeight="1" x14ac:dyDescent="0.25">
      <c r="A34" s="4"/>
      <c r="B34" s="164" t="s">
        <v>1461</v>
      </c>
      <c r="C34" s="1636"/>
      <c r="D34" s="106"/>
      <c r="E34" s="1393"/>
      <c r="F34" s="106"/>
      <c r="G34" s="1518"/>
      <c r="H34" s="106"/>
      <c r="I34" s="1520"/>
      <c r="J34" s="106"/>
      <c r="K34" s="1113"/>
      <c r="L34" s="106"/>
      <c r="M34" s="106"/>
      <c r="N34" s="106"/>
      <c r="O34" s="1520"/>
      <c r="P34" s="106"/>
      <c r="Q34" s="1520"/>
      <c r="R34" s="106"/>
      <c r="S34" s="1634"/>
      <c r="T34" s="106"/>
      <c r="U34" s="1634"/>
      <c r="V34" s="106"/>
      <c r="W34" s="1635"/>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row>
    <row r="35" spans="1:81" ht="15.75" customHeight="1" x14ac:dyDescent="0.25">
      <c r="A35" s="4"/>
      <c r="B35" s="781" t="s">
        <v>1466</v>
      </c>
      <c r="C35" s="1602">
        <v>3.9119999999999999</v>
      </c>
      <c r="D35" s="106" t="s">
        <v>835</v>
      </c>
      <c r="E35" s="1393">
        <v>420</v>
      </c>
      <c r="F35" s="106" t="s">
        <v>835</v>
      </c>
      <c r="G35" s="1518">
        <v>4.3514669688999996</v>
      </c>
      <c r="H35" s="106" t="s">
        <v>836</v>
      </c>
      <c r="I35" s="1520">
        <f t="shared" ref="I35:I42" si="16">C35*E35*G35*365</f>
        <v>2609616.5153322313</v>
      </c>
      <c r="J35" s="106" t="s">
        <v>835</v>
      </c>
      <c r="K35" s="1113">
        <v>0.33</v>
      </c>
      <c r="L35" s="106" t="s">
        <v>835</v>
      </c>
      <c r="M35" s="1633">
        <v>1.3123459123854105E-2</v>
      </c>
      <c r="N35" s="106" t="s">
        <v>836</v>
      </c>
      <c r="O35" s="1520">
        <f t="shared" ref="O35:O42" si="17">(I35*K35)*M35</f>
        <v>11301.574570406052</v>
      </c>
      <c r="P35" s="106" t="s">
        <v>836</v>
      </c>
      <c r="Q35" s="1520">
        <f t="shared" ref="Q35:Q42" si="18">O35*0.000662</f>
        <v>7.4816423656088071</v>
      </c>
      <c r="R35" s="1637" t="s">
        <v>836</v>
      </c>
      <c r="S35" s="1634">
        <f t="shared" ref="S35:S42" si="19">Q35/1000000</f>
        <v>7.4816423656088074E-6</v>
      </c>
      <c r="T35" s="1637" t="s">
        <v>836</v>
      </c>
      <c r="U35" s="1634">
        <f t="shared" si="15"/>
        <v>5.7132541701012708E-5</v>
      </c>
      <c r="V35" s="1637" t="s">
        <v>836</v>
      </c>
      <c r="W35" s="1635">
        <f t="shared" ref="W35:W42" si="20">U35/(12/44)</f>
        <v>2.0948598623704662E-4</v>
      </c>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row>
    <row r="36" spans="1:81" ht="15.75" customHeight="1" x14ac:dyDescent="0.25">
      <c r="A36" s="4"/>
      <c r="B36" s="781" t="s">
        <v>1467</v>
      </c>
      <c r="C36" s="1602">
        <v>7.3949999999999996</v>
      </c>
      <c r="D36" s="106" t="s">
        <v>835</v>
      </c>
      <c r="E36" s="1393">
        <v>420</v>
      </c>
      <c r="F36" s="106" t="s">
        <v>835</v>
      </c>
      <c r="G36" s="1518">
        <v>3.9703541463000001</v>
      </c>
      <c r="H36" s="106" t="s">
        <v>836</v>
      </c>
      <c r="I36" s="1520">
        <f t="shared" si="16"/>
        <v>4501005.8741925061</v>
      </c>
      <c r="J36" s="106" t="s">
        <v>835</v>
      </c>
      <c r="K36" s="1113">
        <v>0.33</v>
      </c>
      <c r="L36" s="106" t="s">
        <v>835</v>
      </c>
      <c r="M36" s="1633">
        <v>1.2974017738876182E-2</v>
      </c>
      <c r="N36" s="106" t="s">
        <v>836</v>
      </c>
      <c r="O36" s="1520">
        <f t="shared" si="17"/>
        <v>19270.722918004627</v>
      </c>
      <c r="P36" s="106" t="s">
        <v>836</v>
      </c>
      <c r="Q36" s="1520">
        <f t="shared" si="18"/>
        <v>12.757218571719063</v>
      </c>
      <c r="R36" s="1637" t="s">
        <v>836</v>
      </c>
      <c r="S36" s="1634">
        <f t="shared" si="19"/>
        <v>1.2757218571719063E-5</v>
      </c>
      <c r="T36" s="1637" t="s">
        <v>836</v>
      </c>
      <c r="U36" s="1634">
        <f t="shared" si="15"/>
        <v>9.7418760002218312E-5</v>
      </c>
      <c r="V36" s="1637" t="s">
        <v>836</v>
      </c>
      <c r="W36" s="1635">
        <f t="shared" si="20"/>
        <v>3.5720212000813384E-4</v>
      </c>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row>
    <row r="37" spans="1:81" ht="15.75" customHeight="1" x14ac:dyDescent="0.25">
      <c r="A37" s="4"/>
      <c r="B37" s="781" t="s">
        <v>1468</v>
      </c>
      <c r="C37" s="1600">
        <v>4</v>
      </c>
      <c r="D37" s="106" t="s">
        <v>835</v>
      </c>
      <c r="E37" s="1393">
        <v>750</v>
      </c>
      <c r="F37" s="106" t="s">
        <v>835</v>
      </c>
      <c r="G37" s="1518">
        <v>5.1662194931999998</v>
      </c>
      <c r="H37" s="106" t="s">
        <v>836</v>
      </c>
      <c r="I37" s="1520">
        <f t="shared" si="16"/>
        <v>5657010.3450539997</v>
      </c>
      <c r="J37" s="106" t="s">
        <v>835</v>
      </c>
      <c r="K37" s="1113">
        <v>0.17</v>
      </c>
      <c r="L37" s="106" t="s">
        <v>835</v>
      </c>
      <c r="M37" s="1633">
        <v>1.0999999999999999E-2</v>
      </c>
      <c r="N37" s="106" t="s">
        <v>836</v>
      </c>
      <c r="O37" s="1520">
        <f t="shared" si="17"/>
        <v>10578.609345250979</v>
      </c>
      <c r="P37" s="106" t="s">
        <v>836</v>
      </c>
      <c r="Q37" s="1520">
        <f t="shared" si="18"/>
        <v>7.0030393865561491</v>
      </c>
      <c r="R37" s="1637" t="s">
        <v>836</v>
      </c>
      <c r="S37" s="1634">
        <f t="shared" si="19"/>
        <v>7.0030393865561492E-6</v>
      </c>
      <c r="T37" s="1637" t="s">
        <v>836</v>
      </c>
      <c r="U37" s="1634">
        <f t="shared" si="15"/>
        <v>5.347775531551968E-5</v>
      </c>
      <c r="V37" s="1637" t="s">
        <v>836</v>
      </c>
      <c r="W37" s="1635">
        <f t="shared" si="20"/>
        <v>1.9608510282357217E-4</v>
      </c>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row>
    <row r="38" spans="1:81" ht="15.75" customHeight="1" x14ac:dyDescent="0.25">
      <c r="A38" s="4"/>
      <c r="B38" s="781" t="s">
        <v>1486</v>
      </c>
      <c r="C38" s="1600">
        <v>36.1</v>
      </c>
      <c r="D38" s="106" t="s">
        <v>835</v>
      </c>
      <c r="E38" s="1393">
        <v>118</v>
      </c>
      <c r="F38" s="106" t="s">
        <v>835</v>
      </c>
      <c r="G38" s="1518">
        <v>6.41</v>
      </c>
      <c r="H38" s="106" t="s">
        <v>836</v>
      </c>
      <c r="I38" s="1520">
        <f t="shared" si="16"/>
        <v>9966441.0700000003</v>
      </c>
      <c r="J38" s="106" t="s">
        <v>835</v>
      </c>
      <c r="K38" s="1113">
        <v>0.17</v>
      </c>
      <c r="L38" s="106" t="s">
        <v>835</v>
      </c>
      <c r="M38" s="1633">
        <v>1.0999999999999999E-2</v>
      </c>
      <c r="N38" s="106" t="s">
        <v>836</v>
      </c>
      <c r="O38" s="1520">
        <f t="shared" si="17"/>
        <v>18637.2448009</v>
      </c>
      <c r="P38" s="106" t="s">
        <v>836</v>
      </c>
      <c r="Q38" s="1520">
        <f t="shared" si="18"/>
        <v>12.337856058195801</v>
      </c>
      <c r="R38" s="1637" t="s">
        <v>836</v>
      </c>
      <c r="S38" s="1634">
        <f t="shared" si="19"/>
        <v>1.2337856058195801E-5</v>
      </c>
      <c r="T38" s="1637" t="s">
        <v>836</v>
      </c>
      <c r="U38" s="1634">
        <f t="shared" si="15"/>
        <v>9.4216355353495199E-5</v>
      </c>
      <c r="V38" s="1637" t="s">
        <v>836</v>
      </c>
      <c r="W38" s="1635">
        <f t="shared" si="20"/>
        <v>3.4545996962948245E-4</v>
      </c>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row>
    <row r="39" spans="1:81" ht="15.75" customHeight="1" x14ac:dyDescent="0.25">
      <c r="A39" s="4"/>
      <c r="B39" s="781" t="s">
        <v>1462</v>
      </c>
      <c r="C39" s="1600">
        <v>42</v>
      </c>
      <c r="D39" s="106" t="s">
        <v>835</v>
      </c>
      <c r="E39" s="1393">
        <v>533</v>
      </c>
      <c r="F39" s="106" t="s">
        <v>835</v>
      </c>
      <c r="G39" s="1518">
        <v>7.4944796348701379</v>
      </c>
      <c r="H39" s="106" t="s">
        <v>836</v>
      </c>
      <c r="I39" s="1520">
        <f t="shared" si="16"/>
        <v>61236568.703764059</v>
      </c>
      <c r="J39" s="106" t="s">
        <v>835</v>
      </c>
      <c r="K39" s="1113">
        <v>0.17</v>
      </c>
      <c r="L39" s="106" t="s">
        <v>835</v>
      </c>
      <c r="M39" s="1633">
        <v>1.0999999999999999E-2</v>
      </c>
      <c r="N39" s="106" t="s">
        <v>836</v>
      </c>
      <c r="O39" s="1520">
        <f t="shared" si="17"/>
        <v>114512.3834760388</v>
      </c>
      <c r="P39" s="106" t="s">
        <v>836</v>
      </c>
      <c r="Q39" s="1520">
        <f t="shared" si="18"/>
        <v>75.807197861137695</v>
      </c>
      <c r="R39" s="1637" t="s">
        <v>836</v>
      </c>
      <c r="S39" s="1634">
        <f t="shared" si="19"/>
        <v>7.5807197861137699E-5</v>
      </c>
      <c r="T39" s="1637" t="s">
        <v>836</v>
      </c>
      <c r="U39" s="1634">
        <f t="shared" si="15"/>
        <v>5.7889132912141512E-4</v>
      </c>
      <c r="V39" s="1637" t="s">
        <v>836</v>
      </c>
      <c r="W39" s="1635">
        <f t="shared" si="20"/>
        <v>2.1226015401118554E-3</v>
      </c>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row>
    <row r="40" spans="1:81" ht="15.75" customHeight="1" x14ac:dyDescent="0.25">
      <c r="A40" s="4"/>
      <c r="B40" s="781" t="s">
        <v>1463</v>
      </c>
      <c r="C40" s="1600">
        <v>10</v>
      </c>
      <c r="D40" s="106" t="s">
        <v>835</v>
      </c>
      <c r="E40" s="1393">
        <v>420</v>
      </c>
      <c r="F40" s="106" t="s">
        <v>835</v>
      </c>
      <c r="G40" s="1518">
        <v>7.5819828136999998</v>
      </c>
      <c r="H40" s="106" t="s">
        <v>836</v>
      </c>
      <c r="I40" s="1520">
        <f t="shared" si="16"/>
        <v>11623179.653402101</v>
      </c>
      <c r="J40" s="106" t="s">
        <v>835</v>
      </c>
      <c r="K40" s="1113">
        <v>0.17</v>
      </c>
      <c r="L40" s="106" t="s">
        <v>835</v>
      </c>
      <c r="M40" s="1633">
        <v>1.0999999999999999E-2</v>
      </c>
      <c r="N40" s="106" t="s">
        <v>836</v>
      </c>
      <c r="O40" s="1520">
        <f t="shared" si="17"/>
        <v>21735.345951861927</v>
      </c>
      <c r="P40" s="106" t="s">
        <v>836</v>
      </c>
      <c r="Q40" s="1520">
        <f t="shared" si="18"/>
        <v>14.388799020132597</v>
      </c>
      <c r="R40" s="1637" t="s">
        <v>836</v>
      </c>
      <c r="S40" s="1634">
        <f t="shared" si="19"/>
        <v>1.4388799020132597E-5</v>
      </c>
      <c r="T40" s="1637" t="s">
        <v>836</v>
      </c>
      <c r="U40" s="1634">
        <f t="shared" si="15"/>
        <v>1.0987810160828527E-4</v>
      </c>
      <c r="V40" s="1637" t="s">
        <v>836</v>
      </c>
      <c r="W40" s="1635">
        <f t="shared" si="20"/>
        <v>4.0288637256371266E-4</v>
      </c>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row>
    <row r="41" spans="1:81" ht="15.75" customHeight="1" x14ac:dyDescent="0.25">
      <c r="A41" s="4"/>
      <c r="B41" s="781" t="s">
        <v>1465</v>
      </c>
      <c r="C41" s="1600">
        <v>15</v>
      </c>
      <c r="D41" s="106" t="s">
        <v>835</v>
      </c>
      <c r="E41" s="1393">
        <v>318</v>
      </c>
      <c r="F41" s="106" t="s">
        <v>835</v>
      </c>
      <c r="G41" s="1518">
        <v>8.1348401876</v>
      </c>
      <c r="H41" s="106" t="s">
        <v>836</v>
      </c>
      <c r="I41" s="1520">
        <f t="shared" si="16"/>
        <v>14163163.508620979</v>
      </c>
      <c r="J41" s="106" t="s">
        <v>835</v>
      </c>
      <c r="K41" s="1113">
        <v>0.17</v>
      </c>
      <c r="L41" s="106" t="s">
        <v>835</v>
      </c>
      <c r="M41" s="1633">
        <v>1.0999999999999999E-2</v>
      </c>
      <c r="N41" s="106" t="s">
        <v>836</v>
      </c>
      <c r="O41" s="1520">
        <f t="shared" si="17"/>
        <v>26485.115761121233</v>
      </c>
      <c r="P41" s="1637" t="s">
        <v>836</v>
      </c>
      <c r="Q41" s="1520">
        <f t="shared" si="18"/>
        <v>17.533146633862259</v>
      </c>
      <c r="R41" s="1637" t="s">
        <v>836</v>
      </c>
      <c r="S41" s="1634">
        <f t="shared" si="19"/>
        <v>1.7533146633862258E-5</v>
      </c>
      <c r="T41" s="1637" t="s">
        <v>836</v>
      </c>
      <c r="U41" s="1634">
        <f t="shared" si="15"/>
        <v>1.3388948338585727E-4</v>
      </c>
      <c r="V41" s="1637" t="s">
        <v>836</v>
      </c>
      <c r="W41" s="1635">
        <f t="shared" si="20"/>
        <v>4.9092810574814338E-4</v>
      </c>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row>
    <row r="42" spans="1:81" ht="15.75" customHeight="1" x14ac:dyDescent="0.25">
      <c r="A42" s="4"/>
      <c r="B42" s="781" t="s">
        <v>1464</v>
      </c>
      <c r="C42" s="1600">
        <v>7</v>
      </c>
      <c r="D42" s="106" t="s">
        <v>835</v>
      </c>
      <c r="E42" s="1393">
        <v>420</v>
      </c>
      <c r="F42" s="106" t="s">
        <v>835</v>
      </c>
      <c r="G42" s="1518">
        <v>8.5573471290000001</v>
      </c>
      <c r="H42" s="106" t="s">
        <v>836</v>
      </c>
      <c r="I42" s="1520">
        <f t="shared" si="16"/>
        <v>9182889.2041299008</v>
      </c>
      <c r="J42" s="106" t="s">
        <v>835</v>
      </c>
      <c r="K42" s="1113">
        <v>0.17</v>
      </c>
      <c r="L42" s="106" t="s">
        <v>835</v>
      </c>
      <c r="M42" s="1633">
        <v>1.0999999999999999E-2</v>
      </c>
      <c r="N42" s="106" t="s">
        <v>836</v>
      </c>
      <c r="O42" s="1520">
        <f t="shared" si="17"/>
        <v>17172.002811722916</v>
      </c>
      <c r="P42" s="106" t="s">
        <v>836</v>
      </c>
      <c r="Q42" s="1520">
        <f t="shared" si="18"/>
        <v>11.367865861360571</v>
      </c>
      <c r="R42" s="1637" t="s">
        <v>836</v>
      </c>
      <c r="S42" s="1634">
        <f t="shared" si="19"/>
        <v>1.136786586136057E-5</v>
      </c>
      <c r="T42" s="1637" t="s">
        <v>836</v>
      </c>
      <c r="U42" s="1634">
        <f t="shared" si="15"/>
        <v>8.6809157486753444E-5</v>
      </c>
      <c r="V42" s="1637" t="s">
        <v>836</v>
      </c>
      <c r="W42" s="1635">
        <f t="shared" si="20"/>
        <v>3.18300244118096E-4</v>
      </c>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row>
    <row r="43" spans="1:81" ht="15.75" customHeight="1" x14ac:dyDescent="0.25">
      <c r="A43" s="4"/>
      <c r="B43" s="164" t="s">
        <v>1471</v>
      </c>
      <c r="C43" s="1636"/>
      <c r="D43" s="106"/>
      <c r="E43" s="1393"/>
      <c r="F43" s="106"/>
      <c r="G43" s="1518"/>
      <c r="H43" s="106"/>
      <c r="I43" s="1520"/>
      <c r="J43" s="106"/>
      <c r="K43" s="1113"/>
      <c r="L43" s="106"/>
      <c r="M43" s="106"/>
      <c r="N43" s="106"/>
      <c r="O43" s="1520"/>
      <c r="P43" s="106"/>
      <c r="Q43" s="1520"/>
      <c r="R43" s="1637"/>
      <c r="S43" s="1634"/>
      <c r="T43" s="1637"/>
      <c r="U43" s="1634"/>
      <c r="V43" s="1637"/>
      <c r="W43" s="1635"/>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row>
    <row r="44" spans="1:81" ht="15.75" customHeight="1" x14ac:dyDescent="0.25">
      <c r="A44" s="4"/>
      <c r="B44" s="781" t="s">
        <v>1487</v>
      </c>
      <c r="C44" s="1600">
        <v>2</v>
      </c>
      <c r="D44" s="106" t="s">
        <v>835</v>
      </c>
      <c r="E44" s="1393">
        <v>198</v>
      </c>
      <c r="F44" s="106" t="s">
        <v>835</v>
      </c>
      <c r="G44" s="1518">
        <v>2.6</v>
      </c>
      <c r="H44" s="106" t="s">
        <v>836</v>
      </c>
      <c r="I44" s="1520">
        <f t="shared" ref="I44:I48" si="21">C44*E44*G44*365</f>
        <v>375804.00000000006</v>
      </c>
      <c r="J44" s="106" t="s">
        <v>835</v>
      </c>
      <c r="K44" s="1113">
        <v>0.48</v>
      </c>
      <c r="L44" s="106" t="s">
        <v>835</v>
      </c>
      <c r="M44" s="1633">
        <v>0.30060131865467832</v>
      </c>
      <c r="N44" s="106" t="s">
        <v>836</v>
      </c>
      <c r="O44" s="1520">
        <f t="shared" ref="O44:O48" si="22">(I44*K44)*M44</f>
        <v>54224.245418737315</v>
      </c>
      <c r="P44" s="106" t="s">
        <v>836</v>
      </c>
      <c r="Q44" s="1520">
        <f t="shared" ref="Q44:Q48" si="23">O44*0.000662</f>
        <v>35.896450467204104</v>
      </c>
      <c r="R44" s="106" t="s">
        <v>836</v>
      </c>
      <c r="S44" s="1634">
        <f t="shared" ref="S44:S48" si="24">Q44/1000000</f>
        <v>3.5896450467204103E-5</v>
      </c>
      <c r="T44" s="106" t="s">
        <v>836</v>
      </c>
      <c r="U44" s="1634">
        <f t="shared" si="15"/>
        <v>2.7411834902228585E-4</v>
      </c>
      <c r="V44" s="106" t="s">
        <v>836</v>
      </c>
      <c r="W44" s="1635">
        <f t="shared" ref="W44:W48" si="25">U44/(12/44)</f>
        <v>1.0051006130817148E-3</v>
      </c>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row>
    <row r="45" spans="1:81" ht="15.75" customHeight="1" x14ac:dyDescent="0.25">
      <c r="A45" s="4"/>
      <c r="B45" s="781" t="s">
        <v>1488</v>
      </c>
      <c r="C45" s="1600">
        <v>9</v>
      </c>
      <c r="D45" s="106" t="s">
        <v>835</v>
      </c>
      <c r="E45" s="1393">
        <v>15.88</v>
      </c>
      <c r="F45" s="106" t="s">
        <v>835</v>
      </c>
      <c r="G45" s="1518">
        <v>8.8000000000000007</v>
      </c>
      <c r="H45" s="106" t="s">
        <v>836</v>
      </c>
      <c r="I45" s="1520">
        <f t="shared" si="21"/>
        <v>459059.04000000004</v>
      </c>
      <c r="J45" s="106" t="s">
        <v>835</v>
      </c>
      <c r="K45" s="1113">
        <v>0.48</v>
      </c>
      <c r="L45" s="106" t="s">
        <v>835</v>
      </c>
      <c r="M45" s="1633">
        <v>0.30016800271641908</v>
      </c>
      <c r="N45" s="106" t="s">
        <v>836</v>
      </c>
      <c r="O45" s="1520">
        <f t="shared" si="22"/>
        <v>66141.520879544041</v>
      </c>
      <c r="P45" s="106" t="s">
        <v>836</v>
      </c>
      <c r="Q45" s="1520">
        <f t="shared" si="23"/>
        <v>43.785686822258157</v>
      </c>
      <c r="R45" s="106" t="s">
        <v>836</v>
      </c>
      <c r="S45" s="1634">
        <f t="shared" si="24"/>
        <v>4.378568682225816E-5</v>
      </c>
      <c r="T45" s="106" t="s">
        <v>836</v>
      </c>
      <c r="U45" s="1634">
        <f t="shared" si="15"/>
        <v>3.3436342664269867E-4</v>
      </c>
      <c r="V45" s="106" t="s">
        <v>836</v>
      </c>
      <c r="W45" s="1635">
        <f t="shared" si="25"/>
        <v>1.2259992310232285E-3</v>
      </c>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row>
    <row r="46" spans="1:81" ht="15.75" customHeight="1" x14ac:dyDescent="0.25">
      <c r="A46" s="4"/>
      <c r="B46" s="781" t="s">
        <v>1489</v>
      </c>
      <c r="C46" s="1602">
        <v>7</v>
      </c>
      <c r="D46" s="106" t="s">
        <v>835</v>
      </c>
      <c r="E46" s="1393">
        <v>40.6</v>
      </c>
      <c r="F46" s="106" t="s">
        <v>835</v>
      </c>
      <c r="G46" s="1518">
        <v>5.4</v>
      </c>
      <c r="H46" s="106" t="s">
        <v>836</v>
      </c>
      <c r="I46" s="1520">
        <f t="shared" si="21"/>
        <v>560158.20000000007</v>
      </c>
      <c r="J46" s="106" t="s">
        <v>835</v>
      </c>
      <c r="K46" s="1113">
        <v>0.48</v>
      </c>
      <c r="L46" s="106" t="s">
        <v>835</v>
      </c>
      <c r="M46" s="1633">
        <v>0.30016800271641908</v>
      </c>
      <c r="N46" s="106" t="s">
        <v>836</v>
      </c>
      <c r="O46" s="1520">
        <f t="shared" si="22"/>
        <v>80707.952687627738</v>
      </c>
      <c r="P46" s="106" t="s">
        <v>836</v>
      </c>
      <c r="Q46" s="1520">
        <f t="shared" si="23"/>
        <v>53.428664679209568</v>
      </c>
      <c r="R46" s="106" t="s">
        <v>836</v>
      </c>
      <c r="S46" s="1634">
        <f t="shared" si="24"/>
        <v>5.3428664679209571E-5</v>
      </c>
      <c r="T46" s="106" t="s">
        <v>836</v>
      </c>
      <c r="U46" s="1634">
        <f t="shared" si="15"/>
        <v>4.0800071209578219E-4</v>
      </c>
      <c r="V46" s="106" t="s">
        <v>836</v>
      </c>
      <c r="W46" s="1635">
        <f t="shared" si="25"/>
        <v>1.4960026110178682E-3</v>
      </c>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row>
    <row r="47" spans="1:81" ht="15.75" customHeight="1" x14ac:dyDescent="0.25">
      <c r="A47" s="4"/>
      <c r="B47" s="781" t="s">
        <v>1490</v>
      </c>
      <c r="C47" s="1600">
        <v>4</v>
      </c>
      <c r="D47" s="106" t="s">
        <v>835</v>
      </c>
      <c r="E47" s="1393">
        <v>67.819999999999993</v>
      </c>
      <c r="F47" s="106" t="s">
        <v>835</v>
      </c>
      <c r="G47" s="1518">
        <v>5.4</v>
      </c>
      <c r="H47" s="106" t="s">
        <v>836</v>
      </c>
      <c r="I47" s="1520">
        <f t="shared" si="21"/>
        <v>534692.88</v>
      </c>
      <c r="J47" s="106" t="s">
        <v>835</v>
      </c>
      <c r="K47" s="1113">
        <v>0.48</v>
      </c>
      <c r="L47" s="106" t="s">
        <v>835</v>
      </c>
      <c r="M47" s="1633">
        <v>0.30016800271641908</v>
      </c>
      <c r="N47" s="106" t="s">
        <v>836</v>
      </c>
      <c r="O47" s="1520">
        <f t="shared" si="22"/>
        <v>77038.893051019171</v>
      </c>
      <c r="P47" s="106" t="s">
        <v>836</v>
      </c>
      <c r="Q47" s="1520">
        <f t="shared" si="23"/>
        <v>50.999747199774696</v>
      </c>
      <c r="R47" s="106" t="s">
        <v>836</v>
      </c>
      <c r="S47" s="1634">
        <f t="shared" si="24"/>
        <v>5.0999747199774693E-5</v>
      </c>
      <c r="T47" s="106" t="s">
        <v>836</v>
      </c>
      <c r="U47" s="1634">
        <f t="shared" si="15"/>
        <v>3.8945261498009765E-4</v>
      </c>
      <c r="V47" s="106" t="s">
        <v>836</v>
      </c>
      <c r="W47" s="1635">
        <f t="shared" si="25"/>
        <v>1.4279929215936914E-3</v>
      </c>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row>
    <row r="48" spans="1:81" ht="15.75" customHeight="1" x14ac:dyDescent="0.25">
      <c r="A48" s="4"/>
      <c r="B48" s="781" t="s">
        <v>1491</v>
      </c>
      <c r="C48" s="1600">
        <v>4</v>
      </c>
      <c r="D48" s="106" t="s">
        <v>835</v>
      </c>
      <c r="E48" s="1393">
        <v>90.75</v>
      </c>
      <c r="F48" s="106" t="s">
        <v>835</v>
      </c>
      <c r="G48" s="1518">
        <v>5.4</v>
      </c>
      <c r="H48" s="106" t="s">
        <v>836</v>
      </c>
      <c r="I48" s="1520">
        <f t="shared" si="21"/>
        <v>715473</v>
      </c>
      <c r="J48" s="106" t="s">
        <v>835</v>
      </c>
      <c r="K48" s="1113">
        <v>0.48</v>
      </c>
      <c r="L48" s="106" t="s">
        <v>835</v>
      </c>
      <c r="M48" s="1633">
        <v>0.30016800271641908</v>
      </c>
      <c r="N48" s="106" t="s">
        <v>836</v>
      </c>
      <c r="O48" s="1520">
        <f t="shared" si="22"/>
        <v>103085.80867561176</v>
      </c>
      <c r="P48" s="106" t="s">
        <v>836</v>
      </c>
      <c r="Q48" s="1520">
        <f t="shared" si="23"/>
        <v>68.242805343254986</v>
      </c>
      <c r="R48" s="106" t="s">
        <v>836</v>
      </c>
      <c r="S48" s="1634">
        <f t="shared" si="24"/>
        <v>6.8242805343254989E-5</v>
      </c>
      <c r="T48" s="106" t="s">
        <v>836</v>
      </c>
      <c r="U48" s="1634">
        <f t="shared" si="15"/>
        <v>5.2112687716667448E-4</v>
      </c>
      <c r="V48" s="106" t="s">
        <v>836</v>
      </c>
      <c r="W48" s="1635">
        <f t="shared" si="25"/>
        <v>1.9107985496111398E-3</v>
      </c>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row>
    <row r="49" spans="1:81" ht="15.75" customHeight="1" x14ac:dyDescent="0.25">
      <c r="A49" s="4"/>
      <c r="B49" s="164" t="s">
        <v>1447</v>
      </c>
      <c r="C49" s="1636"/>
      <c r="D49" s="106"/>
      <c r="E49" s="1393"/>
      <c r="F49" s="106"/>
      <c r="G49" s="106"/>
      <c r="H49" s="106"/>
      <c r="I49" s="1520"/>
      <c r="J49" s="106"/>
      <c r="K49" s="1113"/>
      <c r="L49" s="106"/>
      <c r="M49" s="1638"/>
      <c r="N49" s="106"/>
      <c r="O49" s="1520"/>
      <c r="P49" s="106"/>
      <c r="Q49" s="1520"/>
      <c r="R49" s="106"/>
      <c r="S49" s="1634"/>
      <c r="T49" s="106"/>
      <c r="U49" s="1634"/>
      <c r="V49" s="106"/>
      <c r="W49" s="1635"/>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row>
    <row r="50" spans="1:81" ht="15.75" customHeight="1" x14ac:dyDescent="0.25">
      <c r="A50" s="4"/>
      <c r="B50" s="781" t="s">
        <v>1492</v>
      </c>
      <c r="C50" s="1639"/>
      <c r="D50" s="1640"/>
      <c r="E50" s="1641"/>
      <c r="F50" s="1640"/>
      <c r="G50" s="1640"/>
      <c r="H50" s="1640"/>
      <c r="I50" s="1642"/>
      <c r="J50" s="1640"/>
      <c r="K50" s="1643"/>
      <c r="L50" s="1640"/>
      <c r="M50" s="1644"/>
      <c r="N50" s="1640"/>
      <c r="O50" s="1642"/>
      <c r="P50" s="1640"/>
      <c r="Q50" s="1642"/>
      <c r="R50" s="1640"/>
      <c r="S50" s="1645"/>
      <c r="T50" s="1640"/>
      <c r="U50" s="1634"/>
      <c r="V50" s="1640"/>
      <c r="W50" s="1646"/>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row>
    <row r="51" spans="1:81" ht="15.75" customHeight="1" x14ac:dyDescent="0.25">
      <c r="A51" s="4"/>
      <c r="B51" s="781" t="s">
        <v>1493</v>
      </c>
      <c r="C51" s="1600">
        <v>2292</v>
      </c>
      <c r="D51" s="106" t="s">
        <v>835</v>
      </c>
      <c r="E51" s="1393">
        <v>1.8</v>
      </c>
      <c r="F51" s="106" t="s">
        <v>835</v>
      </c>
      <c r="G51" s="106">
        <v>10.8</v>
      </c>
      <c r="H51" s="106" t="s">
        <v>836</v>
      </c>
      <c r="I51" s="1520">
        <f t="shared" ref="I51:I55" si="26">C51*E51*G51*365</f>
        <v>16263115.200000003</v>
      </c>
      <c r="J51" s="106" t="s">
        <v>835</v>
      </c>
      <c r="K51" s="1113">
        <v>0.39</v>
      </c>
      <c r="L51" s="106" t="s">
        <v>835</v>
      </c>
      <c r="M51" s="1633">
        <v>5.12259842612387E-2</v>
      </c>
      <c r="N51" s="106" t="s">
        <v>836</v>
      </c>
      <c r="O51" s="1520">
        <f t="shared" ref="O51:O55" si="27">(I51*K51)*M51</f>
        <v>324906.69247682567</v>
      </c>
      <c r="P51" s="106" t="s">
        <v>836</v>
      </c>
      <c r="Q51" s="1520">
        <f t="shared" ref="Q51:Q55" si="28">O51*0.000662</f>
        <v>215.0882304196586</v>
      </c>
      <c r="R51" s="106" t="s">
        <v>836</v>
      </c>
      <c r="S51" s="1634">
        <f t="shared" ref="S51:S55" si="29">Q51/1000000</f>
        <v>2.1508823041965861E-4</v>
      </c>
      <c r="T51" s="106" t="s">
        <v>836</v>
      </c>
      <c r="U51" s="1634">
        <f t="shared" si="15"/>
        <v>1.642491941386484E-3</v>
      </c>
      <c r="V51" s="106" t="s">
        <v>836</v>
      </c>
      <c r="W51" s="1635">
        <f t="shared" ref="W51:W55" si="30">U51/(12/44)</f>
        <v>6.022470451750442E-3</v>
      </c>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row>
    <row r="52" spans="1:81" ht="15.75" customHeight="1" x14ac:dyDescent="0.25">
      <c r="A52" s="4"/>
      <c r="B52" s="781" t="s">
        <v>1494</v>
      </c>
      <c r="C52" s="1600">
        <v>184</v>
      </c>
      <c r="D52" s="106" t="s">
        <v>835</v>
      </c>
      <c r="E52" s="1393">
        <v>1.8</v>
      </c>
      <c r="F52" s="106" t="s">
        <v>835</v>
      </c>
      <c r="G52" s="106">
        <v>9.6999999999999993</v>
      </c>
      <c r="H52" s="106" t="s">
        <v>836</v>
      </c>
      <c r="I52" s="1520">
        <f t="shared" si="26"/>
        <v>1172613.5999999999</v>
      </c>
      <c r="J52" s="106" t="s">
        <v>835</v>
      </c>
      <c r="K52" s="1113">
        <v>0.39</v>
      </c>
      <c r="L52" s="106" t="s">
        <v>835</v>
      </c>
      <c r="M52" s="1633">
        <v>5.12259842612387E-2</v>
      </c>
      <c r="N52" s="106" t="s">
        <v>836</v>
      </c>
      <c r="O52" s="1520">
        <f t="shared" si="27"/>
        <v>23426.631469064632</v>
      </c>
      <c r="P52" s="106" t="s">
        <v>836</v>
      </c>
      <c r="Q52" s="1520">
        <f t="shared" si="28"/>
        <v>15.508430032520788</v>
      </c>
      <c r="R52" s="106" t="s">
        <v>836</v>
      </c>
      <c r="S52" s="1634">
        <f t="shared" si="29"/>
        <v>1.5508430032520787E-5</v>
      </c>
      <c r="T52" s="106" t="s">
        <v>836</v>
      </c>
      <c r="U52" s="1634">
        <f t="shared" si="15"/>
        <v>1.1842801115743148E-4</v>
      </c>
      <c r="V52" s="106" t="s">
        <v>836</v>
      </c>
      <c r="W52" s="1635">
        <f t="shared" si="30"/>
        <v>4.3423604091058211E-4</v>
      </c>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row>
    <row r="53" spans="1:81" ht="15.75" customHeight="1" x14ac:dyDescent="0.25">
      <c r="A53" s="4"/>
      <c r="B53" s="781" t="s">
        <v>1495</v>
      </c>
      <c r="C53" s="1600">
        <v>12</v>
      </c>
      <c r="D53" s="106" t="s">
        <v>835</v>
      </c>
      <c r="E53" s="1393">
        <v>1.8</v>
      </c>
      <c r="F53" s="106" t="s">
        <v>835</v>
      </c>
      <c r="G53" s="1518">
        <v>10.8</v>
      </c>
      <c r="H53" s="106" t="s">
        <v>836</v>
      </c>
      <c r="I53" s="1520">
        <f t="shared" si="26"/>
        <v>85147.200000000012</v>
      </c>
      <c r="J53" s="106" t="s">
        <v>835</v>
      </c>
      <c r="K53" s="1113">
        <v>0.39</v>
      </c>
      <c r="L53" s="106" t="s">
        <v>835</v>
      </c>
      <c r="M53" s="1633">
        <v>5.12259842612387E-2</v>
      </c>
      <c r="N53" s="106" t="s">
        <v>836</v>
      </c>
      <c r="O53" s="1520">
        <f t="shared" si="27"/>
        <v>1701.0821595645323</v>
      </c>
      <c r="P53" s="106" t="s">
        <v>836</v>
      </c>
      <c r="Q53" s="1520">
        <f t="shared" si="28"/>
        <v>1.1261163896317203</v>
      </c>
      <c r="R53" s="106" t="s">
        <v>836</v>
      </c>
      <c r="S53" s="1634">
        <f t="shared" si="29"/>
        <v>1.1261163896317203E-6</v>
      </c>
      <c r="T53" s="106" t="s">
        <v>836</v>
      </c>
      <c r="U53" s="1634">
        <f t="shared" si="15"/>
        <v>8.5994342480967743E-6</v>
      </c>
      <c r="V53" s="106" t="s">
        <v>836</v>
      </c>
      <c r="W53" s="1635">
        <f t="shared" si="30"/>
        <v>3.1531258909688177E-5</v>
      </c>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row>
    <row r="54" spans="1:81" ht="15.75" customHeight="1" x14ac:dyDescent="0.25">
      <c r="A54" s="4"/>
      <c r="B54" s="781" t="s">
        <v>1496</v>
      </c>
      <c r="C54" s="1600">
        <v>53072.7</v>
      </c>
      <c r="D54" s="106" t="s">
        <v>835</v>
      </c>
      <c r="E54" s="1393">
        <v>0.9</v>
      </c>
      <c r="F54" s="106" t="s">
        <v>835</v>
      </c>
      <c r="G54" s="106">
        <v>15</v>
      </c>
      <c r="H54" s="106" t="s">
        <v>836</v>
      </c>
      <c r="I54" s="1520">
        <f t="shared" si="26"/>
        <v>261515729.24999997</v>
      </c>
      <c r="J54" s="106" t="s">
        <v>835</v>
      </c>
      <c r="K54" s="1113">
        <v>0.36</v>
      </c>
      <c r="L54" s="106" t="s">
        <v>835</v>
      </c>
      <c r="M54" s="1638">
        <v>1.4999999999999999E-2</v>
      </c>
      <c r="N54" s="106" t="s">
        <v>836</v>
      </c>
      <c r="O54" s="1520">
        <f t="shared" si="27"/>
        <v>1412184.9379499997</v>
      </c>
      <c r="P54" s="106" t="s">
        <v>836</v>
      </c>
      <c r="Q54" s="1520">
        <f t="shared" si="28"/>
        <v>934.8664289228999</v>
      </c>
      <c r="R54" s="106" t="s">
        <v>836</v>
      </c>
      <c r="S54" s="1634">
        <f t="shared" si="29"/>
        <v>9.3486642892289993E-4</v>
      </c>
      <c r="T54" s="106" t="s">
        <v>836</v>
      </c>
      <c r="U54" s="1634">
        <f t="shared" si="15"/>
        <v>7.1389800026839638E-3</v>
      </c>
      <c r="V54" s="106" t="s">
        <v>836</v>
      </c>
      <c r="W54" s="1635">
        <f t="shared" si="30"/>
        <v>2.6176260009841204E-2</v>
      </c>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row>
    <row r="55" spans="1:81" ht="15.75" customHeight="1" x14ac:dyDescent="0.25">
      <c r="A55" s="4"/>
      <c r="B55" s="781" t="s">
        <v>1497</v>
      </c>
      <c r="C55" s="1600">
        <v>704</v>
      </c>
      <c r="D55" s="106" t="s">
        <v>835</v>
      </c>
      <c r="E55" s="1393">
        <v>6.8</v>
      </c>
      <c r="F55" s="106" t="s">
        <v>835</v>
      </c>
      <c r="G55" s="106">
        <v>9.6999999999999993</v>
      </c>
      <c r="H55" s="106" t="s">
        <v>836</v>
      </c>
      <c r="I55" s="1520">
        <f t="shared" si="26"/>
        <v>16949081.599999998</v>
      </c>
      <c r="J55" s="106" t="s">
        <v>835</v>
      </c>
      <c r="K55" s="1113">
        <v>0.36</v>
      </c>
      <c r="L55" s="106" t="s">
        <v>835</v>
      </c>
      <c r="M55" s="1638">
        <v>1.4999999999999999E-2</v>
      </c>
      <c r="N55" s="106" t="s">
        <v>836</v>
      </c>
      <c r="O55" s="1520">
        <f t="shared" si="27"/>
        <v>91525.040639999992</v>
      </c>
      <c r="P55" s="106" t="s">
        <v>836</v>
      </c>
      <c r="Q55" s="1520">
        <f t="shared" si="28"/>
        <v>60.589576903679998</v>
      </c>
      <c r="R55" s="106" t="s">
        <v>836</v>
      </c>
      <c r="S55" s="1634">
        <f t="shared" si="29"/>
        <v>6.0589576903679998E-5</v>
      </c>
      <c r="T55" s="106" t="s">
        <v>836</v>
      </c>
      <c r="U55" s="1634">
        <f t="shared" si="15"/>
        <v>4.6268404180991999E-4</v>
      </c>
      <c r="V55" s="106" t="s">
        <v>836</v>
      </c>
      <c r="W55" s="1635">
        <f t="shared" si="30"/>
        <v>1.6965081533030402E-3</v>
      </c>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row>
    <row r="56" spans="1:81" ht="15.75" customHeight="1" x14ac:dyDescent="0.25">
      <c r="A56" s="4"/>
      <c r="B56" s="164" t="s">
        <v>716</v>
      </c>
      <c r="C56" s="1636"/>
      <c r="D56" s="106"/>
      <c r="E56" s="1393"/>
      <c r="F56" s="106"/>
      <c r="G56" s="106"/>
      <c r="H56" s="106"/>
      <c r="I56" s="1520"/>
      <c r="J56" s="106"/>
      <c r="K56" s="1113"/>
      <c r="L56" s="106"/>
      <c r="M56" s="1638"/>
      <c r="N56" s="106"/>
      <c r="O56" s="1520"/>
      <c r="P56" s="106"/>
      <c r="Q56" s="1520"/>
      <c r="R56" s="106"/>
      <c r="S56" s="1634"/>
      <c r="T56" s="106"/>
      <c r="U56" s="1634"/>
      <c r="V56" s="106"/>
      <c r="W56" s="1635"/>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row>
    <row r="57" spans="1:81" ht="15.75" customHeight="1" x14ac:dyDescent="0.25">
      <c r="A57" s="4"/>
      <c r="B57" s="781" t="s">
        <v>1498</v>
      </c>
      <c r="C57" s="1600">
        <v>0</v>
      </c>
      <c r="D57" s="106" t="s">
        <v>835</v>
      </c>
      <c r="E57" s="1393">
        <v>25</v>
      </c>
      <c r="F57" s="106" t="s">
        <v>835</v>
      </c>
      <c r="G57" s="1518">
        <v>9.205479452054794</v>
      </c>
      <c r="H57" s="106" t="s">
        <v>836</v>
      </c>
      <c r="I57" s="1520">
        <f t="shared" ref="I57:I60" si="31">C57*E57*G57*365</f>
        <v>0</v>
      </c>
      <c r="J57" s="106" t="s">
        <v>835</v>
      </c>
      <c r="K57" s="1113">
        <v>0.36056372132540354</v>
      </c>
      <c r="L57" s="106" t="s">
        <v>835</v>
      </c>
      <c r="M57" s="1638">
        <v>1.2E-2</v>
      </c>
      <c r="N57" s="106" t="s">
        <v>836</v>
      </c>
      <c r="O57" s="1520">
        <f t="shared" ref="O57:O60" si="32">(I57*K57)*M57</f>
        <v>0</v>
      </c>
      <c r="P57" s="106" t="s">
        <v>836</v>
      </c>
      <c r="Q57" s="1520">
        <f t="shared" ref="Q57:Q60" si="33">O57*0.000662</f>
        <v>0</v>
      </c>
      <c r="R57" s="106" t="s">
        <v>836</v>
      </c>
      <c r="S57" s="1634">
        <f t="shared" ref="S57:S60" si="34">Q57/1000000</f>
        <v>0</v>
      </c>
      <c r="T57" s="106" t="s">
        <v>836</v>
      </c>
      <c r="U57" s="1634">
        <f t="shared" si="15"/>
        <v>0</v>
      </c>
      <c r="V57" s="106" t="s">
        <v>836</v>
      </c>
      <c r="W57" s="1635">
        <f t="shared" ref="W57:W60" si="35">U57/(12/44)</f>
        <v>0</v>
      </c>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row>
    <row r="58" spans="1:81" ht="15.75" customHeight="1" x14ac:dyDescent="0.25">
      <c r="A58" s="4"/>
      <c r="B58" s="781" t="s">
        <v>1499</v>
      </c>
      <c r="C58" s="1602">
        <v>24</v>
      </c>
      <c r="D58" s="106" t="s">
        <v>835</v>
      </c>
      <c r="E58" s="1393">
        <v>80</v>
      </c>
      <c r="F58" s="106" t="s">
        <v>835</v>
      </c>
      <c r="G58" s="1518">
        <v>9.205479452054794</v>
      </c>
      <c r="H58" s="106" t="s">
        <v>836</v>
      </c>
      <c r="I58" s="1520">
        <f t="shared" si="31"/>
        <v>6451200</v>
      </c>
      <c r="J58" s="106" t="s">
        <v>835</v>
      </c>
      <c r="K58" s="1113">
        <v>0.1899677145284622</v>
      </c>
      <c r="L58" s="106" t="s">
        <v>835</v>
      </c>
      <c r="M58" s="1638">
        <v>1.0999999999999999E-2</v>
      </c>
      <c r="N58" s="106" t="s">
        <v>836</v>
      </c>
      <c r="O58" s="1520">
        <f t="shared" si="32"/>
        <v>13480.716919626168</v>
      </c>
      <c r="P58" s="106" t="s">
        <v>836</v>
      </c>
      <c r="Q58" s="1520">
        <f t="shared" si="33"/>
        <v>8.9242346007925235</v>
      </c>
      <c r="R58" s="106" t="s">
        <v>836</v>
      </c>
      <c r="S58" s="1634">
        <f t="shared" si="34"/>
        <v>8.924234600792524E-6</v>
      </c>
      <c r="T58" s="106" t="s">
        <v>836</v>
      </c>
      <c r="U58" s="1634">
        <f t="shared" si="15"/>
        <v>6.8148700587870187E-5</v>
      </c>
      <c r="V58" s="106" t="s">
        <v>836</v>
      </c>
      <c r="W58" s="1635">
        <f t="shared" si="35"/>
        <v>2.4987856882219072E-4</v>
      </c>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row>
    <row r="59" spans="1:81" ht="15.75" customHeight="1" x14ac:dyDescent="0.25">
      <c r="A59" s="4"/>
      <c r="B59" s="781" t="s">
        <v>1470</v>
      </c>
      <c r="C59" s="1600">
        <v>12</v>
      </c>
      <c r="D59" s="106" t="s">
        <v>835</v>
      </c>
      <c r="E59" s="1393">
        <v>64</v>
      </c>
      <c r="F59" s="106" t="s">
        <v>835</v>
      </c>
      <c r="G59" s="1518">
        <v>9.5342465753424666</v>
      </c>
      <c r="H59" s="106" t="s">
        <v>836</v>
      </c>
      <c r="I59" s="1520">
        <f t="shared" si="31"/>
        <v>2672640.0000000005</v>
      </c>
      <c r="J59" s="106" t="s">
        <v>835</v>
      </c>
      <c r="K59" s="1113">
        <v>0.16997111299915041</v>
      </c>
      <c r="L59" s="106" t="s">
        <v>835</v>
      </c>
      <c r="M59" s="1638">
        <v>1.0999999999999999E-2</v>
      </c>
      <c r="N59" s="106" t="s">
        <v>836</v>
      </c>
      <c r="O59" s="1520">
        <f t="shared" si="32"/>
        <v>4996.9875499065429</v>
      </c>
      <c r="P59" s="106" t="s">
        <v>836</v>
      </c>
      <c r="Q59" s="1520">
        <f t="shared" si="33"/>
        <v>3.3080057580381315</v>
      </c>
      <c r="R59" s="106" t="s">
        <v>836</v>
      </c>
      <c r="S59" s="1634">
        <f t="shared" si="34"/>
        <v>3.3080057580381316E-6</v>
      </c>
      <c r="T59" s="106" t="s">
        <v>836</v>
      </c>
      <c r="U59" s="1634">
        <f t="shared" si="15"/>
        <v>2.5261134879563912E-5</v>
      </c>
      <c r="V59" s="106" t="s">
        <v>836</v>
      </c>
      <c r="W59" s="1635">
        <f t="shared" si="35"/>
        <v>9.2624161225067693E-5</v>
      </c>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row>
    <row r="60" spans="1:81" ht="15.75" customHeight="1" x14ac:dyDescent="0.25">
      <c r="A60" s="4"/>
      <c r="B60" s="781" t="s">
        <v>1472</v>
      </c>
      <c r="C60" s="1602">
        <v>79.099999999999994</v>
      </c>
      <c r="D60" s="106" t="s">
        <v>835</v>
      </c>
      <c r="E60" s="1393">
        <v>450</v>
      </c>
      <c r="F60" s="106" t="s">
        <v>835</v>
      </c>
      <c r="G60" s="106">
        <v>10</v>
      </c>
      <c r="H60" s="106" t="s">
        <v>836</v>
      </c>
      <c r="I60" s="1520">
        <f t="shared" si="31"/>
        <v>129921750</v>
      </c>
      <c r="J60" s="106" t="s">
        <v>835</v>
      </c>
      <c r="K60" s="1113">
        <v>0.33056881903143587</v>
      </c>
      <c r="L60" s="106" t="s">
        <v>835</v>
      </c>
      <c r="M60" s="1638">
        <v>1.0999999999999999E-2</v>
      </c>
      <c r="N60" s="106" t="s">
        <v>836</v>
      </c>
      <c r="O60" s="1520">
        <f t="shared" si="32"/>
        <v>472428.87410397193</v>
      </c>
      <c r="P60" s="106" t="s">
        <v>836</v>
      </c>
      <c r="Q60" s="1520">
        <f t="shared" si="33"/>
        <v>312.74791465682944</v>
      </c>
      <c r="R60" s="106" t="s">
        <v>836</v>
      </c>
      <c r="S60" s="1634">
        <f t="shared" si="34"/>
        <v>3.1274791465682944E-4</v>
      </c>
      <c r="T60" s="106" t="s">
        <v>836</v>
      </c>
      <c r="U60" s="1634">
        <f t="shared" si="15"/>
        <v>2.3882568028339704E-3</v>
      </c>
      <c r="V60" s="106" t="s">
        <v>836</v>
      </c>
      <c r="W60" s="1635">
        <f t="shared" si="35"/>
        <v>8.7569416103912261E-3</v>
      </c>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row>
    <row r="61" spans="1:81" ht="15.75" customHeight="1" x14ac:dyDescent="0.25">
      <c r="A61" s="4"/>
      <c r="B61" s="1604" t="s">
        <v>1473</v>
      </c>
      <c r="C61" s="1610"/>
      <c r="D61" s="1610"/>
      <c r="E61" s="1605"/>
      <c r="F61" s="1610"/>
      <c r="G61" s="1610"/>
      <c r="H61" s="1610"/>
      <c r="I61" s="1610"/>
      <c r="J61" s="1605"/>
      <c r="K61" s="1605"/>
      <c r="L61" s="1605"/>
      <c r="M61" s="1605"/>
      <c r="N61" s="1605"/>
      <c r="O61" s="1647">
        <f>SUM(O32:O60)</f>
        <v>6781730.6166402474</v>
      </c>
      <c r="P61" s="1605"/>
      <c r="Q61" s="1647">
        <f>SUM(Q32:Q60)</f>
        <v>4489.5056682158438</v>
      </c>
      <c r="R61" s="1605"/>
      <c r="S61" s="1648">
        <f>SUM(S32:S60)</f>
        <v>4.489505668215845E-3</v>
      </c>
      <c r="T61" s="1605"/>
      <c r="U61" s="1648">
        <f>SUM(U32:U60)</f>
        <v>3.4283497830011903E-2</v>
      </c>
      <c r="V61" s="1610"/>
      <c r="W61" s="1649">
        <f>SUM(W32:W60)</f>
        <v>0.12570615871004365</v>
      </c>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row>
    <row r="62" spans="1:81" ht="15.75" customHeight="1" x14ac:dyDescent="0.25">
      <c r="A62" s="4"/>
      <c r="B62" s="1"/>
      <c r="C62" s="4"/>
      <c r="D62" s="4"/>
      <c r="E62" s="1030"/>
      <c r="F62" s="4"/>
      <c r="G62" s="4"/>
      <c r="H62" s="4"/>
      <c r="I62" s="4"/>
      <c r="J62" s="1030"/>
      <c r="K62" s="1030"/>
      <c r="L62" s="1030"/>
      <c r="M62" s="1030"/>
      <c r="N62" s="1030"/>
      <c r="O62" s="1487"/>
      <c r="P62" s="1030"/>
      <c r="Q62" s="1487"/>
      <c r="R62" s="1030"/>
      <c r="S62" s="1650"/>
      <c r="T62" s="1030"/>
      <c r="U62" s="1650"/>
      <c r="V62" s="4"/>
      <c r="W62" s="1650"/>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row>
    <row r="63" spans="1:81" ht="15.75" customHeight="1" x14ac:dyDescent="0.25">
      <c r="A63" s="4"/>
      <c r="B63" s="1"/>
      <c r="C63" s="4"/>
      <c r="D63" s="4"/>
      <c r="E63" s="1030"/>
      <c r="F63" s="4"/>
      <c r="G63" s="4"/>
      <c r="H63" s="4"/>
      <c r="I63" s="4"/>
      <c r="J63" s="1030"/>
      <c r="K63" s="1030"/>
      <c r="L63" s="1030"/>
      <c r="M63" s="1030"/>
      <c r="N63" s="1030"/>
      <c r="O63" s="1487"/>
      <c r="P63" s="1030"/>
      <c r="Q63" s="1487"/>
      <c r="R63" s="1030"/>
      <c r="S63" s="1650"/>
      <c r="T63" s="1030"/>
      <c r="U63" s="1650"/>
      <c r="V63" s="4"/>
      <c r="W63" s="1650"/>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row>
    <row r="64" spans="1:81" ht="15.75" customHeight="1" x14ac:dyDescent="0.25">
      <c r="A64" s="4"/>
      <c r="B64" s="1588"/>
      <c r="C64" s="1492"/>
      <c r="D64" s="1492"/>
      <c r="E64" s="1492"/>
      <c r="F64" s="1492"/>
      <c r="G64" s="1612"/>
      <c r="H64" s="1133"/>
      <c r="I64" s="1613"/>
      <c r="J64" s="1133"/>
      <c r="K64" s="1614"/>
      <c r="L64" s="39"/>
      <c r="M64" s="1614"/>
      <c r="N64" s="39"/>
      <c r="O64" s="39"/>
      <c r="P64" s="39"/>
      <c r="Q64" s="39"/>
      <c r="R64" s="39"/>
      <c r="S64" s="39"/>
      <c r="T64" s="39"/>
      <c r="U64" s="39"/>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row>
    <row r="65" spans="1:81" ht="19.5" customHeight="1" x14ac:dyDescent="0.4">
      <c r="A65" s="4"/>
      <c r="B65" s="1593" t="s">
        <v>1500</v>
      </c>
      <c r="C65" s="1615"/>
      <c r="D65" s="1615"/>
      <c r="E65" s="1615"/>
      <c r="F65" s="1615"/>
      <c r="G65" s="1616"/>
      <c r="H65" s="1617"/>
      <c r="I65" s="1618"/>
      <c r="J65" s="1617"/>
      <c r="K65" s="1619"/>
      <c r="L65" s="1594"/>
      <c r="M65" s="1619"/>
      <c r="N65" s="1594"/>
      <c r="O65" s="1594"/>
      <c r="P65" s="1594"/>
      <c r="Q65" s="1594"/>
      <c r="R65" s="1594"/>
      <c r="S65" s="1594"/>
      <c r="T65" s="1594"/>
      <c r="U65" s="1595"/>
      <c r="V65" s="47"/>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row>
    <row r="66" spans="1:81" ht="121.5" customHeight="1" x14ac:dyDescent="0.35">
      <c r="A66" s="4"/>
      <c r="B66" s="104"/>
      <c r="C66" s="1651" t="s">
        <v>1451</v>
      </c>
      <c r="D66" s="1652"/>
      <c r="E66" s="1596" t="s">
        <v>1501</v>
      </c>
      <c r="F66" s="1597"/>
      <c r="G66" s="1596" t="s">
        <v>1502</v>
      </c>
      <c r="H66" s="1596"/>
      <c r="I66" s="1596" t="s">
        <v>1503</v>
      </c>
      <c r="J66" s="1597"/>
      <c r="K66" s="1596" t="s">
        <v>1504</v>
      </c>
      <c r="L66" s="1653"/>
      <c r="M66" s="1596" t="s">
        <v>1505</v>
      </c>
      <c r="N66" s="1597"/>
      <c r="O66" s="1596" t="s">
        <v>1506</v>
      </c>
      <c r="P66" s="1597"/>
      <c r="Q66" s="1596" t="s">
        <v>959</v>
      </c>
      <c r="R66" s="1597"/>
      <c r="S66" s="1596" t="s">
        <v>1393</v>
      </c>
      <c r="T66" s="1597"/>
      <c r="U66" s="1598" t="s">
        <v>1507</v>
      </c>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row>
    <row r="67" spans="1:81" ht="15.75" customHeight="1" x14ac:dyDescent="0.25">
      <c r="A67" s="4"/>
      <c r="B67" s="164" t="s">
        <v>1508</v>
      </c>
      <c r="C67" s="1654"/>
      <c r="D67" s="1655"/>
      <c r="E67" s="105"/>
      <c r="F67" s="107"/>
      <c r="G67" s="107"/>
      <c r="H67" s="107"/>
      <c r="I67" s="105"/>
      <c r="J67" s="107"/>
      <c r="K67" s="107"/>
      <c r="L67" s="106"/>
      <c r="M67" s="107"/>
      <c r="N67" s="107"/>
      <c r="O67" s="107"/>
      <c r="P67" s="107"/>
      <c r="Q67" s="107"/>
      <c r="R67" s="107"/>
      <c r="S67" s="253"/>
      <c r="T67" s="107"/>
      <c r="U67" s="1363"/>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row>
    <row r="68" spans="1:81" ht="15.75" customHeight="1" x14ac:dyDescent="0.25">
      <c r="A68" s="4"/>
      <c r="B68" s="781" t="s">
        <v>1457</v>
      </c>
      <c r="C68" s="1600">
        <v>53</v>
      </c>
      <c r="D68" s="106"/>
      <c r="E68" s="1520">
        <v>5788024</v>
      </c>
      <c r="F68" s="107"/>
      <c r="G68" s="1520">
        <v>1338267.8842689372</v>
      </c>
      <c r="H68" s="232"/>
      <c r="I68" s="1520">
        <v>1499202.3862762167</v>
      </c>
      <c r="J68" s="107"/>
      <c r="K68" s="1520">
        <v>1338.2678842689372</v>
      </c>
      <c r="L68" s="106" t="s">
        <v>1341</v>
      </c>
      <c r="M68" s="1520">
        <v>29984.047725524335</v>
      </c>
      <c r="N68" s="232" t="s">
        <v>836</v>
      </c>
      <c r="O68" s="1520">
        <v>49220.781672532285</v>
      </c>
      <c r="P68" s="232" t="s">
        <v>836</v>
      </c>
      <c r="Q68" s="1520">
        <f>O68/1000*$AG$8*12/44</f>
        <v>3557.3201299693787</v>
      </c>
      <c r="R68" s="232" t="s">
        <v>836</v>
      </c>
      <c r="S68" s="1656">
        <f t="shared" ref="S68:S69" si="36">Q68/10^6</f>
        <v>3.5573201299693787E-3</v>
      </c>
      <c r="T68" s="232" t="s">
        <v>836</v>
      </c>
      <c r="U68" s="1657">
        <f t="shared" ref="U68:U69" si="37">S68/(12/44)</f>
        <v>1.3043507143221056E-2</v>
      </c>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row>
    <row r="69" spans="1:81" ht="15.75" customHeight="1" x14ac:dyDescent="0.25">
      <c r="A69" s="4"/>
      <c r="B69" s="781" t="s">
        <v>1458</v>
      </c>
      <c r="C69" s="1600">
        <v>28</v>
      </c>
      <c r="D69" s="106"/>
      <c r="E69" s="1520">
        <v>1508063.2</v>
      </c>
      <c r="F69" s="107"/>
      <c r="G69" s="1520">
        <v>348684.20518087747</v>
      </c>
      <c r="H69" s="232"/>
      <c r="I69" s="1520">
        <v>739299.71515531605</v>
      </c>
      <c r="J69" s="107"/>
      <c r="K69" s="1520">
        <v>348.68420518087748</v>
      </c>
      <c r="L69" s="106" t="s">
        <v>1341</v>
      </c>
      <c r="M69" s="1520">
        <v>14785.994303106321</v>
      </c>
      <c r="N69" s="232" t="s">
        <v>836</v>
      </c>
      <c r="O69" s="1520">
        <v>23235.133904881361</v>
      </c>
      <c r="P69" s="232" t="s">
        <v>836</v>
      </c>
      <c r="Q69" s="1520">
        <f t="shared" ref="Q69:Q88" si="38">O69/1000*$AG$8*12/44</f>
        <v>1679.2664958527894</v>
      </c>
      <c r="R69" s="232" t="s">
        <v>836</v>
      </c>
      <c r="S69" s="1656">
        <f t="shared" si="36"/>
        <v>1.6792664958527894E-3</v>
      </c>
      <c r="T69" s="232" t="s">
        <v>836</v>
      </c>
      <c r="U69" s="1657">
        <f t="shared" si="37"/>
        <v>6.1573104847935612E-3</v>
      </c>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row>
    <row r="70" spans="1:81" ht="15.75" customHeight="1" x14ac:dyDescent="0.25">
      <c r="A70" s="4"/>
      <c r="B70" s="164" t="s">
        <v>1461</v>
      </c>
      <c r="C70" s="1603"/>
      <c r="D70" s="106"/>
      <c r="E70" s="1520"/>
      <c r="F70" s="107"/>
      <c r="G70" s="1520"/>
      <c r="H70" s="232"/>
      <c r="I70" s="1520"/>
      <c r="J70" s="107"/>
      <c r="K70" s="1520" t="s">
        <v>1509</v>
      </c>
      <c r="L70" s="106"/>
      <c r="M70" s="1520"/>
      <c r="N70" s="232"/>
      <c r="O70" s="1520"/>
      <c r="P70" s="232"/>
      <c r="Q70" s="1520"/>
      <c r="R70" s="232"/>
      <c r="S70" s="1520"/>
      <c r="T70" s="232"/>
      <c r="U70" s="1658"/>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row>
    <row r="71" spans="1:81" ht="15.75" customHeight="1" x14ac:dyDescent="0.25">
      <c r="A71" s="4"/>
      <c r="B71" s="781" t="s">
        <v>1466</v>
      </c>
      <c r="C71" s="1602">
        <v>3.9119999999999999</v>
      </c>
      <c r="D71" s="106"/>
      <c r="E71" s="1520">
        <v>179361</v>
      </c>
      <c r="F71" s="107"/>
      <c r="G71" s="1520" t="s">
        <v>944</v>
      </c>
      <c r="H71" s="232"/>
      <c r="I71" s="1520">
        <v>179361</v>
      </c>
      <c r="J71" s="107"/>
      <c r="K71" s="1520" t="s">
        <v>944</v>
      </c>
      <c r="L71" s="106" t="s">
        <v>1341</v>
      </c>
      <c r="M71" s="1520">
        <v>3587.22</v>
      </c>
      <c r="N71" s="232" t="s">
        <v>836</v>
      </c>
      <c r="O71" s="1520">
        <v>5637.06</v>
      </c>
      <c r="P71" s="232" t="s">
        <v>836</v>
      </c>
      <c r="Q71" s="1520">
        <f t="shared" si="38"/>
        <v>407.40570000000002</v>
      </c>
      <c r="R71" s="232" t="s">
        <v>836</v>
      </c>
      <c r="S71" s="1656">
        <f t="shared" ref="S71:S72" si="39">Q71/10^6</f>
        <v>4.0740570000000003E-4</v>
      </c>
      <c r="T71" s="232" t="s">
        <v>836</v>
      </c>
      <c r="U71" s="1657">
        <f t="shared" ref="U71:U72" si="40">S71/(12/44)</f>
        <v>1.4938209000000002E-3</v>
      </c>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row>
    <row r="72" spans="1:81" ht="15.75" customHeight="1" x14ac:dyDescent="0.25">
      <c r="A72" s="4"/>
      <c r="B72" s="781" t="s">
        <v>1467</v>
      </c>
      <c r="C72" s="1602">
        <v>7.3949999999999996</v>
      </c>
      <c r="D72" s="106"/>
      <c r="E72" s="1520">
        <v>340326</v>
      </c>
      <c r="F72" s="107"/>
      <c r="G72" s="1520" t="s">
        <v>944</v>
      </c>
      <c r="H72" s="232"/>
      <c r="I72" s="1520">
        <v>340326</v>
      </c>
      <c r="J72" s="107"/>
      <c r="K72" s="1520" t="s">
        <v>944</v>
      </c>
      <c r="L72" s="106" t="s">
        <v>1341</v>
      </c>
      <c r="M72" s="1520">
        <v>6806.52</v>
      </c>
      <c r="N72" s="232" t="s">
        <v>836</v>
      </c>
      <c r="O72" s="1520">
        <v>10695.96</v>
      </c>
      <c r="P72" s="232" t="s">
        <v>836</v>
      </c>
      <c r="Q72" s="1520">
        <f t="shared" si="38"/>
        <v>773.0261999999999</v>
      </c>
      <c r="R72" s="232" t="s">
        <v>836</v>
      </c>
      <c r="S72" s="1656">
        <f t="shared" si="39"/>
        <v>7.7302619999999986E-4</v>
      </c>
      <c r="T72" s="232" t="s">
        <v>836</v>
      </c>
      <c r="U72" s="1657">
        <f t="shared" si="40"/>
        <v>2.8344293999999996E-3</v>
      </c>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row>
    <row r="73" spans="1:81" ht="15.75" customHeight="1" x14ac:dyDescent="0.25">
      <c r="A73" s="4"/>
      <c r="B73" s="164" t="s">
        <v>1471</v>
      </c>
      <c r="C73" s="1603"/>
      <c r="D73" s="106"/>
      <c r="E73" s="1656"/>
      <c r="F73" s="107"/>
      <c r="G73" s="1656"/>
      <c r="H73" s="232"/>
      <c r="I73" s="1520"/>
      <c r="J73" s="107"/>
      <c r="K73" s="1520" t="s">
        <v>1509</v>
      </c>
      <c r="L73" s="106"/>
      <c r="M73" s="1520"/>
      <c r="N73" s="232"/>
      <c r="O73" s="1520"/>
      <c r="P73" s="232"/>
      <c r="Q73" s="1520"/>
      <c r="R73" s="232"/>
      <c r="S73" s="1520"/>
      <c r="T73" s="232"/>
      <c r="U73" s="1658"/>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row>
    <row r="74" spans="1:81" ht="15.75" customHeight="1" x14ac:dyDescent="0.25">
      <c r="A74" s="4"/>
      <c r="B74" s="781" t="s">
        <v>1487</v>
      </c>
      <c r="C74" s="1600">
        <v>2</v>
      </c>
      <c r="D74" s="106"/>
      <c r="E74" s="1520">
        <v>33966.9</v>
      </c>
      <c r="F74" s="107"/>
      <c r="G74" s="1520">
        <v>25508.812421069997</v>
      </c>
      <c r="H74" s="232"/>
      <c r="I74" s="1520">
        <v>1277.2541478113997</v>
      </c>
      <c r="J74" s="107"/>
      <c r="K74" s="1520">
        <v>25.508812421069997</v>
      </c>
      <c r="L74" s="106" t="s">
        <v>1341</v>
      </c>
      <c r="M74" s="1520">
        <v>25.545082956227994</v>
      </c>
      <c r="N74" s="232" t="s">
        <v>836</v>
      </c>
      <c r="O74" s="1520">
        <v>80.227549878611129</v>
      </c>
      <c r="P74" s="232" t="s">
        <v>836</v>
      </c>
      <c r="Q74" s="1520">
        <f t="shared" si="38"/>
        <v>5.7982638321359863</v>
      </c>
      <c r="R74" s="232" t="s">
        <v>836</v>
      </c>
      <c r="S74" s="1656">
        <f t="shared" ref="S74:S78" si="41">Q74/10^6</f>
        <v>5.7982638321359862E-6</v>
      </c>
      <c r="T74" s="232" t="s">
        <v>836</v>
      </c>
      <c r="U74" s="1657">
        <f t="shared" ref="U74:U78" si="42">S74/(12/44)</f>
        <v>2.1260300717831949E-5</v>
      </c>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row>
    <row r="75" spans="1:81" ht="15.75" customHeight="1" x14ac:dyDescent="0.25">
      <c r="A75" s="4"/>
      <c r="B75" s="781" t="s">
        <v>1488</v>
      </c>
      <c r="C75" s="1600">
        <v>9</v>
      </c>
      <c r="D75" s="106"/>
      <c r="E75" s="1520">
        <v>31299.48</v>
      </c>
      <c r="F75" s="107"/>
      <c r="G75" s="1520">
        <v>23505.605875044002</v>
      </c>
      <c r="H75" s="232"/>
      <c r="I75" s="1520">
        <v>1176.95140428888</v>
      </c>
      <c r="J75" s="107"/>
      <c r="K75" s="1520">
        <v>23.505605875044004</v>
      </c>
      <c r="L75" s="106" t="s">
        <v>1341</v>
      </c>
      <c r="M75" s="1520">
        <v>23.539028085777598</v>
      </c>
      <c r="N75" s="232" t="s">
        <v>836</v>
      </c>
      <c r="O75" s="1520">
        <v>73.927281938433936</v>
      </c>
      <c r="P75" s="232" t="s">
        <v>836</v>
      </c>
      <c r="Q75" s="1520">
        <f t="shared" si="38"/>
        <v>5.3429262855504529</v>
      </c>
      <c r="R75" s="232" t="s">
        <v>836</v>
      </c>
      <c r="S75" s="1656">
        <f t="shared" si="41"/>
        <v>5.3429262855504525E-6</v>
      </c>
      <c r="T75" s="232" t="s">
        <v>836</v>
      </c>
      <c r="U75" s="1657">
        <f t="shared" si="42"/>
        <v>1.9590729713684996E-5</v>
      </c>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row>
    <row r="76" spans="1:81" ht="15.75" customHeight="1" x14ac:dyDescent="0.25">
      <c r="A76" s="4"/>
      <c r="B76" s="781" t="s">
        <v>1489</v>
      </c>
      <c r="C76" s="1602">
        <v>7</v>
      </c>
      <c r="D76" s="106"/>
      <c r="E76" s="1520">
        <v>43567.86</v>
      </c>
      <c r="F76" s="107"/>
      <c r="G76" s="1520">
        <v>32719.040251757993</v>
      </c>
      <c r="H76" s="232"/>
      <c r="I76" s="1520">
        <v>1638.2781442011596</v>
      </c>
      <c r="J76" s="107"/>
      <c r="K76" s="1520">
        <v>32.719040251757995</v>
      </c>
      <c r="L76" s="106" t="s">
        <v>1341</v>
      </c>
      <c r="M76" s="1520">
        <v>32.765562884023197</v>
      </c>
      <c r="N76" s="232" t="s">
        <v>836</v>
      </c>
      <c r="O76" s="1520">
        <v>102.90437635622757</v>
      </c>
      <c r="P76" s="232" t="s">
        <v>836</v>
      </c>
      <c r="Q76" s="1520">
        <f t="shared" si="38"/>
        <v>7.4371799275637196</v>
      </c>
      <c r="R76" s="232" t="s">
        <v>836</v>
      </c>
      <c r="S76" s="1656">
        <f t="shared" si="41"/>
        <v>7.4371799275637193E-6</v>
      </c>
      <c r="T76" s="232" t="s">
        <v>836</v>
      </c>
      <c r="U76" s="1657">
        <f t="shared" si="42"/>
        <v>2.7269659734400305E-5</v>
      </c>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row>
    <row r="77" spans="1:81" ht="15.75" customHeight="1" x14ac:dyDescent="0.25">
      <c r="A77" s="4"/>
      <c r="B77" s="781" t="s">
        <v>1490</v>
      </c>
      <c r="C77" s="1600">
        <v>4</v>
      </c>
      <c r="D77" s="106"/>
      <c r="E77" s="1520">
        <v>41587.223999999995</v>
      </c>
      <c r="F77" s="107"/>
      <c r="G77" s="1520">
        <v>31231.601827927196</v>
      </c>
      <c r="H77" s="232"/>
      <c r="I77" s="1520">
        <v>1563.8004748729438</v>
      </c>
      <c r="J77" s="107"/>
      <c r="K77" s="1520">
        <v>31.231601827927197</v>
      </c>
      <c r="L77" s="106" t="s">
        <v>1341</v>
      </c>
      <c r="M77" s="1520">
        <v>31.276009497458876</v>
      </c>
      <c r="N77" s="232" t="s">
        <v>836</v>
      </c>
      <c r="O77" s="1520">
        <v>98.226246368463833</v>
      </c>
      <c r="P77" s="232" t="s">
        <v>836</v>
      </c>
      <c r="Q77" s="1520">
        <f t="shared" si="38"/>
        <v>7.0990787148117045</v>
      </c>
      <c r="R77" s="232" t="s">
        <v>836</v>
      </c>
      <c r="S77" s="1656">
        <f t="shared" si="41"/>
        <v>7.0990787148117049E-6</v>
      </c>
      <c r="T77" s="232" t="s">
        <v>836</v>
      </c>
      <c r="U77" s="1657">
        <f t="shared" si="42"/>
        <v>2.6029955287642919E-5</v>
      </c>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row>
    <row r="78" spans="1:81" ht="15.75" customHeight="1" x14ac:dyDescent="0.25">
      <c r="A78" s="4"/>
      <c r="B78" s="781" t="s">
        <v>1491</v>
      </c>
      <c r="C78" s="1600">
        <v>4</v>
      </c>
      <c r="D78" s="106"/>
      <c r="E78" s="1520">
        <v>55647.9</v>
      </c>
      <c r="F78" s="107"/>
      <c r="G78" s="1520">
        <v>41791.033115370003</v>
      </c>
      <c r="H78" s="232"/>
      <c r="I78" s="1520">
        <v>2092.5227527973998</v>
      </c>
      <c r="J78" s="107"/>
      <c r="K78" s="1520">
        <v>41.791033115370006</v>
      </c>
      <c r="L78" s="106" t="s">
        <v>1341</v>
      </c>
      <c r="M78" s="1520">
        <v>41.850455055947997</v>
      </c>
      <c r="N78" s="232" t="s">
        <v>836</v>
      </c>
      <c r="O78" s="1520">
        <v>131.43662426921401</v>
      </c>
      <c r="P78" s="232" t="s">
        <v>836</v>
      </c>
      <c r="Q78" s="1520">
        <f t="shared" si="38"/>
        <v>9.499283299456831</v>
      </c>
      <c r="R78" s="232" t="s">
        <v>836</v>
      </c>
      <c r="S78" s="1656">
        <f t="shared" si="41"/>
        <v>9.4992832994568306E-6</v>
      </c>
      <c r="T78" s="232" t="s">
        <v>836</v>
      </c>
      <c r="U78" s="1657">
        <f t="shared" si="42"/>
        <v>3.4830705431341715E-5</v>
      </c>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row>
    <row r="79" spans="1:81" ht="15.75" customHeight="1" x14ac:dyDescent="0.25">
      <c r="A79" s="4"/>
      <c r="B79" s="164" t="s">
        <v>1447</v>
      </c>
      <c r="C79" s="1603"/>
      <c r="D79" s="106"/>
      <c r="E79" s="1520"/>
      <c r="F79" s="107"/>
      <c r="G79" s="1520"/>
      <c r="H79" s="232"/>
      <c r="I79" s="1520"/>
      <c r="J79" s="107"/>
      <c r="K79" s="1520" t="s">
        <v>1509</v>
      </c>
      <c r="L79" s="106"/>
      <c r="M79" s="1520"/>
      <c r="N79" s="232"/>
      <c r="O79" s="1520"/>
      <c r="P79" s="232"/>
      <c r="Q79" s="1520"/>
      <c r="R79" s="232"/>
      <c r="S79" s="1520"/>
      <c r="T79" s="232"/>
      <c r="U79" s="1658"/>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row>
    <row r="80" spans="1:81" ht="15.75" customHeight="1" x14ac:dyDescent="0.25">
      <c r="A80" s="4"/>
      <c r="B80" s="781" t="s">
        <v>1492</v>
      </c>
      <c r="C80" s="1659"/>
      <c r="D80" s="1640"/>
      <c r="E80" s="1642"/>
      <c r="F80" s="1660"/>
      <c r="G80" s="1642"/>
      <c r="H80" s="1661"/>
      <c r="I80" s="1642"/>
      <c r="J80" s="1660"/>
      <c r="K80" s="1642"/>
      <c r="L80" s="1640"/>
      <c r="M80" s="1642"/>
      <c r="N80" s="1661"/>
      <c r="O80" s="1642"/>
      <c r="P80" s="1661"/>
      <c r="Q80" s="1520"/>
      <c r="R80" s="1661"/>
      <c r="S80" s="1642"/>
      <c r="T80" s="1661"/>
      <c r="U80" s="1662"/>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row>
    <row r="81" spans="1:81" ht="15.75" customHeight="1" x14ac:dyDescent="0.25">
      <c r="A81" s="4"/>
      <c r="B81" s="781" t="s">
        <v>1493</v>
      </c>
      <c r="C81" s="1600">
        <v>2292</v>
      </c>
      <c r="D81" s="106"/>
      <c r="E81" s="1520">
        <v>1249850.52</v>
      </c>
      <c r="F81" s="107"/>
      <c r="G81" s="1520">
        <v>62492.526000000005</v>
      </c>
      <c r="H81" s="232"/>
      <c r="I81" s="1520">
        <v>1187357.9939999999</v>
      </c>
      <c r="J81" s="107"/>
      <c r="K81" s="1520">
        <v>62.492526000000005</v>
      </c>
      <c r="L81" s="106" t="s">
        <v>1341</v>
      </c>
      <c r="M81" s="1520">
        <v>5936.7899699999998</v>
      </c>
      <c r="N81" s="232" t="s">
        <v>836</v>
      </c>
      <c r="O81" s="1520">
        <v>9427.4439222857145</v>
      </c>
      <c r="P81" s="232" t="s">
        <v>836</v>
      </c>
      <c r="Q81" s="1520">
        <f t="shared" si="38"/>
        <v>681.3470834742858</v>
      </c>
      <c r="R81" s="232" t="s">
        <v>836</v>
      </c>
      <c r="S81" s="1656">
        <f t="shared" ref="S81:S85" si="43">Q81/10^6</f>
        <v>6.8134708347428576E-4</v>
      </c>
      <c r="T81" s="232" t="s">
        <v>836</v>
      </c>
      <c r="U81" s="1657">
        <f t="shared" ref="U81:U85" si="44">S81/(12/44)</f>
        <v>2.4982726394057147E-3</v>
      </c>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row>
    <row r="82" spans="1:81" ht="15.75" customHeight="1" x14ac:dyDescent="0.25">
      <c r="A82" s="4"/>
      <c r="B82" s="781" t="s">
        <v>1494</v>
      </c>
      <c r="C82" s="1600">
        <v>184</v>
      </c>
      <c r="D82" s="106"/>
      <c r="E82" s="1520">
        <v>74950.559999999998</v>
      </c>
      <c r="F82" s="107"/>
      <c r="G82" s="1520">
        <v>3747.5280000000002</v>
      </c>
      <c r="H82" s="232"/>
      <c r="I82" s="1520">
        <v>71203.031999999992</v>
      </c>
      <c r="J82" s="107"/>
      <c r="K82" s="1520">
        <v>3.7475280000000004</v>
      </c>
      <c r="L82" s="106" t="s">
        <v>1341</v>
      </c>
      <c r="M82" s="1520">
        <v>356.01515999999998</v>
      </c>
      <c r="N82" s="232" t="s">
        <v>836</v>
      </c>
      <c r="O82" s="1520">
        <v>565.34136685714282</v>
      </c>
      <c r="P82" s="232" t="s">
        <v>836</v>
      </c>
      <c r="Q82" s="1520">
        <f t="shared" si="38"/>
        <v>40.85876242285714</v>
      </c>
      <c r="R82" s="232" t="s">
        <v>836</v>
      </c>
      <c r="S82" s="1656">
        <f t="shared" si="43"/>
        <v>4.0858762422857142E-5</v>
      </c>
      <c r="T82" s="232" t="s">
        <v>836</v>
      </c>
      <c r="U82" s="1657">
        <f t="shared" si="44"/>
        <v>1.4981546221714287E-4</v>
      </c>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row>
    <row r="83" spans="1:81" ht="15.75" customHeight="1" x14ac:dyDescent="0.25">
      <c r="A83" s="4"/>
      <c r="B83" s="781" t="s">
        <v>1495</v>
      </c>
      <c r="C83" s="1600">
        <v>12</v>
      </c>
      <c r="D83" s="106"/>
      <c r="E83" s="1520">
        <v>6543.72</v>
      </c>
      <c r="F83" s="107"/>
      <c r="G83" s="1520">
        <v>327.18600000000004</v>
      </c>
      <c r="H83" s="232"/>
      <c r="I83" s="1520">
        <v>6216.5339999999997</v>
      </c>
      <c r="J83" s="107"/>
      <c r="K83" s="1520">
        <v>0.32718600000000003</v>
      </c>
      <c r="L83" s="106" t="s">
        <v>1341</v>
      </c>
      <c r="M83" s="1520">
        <v>31.08267</v>
      </c>
      <c r="N83" s="232" t="s">
        <v>836</v>
      </c>
      <c r="O83" s="1520">
        <v>49.358345142857146</v>
      </c>
      <c r="P83" s="232" t="s">
        <v>836</v>
      </c>
      <c r="Q83" s="1520">
        <f t="shared" si="38"/>
        <v>3.5672622171428574</v>
      </c>
      <c r="R83" s="232" t="s">
        <v>836</v>
      </c>
      <c r="S83" s="1656">
        <f t="shared" si="43"/>
        <v>3.5672622171428574E-6</v>
      </c>
      <c r="T83" s="232" t="s">
        <v>836</v>
      </c>
      <c r="U83" s="1657">
        <f t="shared" si="44"/>
        <v>1.3079961462857144E-5</v>
      </c>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row>
    <row r="84" spans="1:81" ht="15.75" customHeight="1" x14ac:dyDescent="0.25">
      <c r="A84" s="4"/>
      <c r="B84" s="781" t="s">
        <v>1496</v>
      </c>
      <c r="C84" s="1600">
        <v>53072.7</v>
      </c>
      <c r="D84" s="106"/>
      <c r="E84" s="1520">
        <v>19177820.145000003</v>
      </c>
      <c r="F84" s="107"/>
      <c r="G84" s="1520" t="s">
        <v>944</v>
      </c>
      <c r="H84" s="232"/>
      <c r="I84" s="1520">
        <v>19177820.145000003</v>
      </c>
      <c r="J84" s="107"/>
      <c r="K84" s="1520" t="s">
        <v>944</v>
      </c>
      <c r="L84" s="106" t="s">
        <v>1341</v>
      </c>
      <c r="M84" s="1520">
        <v>383556.40290000004</v>
      </c>
      <c r="N84" s="232" t="s">
        <v>836</v>
      </c>
      <c r="O84" s="1520">
        <v>602731.4902714286</v>
      </c>
      <c r="P84" s="232" t="s">
        <v>836</v>
      </c>
      <c r="Q84" s="1520">
        <f t="shared" si="38"/>
        <v>43561.048615071428</v>
      </c>
      <c r="R84" s="232" t="s">
        <v>836</v>
      </c>
      <c r="S84" s="1656">
        <f t="shared" si="43"/>
        <v>4.3561048615071429E-2</v>
      </c>
      <c r="T84" s="232" t="s">
        <v>836</v>
      </c>
      <c r="U84" s="1657">
        <f t="shared" si="44"/>
        <v>0.15972384492192859</v>
      </c>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row>
    <row r="85" spans="1:81" ht="15.75" customHeight="1" x14ac:dyDescent="0.25">
      <c r="A85" s="4"/>
      <c r="B85" s="781" t="s">
        <v>1497</v>
      </c>
      <c r="C85" s="1600">
        <v>704</v>
      </c>
      <c r="D85" s="106"/>
      <c r="E85" s="1520">
        <v>1293022.72</v>
      </c>
      <c r="F85" s="107"/>
      <c r="G85" s="1520" t="s">
        <v>944</v>
      </c>
      <c r="H85" s="232"/>
      <c r="I85" s="1520">
        <v>1293022.72</v>
      </c>
      <c r="J85" s="107"/>
      <c r="K85" s="1520" t="s">
        <v>944</v>
      </c>
      <c r="L85" s="106" t="s">
        <v>1341</v>
      </c>
      <c r="M85" s="1520">
        <v>25860.454399999999</v>
      </c>
      <c r="N85" s="232" t="s">
        <v>836</v>
      </c>
      <c r="O85" s="1520">
        <v>40637.856914285709</v>
      </c>
      <c r="P85" s="232" t="s">
        <v>836</v>
      </c>
      <c r="Q85" s="1520">
        <f t="shared" si="38"/>
        <v>2937.0087497142854</v>
      </c>
      <c r="R85" s="232" t="s">
        <v>836</v>
      </c>
      <c r="S85" s="1656">
        <f t="shared" si="43"/>
        <v>2.9370087497142855E-3</v>
      </c>
      <c r="T85" s="232" t="s">
        <v>836</v>
      </c>
      <c r="U85" s="1657">
        <f t="shared" si="44"/>
        <v>1.0769032082285714E-2</v>
      </c>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row>
    <row r="86" spans="1:81" ht="15.75" customHeight="1" x14ac:dyDescent="0.25">
      <c r="A86" s="4"/>
      <c r="B86" s="164" t="s">
        <v>716</v>
      </c>
      <c r="C86" s="1603"/>
      <c r="D86" s="106"/>
      <c r="E86" s="1520"/>
      <c r="F86" s="107"/>
      <c r="G86" s="1520"/>
      <c r="H86" s="232"/>
      <c r="I86" s="1520"/>
      <c r="J86" s="107"/>
      <c r="K86" s="1520" t="s">
        <v>1509</v>
      </c>
      <c r="L86" s="106"/>
      <c r="M86" s="1520"/>
      <c r="N86" s="232"/>
      <c r="O86" s="1520"/>
      <c r="P86" s="232"/>
      <c r="Q86" s="1520"/>
      <c r="R86" s="232"/>
      <c r="S86" s="1520"/>
      <c r="T86" s="232"/>
      <c r="U86" s="1658"/>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row>
    <row r="87" spans="1:81" ht="15.75" customHeight="1" x14ac:dyDescent="0.25">
      <c r="A87" s="4"/>
      <c r="B87" s="781" t="s">
        <v>1498</v>
      </c>
      <c r="C87" s="1600">
        <v>0</v>
      </c>
      <c r="D87" s="106"/>
      <c r="E87" s="1520">
        <v>0</v>
      </c>
      <c r="F87" s="107"/>
      <c r="G87" s="1520" t="s">
        <v>944</v>
      </c>
      <c r="H87" s="232"/>
      <c r="I87" s="1520">
        <v>0</v>
      </c>
      <c r="J87" s="107"/>
      <c r="K87" s="1520" t="s">
        <v>944</v>
      </c>
      <c r="L87" s="106" t="s">
        <v>1341</v>
      </c>
      <c r="M87" s="1520">
        <v>0</v>
      </c>
      <c r="N87" s="232" t="s">
        <v>836</v>
      </c>
      <c r="O87" s="1520">
        <v>0</v>
      </c>
      <c r="P87" s="232" t="s">
        <v>836</v>
      </c>
      <c r="Q87" s="1520">
        <f t="shared" si="38"/>
        <v>0</v>
      </c>
      <c r="R87" s="232" t="s">
        <v>836</v>
      </c>
      <c r="S87" s="1656">
        <f t="shared" ref="S87:S89" si="45">Q87/10^6</f>
        <v>0</v>
      </c>
      <c r="T87" s="232" t="s">
        <v>836</v>
      </c>
      <c r="U87" s="1657">
        <f t="shared" ref="U87:U89" si="46">S87/(12/44)</f>
        <v>0</v>
      </c>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row>
    <row r="88" spans="1:81" ht="15.75" customHeight="1" x14ac:dyDescent="0.25">
      <c r="A88" s="4"/>
      <c r="B88" s="781" t="s">
        <v>1499</v>
      </c>
      <c r="C88" s="1602">
        <v>24</v>
      </c>
      <c r="D88" s="106"/>
      <c r="E88" s="1520">
        <v>294336</v>
      </c>
      <c r="F88" s="107"/>
      <c r="G88" s="1520" t="s">
        <v>944</v>
      </c>
      <c r="H88" s="232"/>
      <c r="I88" s="1520">
        <v>0</v>
      </c>
      <c r="J88" s="107"/>
      <c r="K88" s="1520" t="s">
        <v>944</v>
      </c>
      <c r="L88" s="106" t="s">
        <v>1341</v>
      </c>
      <c r="M88" s="1520">
        <v>0</v>
      </c>
      <c r="N88" s="232" t="s">
        <v>836</v>
      </c>
      <c r="O88" s="1520">
        <v>0</v>
      </c>
      <c r="P88" s="232" t="s">
        <v>836</v>
      </c>
      <c r="Q88" s="1520">
        <f t="shared" si="38"/>
        <v>0</v>
      </c>
      <c r="R88" s="232" t="s">
        <v>836</v>
      </c>
      <c r="S88" s="1656">
        <f t="shared" si="45"/>
        <v>0</v>
      </c>
      <c r="T88" s="232" t="s">
        <v>836</v>
      </c>
      <c r="U88" s="1657">
        <f t="shared" si="46"/>
        <v>0</v>
      </c>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row>
    <row r="89" spans="1:81" ht="15.75" customHeight="1" x14ac:dyDescent="0.25">
      <c r="A89" s="4"/>
      <c r="B89" s="1362" t="s">
        <v>1473</v>
      </c>
      <c r="C89" s="1663" t="s">
        <v>1509</v>
      </c>
      <c r="D89" s="564"/>
      <c r="E89" s="1664">
        <v>30118367.229000006</v>
      </c>
      <c r="F89" s="564"/>
      <c r="G89" s="1664">
        <v>1908275.4229409834</v>
      </c>
      <c r="H89" s="564"/>
      <c r="I89" s="1664">
        <v>24501558.333355505</v>
      </c>
      <c r="J89" s="1432"/>
      <c r="K89" s="1664">
        <v>1908.2754229409841</v>
      </c>
      <c r="L89" s="1665"/>
      <c r="M89" s="1664">
        <v>471059.50326711009</v>
      </c>
      <c r="N89" s="1432"/>
      <c r="O89" s="1664">
        <v>742687.14847622463</v>
      </c>
      <c r="P89" s="1432"/>
      <c r="Q89" s="1664">
        <f>SUM(Q68:Q88)</f>
        <v>53676.025730781694</v>
      </c>
      <c r="R89" s="1432"/>
      <c r="S89" s="1666">
        <f t="shared" si="45"/>
        <v>5.3676025730781694E-2</v>
      </c>
      <c r="T89" s="1432"/>
      <c r="U89" s="1667">
        <f t="shared" si="46"/>
        <v>0.19681209434619956</v>
      </c>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row>
    <row r="90" spans="1:81" ht="15.75" customHeight="1" x14ac:dyDescent="0.25">
      <c r="A90" s="39"/>
      <c r="B90" s="1364"/>
      <c r="C90" s="1668"/>
      <c r="D90" s="1668"/>
      <c r="E90" s="1668"/>
      <c r="F90" s="1668"/>
      <c r="G90" s="1669"/>
      <c r="H90" s="167"/>
      <c r="I90" s="1670"/>
      <c r="J90" s="167"/>
      <c r="K90" s="1671"/>
      <c r="L90" s="110"/>
      <c r="M90" s="1671"/>
      <c r="N90" s="110"/>
      <c r="O90" s="110"/>
      <c r="P90" s="110"/>
      <c r="Q90" s="110"/>
      <c r="R90" s="110"/>
      <c r="S90" s="110"/>
      <c r="T90" s="110"/>
      <c r="U90" s="112"/>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row>
    <row r="91" spans="1:81" ht="15.75" customHeight="1" x14ac:dyDescent="0.25">
      <c r="A91" s="4"/>
      <c r="B91" s="1"/>
      <c r="C91" s="1030"/>
      <c r="D91" s="1030"/>
      <c r="E91" s="1030"/>
      <c r="F91" s="1030"/>
      <c r="G91" s="540"/>
      <c r="H91" s="42"/>
      <c r="I91" s="1046"/>
      <c r="J91" s="42"/>
      <c r="K91" s="1045"/>
      <c r="L91" s="4"/>
      <c r="M91" s="1045"/>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row>
    <row r="92" spans="1:81" ht="15.75" customHeight="1" x14ac:dyDescent="0.25">
      <c r="A92" s="4"/>
      <c r="B92" s="1"/>
      <c r="C92" s="1030"/>
      <c r="D92" s="1030"/>
      <c r="E92" s="1030"/>
      <c r="F92" s="1030"/>
      <c r="G92" s="540"/>
      <c r="H92" s="42"/>
      <c r="I92" s="1046"/>
      <c r="J92" s="42"/>
      <c r="K92" s="1045"/>
      <c r="L92" s="4"/>
      <c r="M92" s="1045"/>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row>
    <row r="93" spans="1:81" ht="15.75" customHeight="1" x14ac:dyDescent="0.25">
      <c r="A93" s="4"/>
      <c r="B93" s="1672" t="s">
        <v>1510</v>
      </c>
      <c r="C93" s="1673"/>
      <c r="D93" s="1673"/>
      <c r="E93" s="1673"/>
      <c r="F93" s="1674"/>
      <c r="G93" s="1675"/>
      <c r="H93" s="1676"/>
      <c r="I93" s="1677"/>
      <c r="J93" s="1676"/>
      <c r="K93" s="1678"/>
      <c r="L93" s="1679"/>
      <c r="M93" s="1678"/>
      <c r="N93" s="1679"/>
      <c r="O93" s="1679"/>
      <c r="P93" s="1679"/>
      <c r="Q93" s="1679"/>
      <c r="R93" s="1679"/>
      <c r="S93" s="1679"/>
      <c r="T93" s="1679"/>
      <c r="U93" s="1679"/>
      <c r="V93" s="1679"/>
      <c r="W93" s="1679"/>
      <c r="X93" s="1679"/>
      <c r="Y93" s="1679"/>
      <c r="Z93" s="1679"/>
      <c r="AA93" s="1679"/>
      <c r="AB93" s="1679"/>
      <c r="AC93" s="1679"/>
      <c r="AD93" s="1679"/>
      <c r="AE93" s="1680"/>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row>
    <row r="94" spans="1:81" ht="15.75" customHeight="1" x14ac:dyDescent="0.25">
      <c r="A94" s="4"/>
      <c r="B94" s="602" t="s">
        <v>1511</v>
      </c>
      <c r="C94" s="4"/>
      <c r="D94" s="4"/>
      <c r="E94" s="4"/>
      <c r="F94" s="4"/>
      <c r="G94" s="39"/>
      <c r="H94" s="39"/>
      <c r="I94" s="39"/>
      <c r="J94" s="39"/>
      <c r="K94" s="39"/>
      <c r="L94" s="39"/>
      <c r="M94" s="905"/>
      <c r="N94" s="39"/>
      <c r="O94" s="39"/>
      <c r="P94" s="1681"/>
      <c r="Q94" s="39"/>
      <c r="R94" s="39"/>
      <c r="S94" s="39"/>
      <c r="T94" s="39"/>
      <c r="U94" s="39"/>
      <c r="V94" s="39"/>
      <c r="W94" s="39"/>
      <c r="X94" s="39"/>
      <c r="Y94" s="39"/>
      <c r="Z94" s="39"/>
      <c r="AA94" s="39"/>
      <c r="AB94" s="39"/>
      <c r="AC94" s="39"/>
      <c r="AD94" s="39"/>
      <c r="AE94" s="17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row>
    <row r="95" spans="1:81" ht="60" customHeight="1" x14ac:dyDescent="0.25">
      <c r="A95" s="4"/>
      <c r="B95" s="1682"/>
      <c r="C95" s="1683" t="s">
        <v>657</v>
      </c>
      <c r="D95" s="1683"/>
      <c r="E95" s="1683" t="s">
        <v>1512</v>
      </c>
      <c r="F95" s="1683"/>
      <c r="G95" s="1683" t="s">
        <v>1513</v>
      </c>
      <c r="H95" s="1684"/>
      <c r="I95" s="1683" t="s">
        <v>1514</v>
      </c>
      <c r="J95" s="1684"/>
      <c r="K95" s="1683" t="s">
        <v>1515</v>
      </c>
      <c r="L95" s="1683"/>
      <c r="M95" s="1683" t="s">
        <v>1516</v>
      </c>
      <c r="N95" s="1685"/>
      <c r="O95" s="1683" t="s">
        <v>1517</v>
      </c>
      <c r="P95" s="1683"/>
      <c r="Q95" s="1683" t="s">
        <v>1518</v>
      </c>
      <c r="R95" s="1684"/>
      <c r="S95" s="1683" t="s">
        <v>1519</v>
      </c>
      <c r="T95" s="1683"/>
      <c r="U95" s="1683" t="s">
        <v>1520</v>
      </c>
      <c r="V95" s="1684"/>
      <c r="W95" s="1683" t="s">
        <v>1521</v>
      </c>
      <c r="X95" s="1297"/>
      <c r="Y95" s="656"/>
      <c r="Z95" s="1686" t="s">
        <v>1522</v>
      </c>
      <c r="AA95" s="1683" t="s">
        <v>1523</v>
      </c>
      <c r="AB95" s="656"/>
      <c r="AC95" s="1687" t="s">
        <v>1524</v>
      </c>
      <c r="AD95" s="656"/>
      <c r="AE95" s="1688" t="s">
        <v>1525</v>
      </c>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row>
    <row r="96" spans="1:81" ht="15.75" customHeight="1" x14ac:dyDescent="0.25">
      <c r="A96" s="4"/>
      <c r="B96" s="1689" t="s">
        <v>1526</v>
      </c>
      <c r="C96" s="1690" t="s">
        <v>1527</v>
      </c>
      <c r="D96" s="1509"/>
      <c r="E96" s="1691">
        <v>140</v>
      </c>
      <c r="F96" s="1692"/>
      <c r="G96" s="1693" t="s">
        <v>944</v>
      </c>
      <c r="H96" s="100"/>
      <c r="I96" s="100">
        <v>0</v>
      </c>
      <c r="J96" s="100"/>
      <c r="K96" s="1694">
        <f>E96*0.9072*1000</f>
        <v>127008</v>
      </c>
      <c r="L96" s="1695"/>
      <c r="M96" s="100">
        <v>0.85</v>
      </c>
      <c r="N96" s="100"/>
      <c r="O96" s="100">
        <v>0</v>
      </c>
      <c r="P96" s="100"/>
      <c r="Q96" s="100" t="s">
        <v>944</v>
      </c>
      <c r="R96" s="100"/>
      <c r="S96" s="1694" t="s">
        <v>944</v>
      </c>
      <c r="T96" s="162"/>
      <c r="U96" s="100">
        <v>0.03</v>
      </c>
      <c r="V96" s="100"/>
      <c r="W96" s="1694">
        <f>(K96*1000)*(1+I96)*M96*U96</f>
        <v>3238704</v>
      </c>
      <c r="X96" s="100"/>
      <c r="Y96" s="1696" t="s">
        <v>1528</v>
      </c>
      <c r="Z96" s="162">
        <v>0.01</v>
      </c>
      <c r="AA96" s="1697">
        <f>S117/1000*Z96*44/28</f>
        <v>422.23715421701729</v>
      </c>
      <c r="AB96" s="100"/>
      <c r="AC96" s="1698">
        <f>AA96*$AG$8*12/44*10^-6</f>
        <v>3.0516230691138971E-2</v>
      </c>
      <c r="AD96" s="100"/>
      <c r="AE96" s="1699">
        <f t="shared" ref="AE96:AE97" si="47">AC96/(12/44)</f>
        <v>0.11189284586750957</v>
      </c>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row>
    <row r="97" spans="1:81" ht="15.75" customHeight="1" x14ac:dyDescent="0.25">
      <c r="A97" s="4"/>
      <c r="B97" s="104" t="s">
        <v>1529</v>
      </c>
      <c r="C97" s="1700" t="s">
        <v>1530</v>
      </c>
      <c r="D97" s="1700"/>
      <c r="E97" s="1701">
        <v>46870</v>
      </c>
      <c r="F97" s="107"/>
      <c r="G97" s="1166">
        <v>2.5401147108E-2</v>
      </c>
      <c r="H97" s="107"/>
      <c r="I97" s="107">
        <v>1</v>
      </c>
      <c r="J97" s="107"/>
      <c r="K97" s="1520">
        <f t="shared" ref="K97:K103" si="48">E97*1000*G97</f>
        <v>1190551.76495196</v>
      </c>
      <c r="L97" s="1520"/>
      <c r="M97" s="107">
        <v>0.91</v>
      </c>
      <c r="N97" s="107"/>
      <c r="O97" s="107">
        <v>0.9</v>
      </c>
      <c r="P97" s="107"/>
      <c r="Q97" s="107">
        <v>5.7999999999999996E-3</v>
      </c>
      <c r="R97" s="107"/>
      <c r="S97" s="1520">
        <f t="shared" ref="S97:S111" si="49">(K97*1000)*I97*M97*O97*Q97</f>
        <v>5655358.9938747985</v>
      </c>
      <c r="T97" s="106"/>
      <c r="U97" s="107">
        <v>0.03</v>
      </c>
      <c r="V97" s="107"/>
      <c r="W97" s="1520" t="s">
        <v>944</v>
      </c>
      <c r="X97" s="107"/>
      <c r="Y97" s="1702" t="s">
        <v>1531</v>
      </c>
      <c r="Z97" s="106">
        <v>0.01</v>
      </c>
      <c r="AA97" s="1703">
        <f>W117/1000*Z97*44/28</f>
        <v>670.39496110002494</v>
      </c>
      <c r="AB97" s="107"/>
      <c r="AC97" s="1704">
        <f>AA97*$AG$8*12/44*10^-6</f>
        <v>4.8451272188592708E-2</v>
      </c>
      <c r="AD97" s="107"/>
      <c r="AE97" s="1705">
        <f t="shared" si="47"/>
        <v>0.17765466469150662</v>
      </c>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row>
    <row r="98" spans="1:81" ht="15.75" customHeight="1" x14ac:dyDescent="0.25">
      <c r="A98" s="4"/>
      <c r="B98" s="104" t="s">
        <v>1532</v>
      </c>
      <c r="C98" s="1700" t="s">
        <v>1530</v>
      </c>
      <c r="D98" s="1700"/>
      <c r="E98" s="1701">
        <v>12540</v>
      </c>
      <c r="F98" s="107"/>
      <c r="G98" s="1166">
        <v>2.7215442853E-2</v>
      </c>
      <c r="H98" s="107"/>
      <c r="I98" s="107">
        <v>1.3</v>
      </c>
      <c r="J98" s="107"/>
      <c r="K98" s="1520">
        <f t="shared" si="48"/>
        <v>341281.65337661997</v>
      </c>
      <c r="L98" s="1520"/>
      <c r="M98" s="107">
        <v>0.93</v>
      </c>
      <c r="N98" s="107"/>
      <c r="O98" s="107">
        <v>0.9</v>
      </c>
      <c r="P98" s="107"/>
      <c r="Q98" s="107">
        <v>6.1999999999999998E-3</v>
      </c>
      <c r="R98" s="107"/>
      <c r="S98" s="1520">
        <f t="shared" si="49"/>
        <v>2302361.1156424214</v>
      </c>
      <c r="T98" s="106"/>
      <c r="U98" s="107">
        <v>0.03</v>
      </c>
      <c r="V98" s="107"/>
      <c r="W98" s="1520" t="s">
        <v>944</v>
      </c>
      <c r="X98" s="107"/>
      <c r="Y98" s="105"/>
      <c r="Z98" s="1428"/>
      <c r="AA98" s="107"/>
      <c r="AB98" s="107"/>
      <c r="AC98" s="107"/>
      <c r="AD98" s="107"/>
      <c r="AE98" s="108"/>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row>
    <row r="99" spans="1:81" ht="15.75" customHeight="1" x14ac:dyDescent="0.25">
      <c r="A99" s="4"/>
      <c r="B99" s="104" t="s">
        <v>1533</v>
      </c>
      <c r="C99" s="1700" t="s">
        <v>1530</v>
      </c>
      <c r="D99" s="1700"/>
      <c r="E99" s="1701">
        <v>2880</v>
      </c>
      <c r="F99" s="107"/>
      <c r="G99" s="1166">
        <v>2.1772E-2</v>
      </c>
      <c r="H99" s="107"/>
      <c r="I99" s="107">
        <v>1.2</v>
      </c>
      <c r="J99" s="107"/>
      <c r="K99" s="1520">
        <f t="shared" si="48"/>
        <v>62703.360000000001</v>
      </c>
      <c r="L99" s="1520"/>
      <c r="M99" s="107">
        <v>0.93</v>
      </c>
      <c r="N99" s="107"/>
      <c r="O99" s="107">
        <v>0.9</v>
      </c>
      <c r="P99" s="107"/>
      <c r="Q99" s="107">
        <v>7.7000000000000002E-3</v>
      </c>
      <c r="R99" s="107"/>
      <c r="S99" s="1520">
        <f t="shared" si="49"/>
        <v>484940.26183680008</v>
      </c>
      <c r="T99" s="106"/>
      <c r="U99" s="107">
        <v>0.03</v>
      </c>
      <c r="V99" s="107"/>
      <c r="W99" s="1520" t="s">
        <v>944</v>
      </c>
      <c r="X99" s="107"/>
      <c r="Y99" s="107"/>
      <c r="Z99" s="1428"/>
      <c r="AA99" s="107"/>
      <c r="AB99" s="107"/>
      <c r="AC99" s="107"/>
      <c r="AD99" s="107"/>
      <c r="AE99" s="108"/>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row>
    <row r="100" spans="1:81" ht="15.75" customHeight="1" x14ac:dyDescent="0.25">
      <c r="A100" s="4"/>
      <c r="B100" s="104" t="s">
        <v>1534</v>
      </c>
      <c r="C100" s="1700" t="s">
        <v>1530</v>
      </c>
      <c r="D100" s="1700"/>
      <c r="E100" s="1701">
        <v>0</v>
      </c>
      <c r="F100" s="107"/>
      <c r="G100" s="1166">
        <v>2.5401169512752383E-2</v>
      </c>
      <c r="H100" s="107"/>
      <c r="I100" s="107">
        <v>1.4</v>
      </c>
      <c r="J100" s="107"/>
      <c r="K100" s="1520">
        <f t="shared" si="48"/>
        <v>0</v>
      </c>
      <c r="L100" s="1520"/>
      <c r="M100" s="107">
        <v>0.91</v>
      </c>
      <c r="N100" s="107"/>
      <c r="O100" s="107">
        <v>0.9</v>
      </c>
      <c r="P100" s="107"/>
      <c r="Q100" s="107">
        <v>1.0800000000000001E-2</v>
      </c>
      <c r="R100" s="107"/>
      <c r="S100" s="1520">
        <f t="shared" si="49"/>
        <v>0</v>
      </c>
      <c r="T100" s="106"/>
      <c r="U100" s="107">
        <v>0.03</v>
      </c>
      <c r="V100" s="107"/>
      <c r="W100" s="1520" t="s">
        <v>944</v>
      </c>
      <c r="X100" s="107"/>
      <c r="Y100" s="107"/>
      <c r="Z100" s="1428"/>
      <c r="AA100" s="107"/>
      <c r="AB100" s="107"/>
      <c r="AC100" s="107"/>
      <c r="AD100" s="107"/>
      <c r="AE100" s="108"/>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row>
    <row r="101" spans="1:81" ht="15.75" customHeight="1" x14ac:dyDescent="0.25">
      <c r="A101" s="4"/>
      <c r="B101" s="104" t="s">
        <v>1535</v>
      </c>
      <c r="C101" s="1700" t="s">
        <v>1530</v>
      </c>
      <c r="D101" s="1700"/>
      <c r="E101" s="1701">
        <v>0</v>
      </c>
      <c r="F101" s="107"/>
      <c r="G101" s="1166">
        <v>1.4514959222223263E-2</v>
      </c>
      <c r="H101" s="107"/>
      <c r="I101" s="107">
        <v>1.3</v>
      </c>
      <c r="J101" s="107"/>
      <c r="K101" s="1520">
        <f t="shared" si="48"/>
        <v>0</v>
      </c>
      <c r="L101" s="1520"/>
      <c r="M101" s="107">
        <v>0.92</v>
      </c>
      <c r="N101" s="107"/>
      <c r="O101" s="107">
        <v>0.9</v>
      </c>
      <c r="P101" s="107"/>
      <c r="Q101" s="107">
        <v>7.0000000000000001E-3</v>
      </c>
      <c r="R101" s="107"/>
      <c r="S101" s="1520">
        <f t="shared" si="49"/>
        <v>0</v>
      </c>
      <c r="T101" s="106"/>
      <c r="U101" s="107">
        <v>0.03</v>
      </c>
      <c r="V101" s="107"/>
      <c r="W101" s="1520" t="s">
        <v>944</v>
      </c>
      <c r="X101" s="107"/>
      <c r="Y101" s="107"/>
      <c r="Z101" s="1428"/>
      <c r="AA101" s="107"/>
      <c r="AB101" s="107"/>
      <c r="AC101" s="107"/>
      <c r="AD101" s="107"/>
      <c r="AE101" s="108"/>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row>
    <row r="102" spans="1:81" ht="15.75" customHeight="1" x14ac:dyDescent="0.25">
      <c r="A102" s="4"/>
      <c r="B102" s="104" t="s">
        <v>1536</v>
      </c>
      <c r="C102" s="1700" t="s">
        <v>1530</v>
      </c>
      <c r="D102" s="1700"/>
      <c r="E102" s="1701">
        <v>0</v>
      </c>
      <c r="F102" s="107"/>
      <c r="G102" s="1166">
        <v>2.5401046494036766E-2</v>
      </c>
      <c r="H102" s="107"/>
      <c r="I102" s="107">
        <v>1.6</v>
      </c>
      <c r="J102" s="107"/>
      <c r="K102" s="1520">
        <f t="shared" si="48"/>
        <v>0</v>
      </c>
      <c r="L102" s="1520"/>
      <c r="M102" s="107">
        <v>0.9</v>
      </c>
      <c r="N102" s="107"/>
      <c r="O102" s="107">
        <v>0.9</v>
      </c>
      <c r="P102" s="107"/>
      <c r="Q102" s="107">
        <v>4.7999999999999996E-3</v>
      </c>
      <c r="R102" s="107"/>
      <c r="S102" s="1520">
        <f t="shared" si="49"/>
        <v>0</v>
      </c>
      <c r="T102" s="106"/>
      <c r="U102" s="107">
        <v>0.03</v>
      </c>
      <c r="V102" s="107"/>
      <c r="W102" s="1520" t="s">
        <v>944</v>
      </c>
      <c r="X102" s="107"/>
      <c r="Y102" s="107"/>
      <c r="Z102" s="1428"/>
      <c r="AA102" s="107"/>
      <c r="AB102" s="107"/>
      <c r="AC102" s="107"/>
      <c r="AD102" s="107"/>
      <c r="AE102" s="108"/>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row>
    <row r="103" spans="1:81" ht="15.75" customHeight="1" x14ac:dyDescent="0.25">
      <c r="A103" s="4"/>
      <c r="B103" s="104" t="s">
        <v>1537</v>
      </c>
      <c r="C103" s="1700" t="s">
        <v>1530</v>
      </c>
      <c r="D103" s="1700"/>
      <c r="E103" s="1706">
        <v>0</v>
      </c>
      <c r="F103" s="107"/>
      <c r="G103" s="1166">
        <v>2.7215E-2</v>
      </c>
      <c r="H103" s="107"/>
      <c r="I103" s="107">
        <v>1.4</v>
      </c>
      <c r="J103" s="107"/>
      <c r="K103" s="1520">
        <f t="shared" si="48"/>
        <v>0</v>
      </c>
      <c r="L103" s="106"/>
      <c r="M103" s="107">
        <v>0.89</v>
      </c>
      <c r="N103" s="107"/>
      <c r="O103" s="107">
        <v>0.89</v>
      </c>
      <c r="P103" s="107"/>
      <c r="Q103" s="107">
        <v>7.0000000000000001E-3</v>
      </c>
      <c r="R103" s="107"/>
      <c r="S103" s="1520">
        <f t="shared" si="49"/>
        <v>0</v>
      </c>
      <c r="T103" s="106"/>
      <c r="U103" s="107">
        <v>0.03</v>
      </c>
      <c r="V103" s="107"/>
      <c r="W103" s="1520" t="s">
        <v>944</v>
      </c>
      <c r="X103" s="107"/>
      <c r="Y103" s="107"/>
      <c r="Z103" s="1035"/>
      <c r="AA103" s="107"/>
      <c r="AB103" s="107"/>
      <c r="AC103" s="107"/>
      <c r="AD103" s="107"/>
      <c r="AE103" s="108"/>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row>
    <row r="104" spans="1:81" ht="30" customHeight="1" x14ac:dyDescent="0.25">
      <c r="A104" s="4"/>
      <c r="B104" s="104" t="s">
        <v>1538</v>
      </c>
      <c r="C104" s="1700" t="s">
        <v>1539</v>
      </c>
      <c r="D104" s="1700"/>
      <c r="E104" s="1701">
        <v>0</v>
      </c>
      <c r="F104" s="107"/>
      <c r="G104" s="1166" t="s">
        <v>944</v>
      </c>
      <c r="H104" s="107"/>
      <c r="I104" s="107">
        <v>1.4</v>
      </c>
      <c r="J104" s="107"/>
      <c r="K104" s="1520">
        <f>(E104*0.454)*100</f>
        <v>0</v>
      </c>
      <c r="L104" s="1520"/>
      <c r="M104" s="107">
        <v>0.91</v>
      </c>
      <c r="N104" s="107"/>
      <c r="O104" s="107">
        <v>1</v>
      </c>
      <c r="P104" s="107"/>
      <c r="Q104" s="107">
        <v>7.1999999999999998E-3</v>
      </c>
      <c r="R104" s="107"/>
      <c r="S104" s="1520">
        <f t="shared" si="49"/>
        <v>0</v>
      </c>
      <c r="T104" s="106"/>
      <c r="U104" s="107">
        <v>0.03</v>
      </c>
      <c r="V104" s="107"/>
      <c r="W104" s="1520" t="s">
        <v>944</v>
      </c>
      <c r="X104" s="107"/>
      <c r="Y104" s="107"/>
      <c r="Z104" s="1428"/>
      <c r="AA104" s="107"/>
      <c r="AB104" s="107"/>
      <c r="AC104" s="107"/>
      <c r="AD104" s="107"/>
      <c r="AE104" s="108"/>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row>
    <row r="105" spans="1:81" ht="15.75" customHeight="1" x14ac:dyDescent="0.25">
      <c r="A105" s="4"/>
      <c r="B105" s="104" t="s">
        <v>1540</v>
      </c>
      <c r="C105" s="1700" t="s">
        <v>1530</v>
      </c>
      <c r="D105" s="1700"/>
      <c r="E105" s="1701">
        <v>17903</v>
      </c>
      <c r="F105" s="107"/>
      <c r="G105" s="1166">
        <v>2.7215692074999999E-2</v>
      </c>
      <c r="H105" s="107"/>
      <c r="I105" s="107">
        <v>2.1</v>
      </c>
      <c r="J105" s="107"/>
      <c r="K105" s="1520">
        <f>E105*1000*G105</f>
        <v>487242.53521872498</v>
      </c>
      <c r="L105" s="1520"/>
      <c r="M105" s="107">
        <v>0.87</v>
      </c>
      <c r="N105" s="107"/>
      <c r="O105" s="107">
        <v>0.9</v>
      </c>
      <c r="P105" s="107"/>
      <c r="Q105" s="107">
        <v>2.3E-2</v>
      </c>
      <c r="R105" s="107"/>
      <c r="S105" s="1520">
        <f t="shared" si="49"/>
        <v>18426976.715183441</v>
      </c>
      <c r="T105" s="106"/>
      <c r="U105" s="107">
        <v>0.03</v>
      </c>
      <c r="V105" s="107"/>
      <c r="W105" s="1520">
        <f t="shared" ref="W105:W116" si="50">(K105*1000)*(1+I105)*M105*U105</f>
        <v>39422793.524547033</v>
      </c>
      <c r="X105" s="107"/>
      <c r="Y105" s="107"/>
      <c r="Z105" s="1428"/>
      <c r="AA105" s="107"/>
      <c r="AB105" s="107"/>
      <c r="AC105" s="107"/>
      <c r="AD105" s="107"/>
      <c r="AE105" s="108"/>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row>
    <row r="106" spans="1:81" ht="15.75" customHeight="1" x14ac:dyDescent="0.25">
      <c r="A106" s="4"/>
      <c r="B106" s="104" t="s">
        <v>1541</v>
      </c>
      <c r="C106" s="1700" t="s">
        <v>1542</v>
      </c>
      <c r="D106" s="1700"/>
      <c r="E106" s="1701">
        <v>0</v>
      </c>
      <c r="F106" s="107"/>
      <c r="G106" s="1166" t="s">
        <v>944</v>
      </c>
      <c r="H106" s="107"/>
      <c r="I106" s="107">
        <v>1</v>
      </c>
      <c r="J106" s="107"/>
      <c r="K106" s="1520">
        <f>(E106*1000/2000*0.9072)</f>
        <v>0</v>
      </c>
      <c r="L106" s="1520"/>
      <c r="M106" s="107">
        <v>0.86</v>
      </c>
      <c r="N106" s="107"/>
      <c r="O106" s="107">
        <v>0.9</v>
      </c>
      <c r="P106" s="107"/>
      <c r="Q106" s="107">
        <v>1.06E-2</v>
      </c>
      <c r="R106" s="107"/>
      <c r="S106" s="1520">
        <f t="shared" si="49"/>
        <v>0</v>
      </c>
      <c r="T106" s="106"/>
      <c r="U106" s="107">
        <v>0.03</v>
      </c>
      <c r="V106" s="107"/>
      <c r="W106" s="1520">
        <f t="shared" si="50"/>
        <v>0</v>
      </c>
      <c r="X106" s="107"/>
      <c r="Y106" s="107"/>
      <c r="Z106" s="1428"/>
      <c r="AA106" s="107"/>
      <c r="AB106" s="107"/>
      <c r="AC106" s="107"/>
      <c r="AD106" s="107"/>
      <c r="AE106" s="108"/>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row>
    <row r="107" spans="1:81" ht="30" customHeight="1" x14ac:dyDescent="0.25">
      <c r="A107" s="4"/>
      <c r="B107" s="104" t="s">
        <v>1543</v>
      </c>
      <c r="C107" s="1700" t="s">
        <v>1539</v>
      </c>
      <c r="D107" s="1700"/>
      <c r="E107" s="1701">
        <v>0</v>
      </c>
      <c r="F107" s="107"/>
      <c r="G107" s="1166" t="s">
        <v>944</v>
      </c>
      <c r="H107" s="107"/>
      <c r="I107" s="107">
        <v>2.1</v>
      </c>
      <c r="J107" s="107"/>
      <c r="K107" s="1520">
        <f t="shared" ref="K107:K111" si="51">(E107*0.454)*100</f>
        <v>0</v>
      </c>
      <c r="L107" s="1520"/>
      <c r="M107" s="107">
        <v>0.87</v>
      </c>
      <c r="N107" s="107"/>
      <c r="O107" s="107">
        <v>1.55</v>
      </c>
      <c r="P107" s="107"/>
      <c r="Q107" s="107">
        <v>1.6799999999999999E-2</v>
      </c>
      <c r="R107" s="107"/>
      <c r="S107" s="1520">
        <f t="shared" si="49"/>
        <v>0</v>
      </c>
      <c r="T107" s="106"/>
      <c r="U107" s="107">
        <v>0.03</v>
      </c>
      <c r="V107" s="107"/>
      <c r="W107" s="1520">
        <f t="shared" si="50"/>
        <v>0</v>
      </c>
      <c r="X107" s="107"/>
      <c r="Y107" s="107"/>
      <c r="Z107" s="1428"/>
      <c r="AA107" s="107"/>
      <c r="AB107" s="107"/>
      <c r="AC107" s="107"/>
      <c r="AD107" s="107"/>
      <c r="AE107" s="108"/>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row>
    <row r="108" spans="1:81" ht="30" customHeight="1" x14ac:dyDescent="0.25">
      <c r="A108" s="4"/>
      <c r="B108" s="104" t="s">
        <v>1544</v>
      </c>
      <c r="C108" s="1700" t="s">
        <v>1539</v>
      </c>
      <c r="D108" s="1700"/>
      <c r="E108" s="1701">
        <v>0</v>
      </c>
      <c r="F108" s="107"/>
      <c r="G108" s="1166" t="s">
        <v>944</v>
      </c>
      <c r="H108" s="107"/>
      <c r="I108" s="107">
        <v>1.5</v>
      </c>
      <c r="J108" s="107"/>
      <c r="K108" s="1520">
        <f t="shared" si="51"/>
        <v>0</v>
      </c>
      <c r="L108" s="1520"/>
      <c r="M108" s="107">
        <v>0.87</v>
      </c>
      <c r="N108" s="107"/>
      <c r="O108" s="107">
        <v>0.9</v>
      </c>
      <c r="P108" s="107"/>
      <c r="Q108" s="107">
        <v>1.6799999999999999E-2</v>
      </c>
      <c r="R108" s="107"/>
      <c r="S108" s="1520">
        <f t="shared" si="49"/>
        <v>0</v>
      </c>
      <c r="T108" s="106"/>
      <c r="U108" s="107">
        <v>0.03</v>
      </c>
      <c r="V108" s="107"/>
      <c r="W108" s="1520">
        <f t="shared" si="50"/>
        <v>0</v>
      </c>
      <c r="X108" s="107"/>
      <c r="Y108" s="107"/>
      <c r="Z108" s="1428"/>
      <c r="AA108" s="107"/>
      <c r="AB108" s="107"/>
      <c r="AC108" s="107"/>
      <c r="AD108" s="107"/>
      <c r="AE108" s="108"/>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row>
    <row r="109" spans="1:81" ht="30" customHeight="1" x14ac:dyDescent="0.25">
      <c r="A109" s="4"/>
      <c r="B109" s="1707" t="s">
        <v>1545</v>
      </c>
      <c r="C109" s="1700" t="s">
        <v>1539</v>
      </c>
      <c r="D109" s="1700"/>
      <c r="E109" s="1701">
        <v>0</v>
      </c>
      <c r="F109" s="107"/>
      <c r="G109" s="1166" t="s">
        <v>944</v>
      </c>
      <c r="H109" s="107"/>
      <c r="I109" s="107">
        <v>1.5</v>
      </c>
      <c r="J109" s="107"/>
      <c r="K109" s="1520">
        <f t="shared" si="51"/>
        <v>0</v>
      </c>
      <c r="L109" s="1520"/>
      <c r="M109" s="107">
        <v>0.87</v>
      </c>
      <c r="N109" s="107"/>
      <c r="O109" s="107">
        <v>0.9</v>
      </c>
      <c r="P109" s="107"/>
      <c r="Q109" s="107">
        <v>1.6799999999999999E-2</v>
      </c>
      <c r="R109" s="107"/>
      <c r="S109" s="1520">
        <f t="shared" si="49"/>
        <v>0</v>
      </c>
      <c r="T109" s="106"/>
      <c r="U109" s="107">
        <v>0.03</v>
      </c>
      <c r="V109" s="107"/>
      <c r="W109" s="1520">
        <f t="shared" si="50"/>
        <v>0</v>
      </c>
      <c r="X109" s="107"/>
      <c r="Y109" s="107"/>
      <c r="Z109" s="1428"/>
      <c r="AA109" s="107"/>
      <c r="AB109" s="107"/>
      <c r="AC109" s="107"/>
      <c r="AD109" s="107"/>
      <c r="AE109" s="108"/>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row>
    <row r="110" spans="1:81" ht="30" customHeight="1" x14ac:dyDescent="0.25">
      <c r="A110" s="4"/>
      <c r="B110" s="1707" t="s">
        <v>1546</v>
      </c>
      <c r="C110" s="1700" t="s">
        <v>1539</v>
      </c>
      <c r="D110" s="1700"/>
      <c r="E110" s="1701">
        <v>0</v>
      </c>
      <c r="F110" s="107"/>
      <c r="G110" s="1166" t="s">
        <v>944</v>
      </c>
      <c r="H110" s="107"/>
      <c r="I110" s="107">
        <v>2.1</v>
      </c>
      <c r="J110" s="107"/>
      <c r="K110" s="1520">
        <f t="shared" si="51"/>
        <v>0</v>
      </c>
      <c r="L110" s="1520"/>
      <c r="M110" s="107">
        <v>0.87</v>
      </c>
      <c r="N110" s="107"/>
      <c r="O110" s="107">
        <v>1.55</v>
      </c>
      <c r="P110" s="107"/>
      <c r="Q110" s="107">
        <v>1.6799999999999999E-2</v>
      </c>
      <c r="R110" s="107"/>
      <c r="S110" s="1520">
        <f t="shared" si="49"/>
        <v>0</v>
      </c>
      <c r="T110" s="106"/>
      <c r="U110" s="107">
        <v>0.03</v>
      </c>
      <c r="V110" s="107"/>
      <c r="W110" s="1520">
        <f t="shared" si="50"/>
        <v>0</v>
      </c>
      <c r="X110" s="107"/>
      <c r="Y110" s="1708"/>
      <c r="Z110" s="1428"/>
      <c r="AA110" s="107"/>
      <c r="AB110" s="107"/>
      <c r="AC110" s="107"/>
      <c r="AD110" s="107"/>
      <c r="AE110" s="108"/>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row>
    <row r="111" spans="1:81" ht="30" customHeight="1" x14ac:dyDescent="0.25">
      <c r="A111" s="4"/>
      <c r="B111" s="1707" t="s">
        <v>1547</v>
      </c>
      <c r="C111" s="1700" t="s">
        <v>1539</v>
      </c>
      <c r="D111" s="1700"/>
      <c r="E111" s="1701">
        <v>0</v>
      </c>
      <c r="F111" s="107"/>
      <c r="G111" s="1166" t="s">
        <v>944</v>
      </c>
      <c r="H111" s="107"/>
      <c r="I111" s="107">
        <v>1.5</v>
      </c>
      <c r="J111" s="107"/>
      <c r="K111" s="1520">
        <f t="shared" si="51"/>
        <v>0</v>
      </c>
      <c r="L111" s="1520"/>
      <c r="M111" s="107">
        <v>0.87</v>
      </c>
      <c r="N111" s="107"/>
      <c r="O111" s="107">
        <v>0.9</v>
      </c>
      <c r="P111" s="107"/>
      <c r="Q111" s="107">
        <v>1.6799999999999999E-2</v>
      </c>
      <c r="R111" s="107"/>
      <c r="S111" s="1520">
        <f t="shared" si="49"/>
        <v>0</v>
      </c>
      <c r="T111" s="106"/>
      <c r="U111" s="107">
        <v>0.03</v>
      </c>
      <c r="V111" s="107"/>
      <c r="W111" s="1520">
        <f t="shared" si="50"/>
        <v>0</v>
      </c>
      <c r="X111" s="107"/>
      <c r="Y111" s="1708"/>
      <c r="Z111" s="1428"/>
      <c r="AA111" s="107"/>
      <c r="AB111" s="107"/>
      <c r="AC111" s="107"/>
      <c r="AD111" s="107"/>
      <c r="AE111" s="108"/>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row>
    <row r="112" spans="1:81" ht="15.75" customHeight="1" x14ac:dyDescent="0.25">
      <c r="A112" s="4"/>
      <c r="B112" s="1707" t="s">
        <v>1548</v>
      </c>
      <c r="C112" s="1700" t="s">
        <v>1024</v>
      </c>
      <c r="D112" s="1700"/>
      <c r="E112" s="1706"/>
      <c r="F112" s="107"/>
      <c r="G112" s="1166" t="s">
        <v>944</v>
      </c>
      <c r="H112" s="107"/>
      <c r="I112" s="107"/>
      <c r="J112" s="107"/>
      <c r="K112" s="1520">
        <f t="shared" ref="K112:K116" si="52">E112</f>
        <v>0</v>
      </c>
      <c r="L112" s="106"/>
      <c r="M112" s="107"/>
      <c r="N112" s="107"/>
      <c r="O112" s="107"/>
      <c r="P112" s="107"/>
      <c r="Q112" s="107"/>
      <c r="R112" s="107"/>
      <c r="S112" s="1520" t="s">
        <v>944</v>
      </c>
      <c r="T112" s="106"/>
      <c r="U112" s="107">
        <v>0.03</v>
      </c>
      <c r="V112" s="107"/>
      <c r="W112" s="1520">
        <f t="shared" si="50"/>
        <v>0</v>
      </c>
      <c r="X112" s="107"/>
      <c r="Y112" s="1708"/>
      <c r="Z112" s="1428"/>
      <c r="AA112" s="107"/>
      <c r="AB112" s="107"/>
      <c r="AC112" s="107"/>
      <c r="AD112" s="107"/>
      <c r="AE112" s="108"/>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row>
    <row r="113" spans="1:81" ht="15.75" customHeight="1" x14ac:dyDescent="0.25">
      <c r="A113" s="4"/>
      <c r="B113" s="1707" t="s">
        <v>1549</v>
      </c>
      <c r="C113" s="1700" t="s">
        <v>1024</v>
      </c>
      <c r="D113" s="1700"/>
      <c r="E113" s="1706"/>
      <c r="F113" s="107"/>
      <c r="G113" s="1166" t="s">
        <v>944</v>
      </c>
      <c r="H113" s="107"/>
      <c r="I113" s="107"/>
      <c r="J113" s="107"/>
      <c r="K113" s="1520">
        <f t="shared" si="52"/>
        <v>0</v>
      </c>
      <c r="L113" s="106"/>
      <c r="M113" s="107"/>
      <c r="N113" s="107"/>
      <c r="O113" s="107"/>
      <c r="P113" s="107"/>
      <c r="Q113" s="107"/>
      <c r="R113" s="107"/>
      <c r="S113" s="1520" t="s">
        <v>944</v>
      </c>
      <c r="T113" s="106"/>
      <c r="U113" s="107">
        <v>0.03</v>
      </c>
      <c r="V113" s="107"/>
      <c r="W113" s="1520">
        <f t="shared" si="50"/>
        <v>0</v>
      </c>
      <c r="X113" s="107"/>
      <c r="Y113" s="1708"/>
      <c r="Z113" s="1428"/>
      <c r="AA113" s="107"/>
      <c r="AB113" s="107"/>
      <c r="AC113" s="107"/>
      <c r="AD113" s="107"/>
      <c r="AE113" s="108"/>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row>
    <row r="114" spans="1:81" ht="15.75" customHeight="1" x14ac:dyDescent="0.25">
      <c r="A114" s="4"/>
      <c r="B114" s="1707" t="s">
        <v>1550</v>
      </c>
      <c r="C114" s="1700" t="s">
        <v>1024</v>
      </c>
      <c r="D114" s="1700"/>
      <c r="E114" s="1706"/>
      <c r="F114" s="107"/>
      <c r="G114" s="1166" t="s">
        <v>944</v>
      </c>
      <c r="H114" s="107"/>
      <c r="I114" s="107"/>
      <c r="J114" s="107"/>
      <c r="K114" s="1520">
        <f t="shared" si="52"/>
        <v>0</v>
      </c>
      <c r="L114" s="106"/>
      <c r="M114" s="107"/>
      <c r="N114" s="107"/>
      <c r="O114" s="107"/>
      <c r="P114" s="107"/>
      <c r="Q114" s="107"/>
      <c r="R114" s="107"/>
      <c r="S114" s="1520" t="s">
        <v>944</v>
      </c>
      <c r="T114" s="106"/>
      <c r="U114" s="107">
        <v>0.03</v>
      </c>
      <c r="V114" s="107"/>
      <c r="W114" s="1520">
        <f t="shared" si="50"/>
        <v>0</v>
      </c>
      <c r="X114" s="107"/>
      <c r="Y114" s="1708"/>
      <c r="Z114" s="1428"/>
      <c r="AA114" s="107"/>
      <c r="AB114" s="107"/>
      <c r="AC114" s="107"/>
      <c r="AD114" s="107"/>
      <c r="AE114" s="108"/>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row>
    <row r="115" spans="1:81" ht="15.75" customHeight="1" x14ac:dyDescent="0.25">
      <c r="A115" s="4"/>
      <c r="B115" s="1707" t="s">
        <v>1551</v>
      </c>
      <c r="C115" s="1700" t="s">
        <v>1024</v>
      </c>
      <c r="D115" s="1700"/>
      <c r="E115" s="1706"/>
      <c r="F115" s="107"/>
      <c r="G115" s="1166" t="s">
        <v>944</v>
      </c>
      <c r="H115" s="107"/>
      <c r="I115" s="107"/>
      <c r="J115" s="107"/>
      <c r="K115" s="1520">
        <f t="shared" si="52"/>
        <v>0</v>
      </c>
      <c r="L115" s="106"/>
      <c r="M115" s="107"/>
      <c r="N115" s="107"/>
      <c r="O115" s="107"/>
      <c r="P115" s="107"/>
      <c r="Q115" s="107"/>
      <c r="R115" s="107"/>
      <c r="S115" s="1520" t="s">
        <v>944</v>
      </c>
      <c r="T115" s="106"/>
      <c r="U115" s="107">
        <v>0.03</v>
      </c>
      <c r="V115" s="107"/>
      <c r="W115" s="1520">
        <f t="shared" si="50"/>
        <v>0</v>
      </c>
      <c r="X115" s="107"/>
      <c r="Y115" s="1708"/>
      <c r="Z115" s="1428"/>
      <c r="AA115" s="107"/>
      <c r="AB115" s="107"/>
      <c r="AC115" s="107"/>
      <c r="AD115" s="107"/>
      <c r="AE115" s="108"/>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row>
    <row r="116" spans="1:81" ht="15.75" customHeight="1" x14ac:dyDescent="0.25">
      <c r="A116" s="4"/>
      <c r="B116" s="1707" t="s">
        <v>1552</v>
      </c>
      <c r="C116" s="1700" t="s">
        <v>1024</v>
      </c>
      <c r="D116" s="1700"/>
      <c r="E116" s="1706"/>
      <c r="F116" s="107"/>
      <c r="G116" s="1166" t="s">
        <v>944</v>
      </c>
      <c r="H116" s="107"/>
      <c r="I116" s="107"/>
      <c r="J116" s="107"/>
      <c r="K116" s="1520">
        <f t="shared" si="52"/>
        <v>0</v>
      </c>
      <c r="L116" s="106"/>
      <c r="M116" s="107"/>
      <c r="N116" s="107"/>
      <c r="O116" s="107"/>
      <c r="P116" s="107"/>
      <c r="Q116" s="107"/>
      <c r="R116" s="107"/>
      <c r="S116" s="1520" t="s">
        <v>944</v>
      </c>
      <c r="T116" s="106"/>
      <c r="U116" s="107">
        <v>0.03</v>
      </c>
      <c r="V116" s="107"/>
      <c r="W116" s="1520">
        <f t="shared" si="50"/>
        <v>0</v>
      </c>
      <c r="X116" s="107"/>
      <c r="Y116" s="1708"/>
      <c r="Z116" s="1428"/>
      <c r="AA116" s="107"/>
      <c r="AB116" s="107"/>
      <c r="AC116" s="107"/>
      <c r="AD116" s="107"/>
      <c r="AE116" s="108"/>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row>
    <row r="117" spans="1:81" ht="15.75" customHeight="1" x14ac:dyDescent="0.25">
      <c r="A117" s="4"/>
      <c r="B117" s="1604" t="s">
        <v>1473</v>
      </c>
      <c r="C117" s="1709"/>
      <c r="D117" s="1709"/>
      <c r="E117" s="1610"/>
      <c r="F117" s="1610"/>
      <c r="G117" s="1610"/>
      <c r="H117" s="1610"/>
      <c r="I117" s="1610"/>
      <c r="J117" s="1610"/>
      <c r="K117" s="1710">
        <f>SUM(K96:K116)</f>
        <v>2208787.3135473048</v>
      </c>
      <c r="L117" s="1710"/>
      <c r="M117" s="1609"/>
      <c r="N117" s="1610"/>
      <c r="O117" s="1610"/>
      <c r="P117" s="1610"/>
      <c r="Q117" s="1610"/>
      <c r="R117" s="1610"/>
      <c r="S117" s="1710">
        <f>SUM(S96:S111)</f>
        <v>26869637.086537462</v>
      </c>
      <c r="T117" s="1711"/>
      <c r="U117" s="1610"/>
      <c r="V117" s="1610"/>
      <c r="W117" s="1712">
        <f>SUM(W96:W116)</f>
        <v>42661497.524547033</v>
      </c>
      <c r="X117" s="1610"/>
      <c r="Y117" s="1610"/>
      <c r="Z117" s="1713"/>
      <c r="AA117" s="1610"/>
      <c r="AB117" s="1610"/>
      <c r="AC117" s="1610"/>
      <c r="AD117" s="1610"/>
      <c r="AE117" s="171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row>
    <row r="118" spans="1:81" ht="15.75" customHeight="1" x14ac:dyDescent="0.25">
      <c r="A118" s="4"/>
      <c r="B118" s="1"/>
      <c r="C118" s="1"/>
      <c r="D118" s="1"/>
      <c r="E118" s="4"/>
      <c r="F118" s="4"/>
      <c r="G118" s="4"/>
      <c r="H118" s="4"/>
      <c r="I118" s="4"/>
      <c r="J118" s="4"/>
      <c r="K118" s="1715"/>
      <c r="L118" s="1715"/>
      <c r="M118" s="1045"/>
      <c r="N118" s="4"/>
      <c r="O118" s="4"/>
      <c r="P118" s="4"/>
      <c r="Q118" s="4"/>
      <c r="R118" s="4"/>
      <c r="S118" s="1715"/>
      <c r="T118" s="1172"/>
      <c r="U118" s="4"/>
      <c r="V118" s="4"/>
      <c r="W118" s="1716"/>
      <c r="X118" s="4"/>
      <c r="Y118" s="4"/>
      <c r="Z118" s="1396"/>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row>
    <row r="119" spans="1:81" ht="15.75" customHeight="1" x14ac:dyDescent="0.25">
      <c r="A119" s="4"/>
      <c r="B119" s="1"/>
      <c r="C119" s="1"/>
      <c r="D119" s="1"/>
      <c r="E119" s="4"/>
      <c r="F119" s="4"/>
      <c r="G119" s="4"/>
      <c r="H119" s="4"/>
      <c r="I119" s="4"/>
      <c r="J119" s="4"/>
      <c r="K119" s="1715"/>
      <c r="L119" s="1715"/>
      <c r="M119" s="1045"/>
      <c r="N119" s="4"/>
      <c r="O119" s="4"/>
      <c r="P119" s="4"/>
      <c r="Q119" s="4"/>
      <c r="R119" s="4"/>
      <c r="S119" s="1715"/>
      <c r="T119" s="1172"/>
      <c r="U119" s="4"/>
      <c r="V119" s="4"/>
      <c r="W119" s="1716"/>
      <c r="X119" s="4"/>
      <c r="Y119" s="4"/>
      <c r="Z119" s="1396"/>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row>
    <row r="120" spans="1:81" ht="15.75" customHeight="1" x14ac:dyDescent="0.25">
      <c r="A120" s="4"/>
      <c r="B120" s="1588"/>
      <c r="C120" s="1492"/>
      <c r="D120" s="1492"/>
      <c r="E120" s="1492"/>
      <c r="F120" s="1492"/>
      <c r="G120" s="1612"/>
      <c r="H120" s="1133"/>
      <c r="I120" s="1613"/>
      <c r="J120" s="1133"/>
      <c r="K120" s="1614"/>
      <c r="L120" s="39"/>
      <c r="M120" s="1614"/>
      <c r="N120" s="39"/>
      <c r="O120" s="39"/>
      <c r="P120" s="39"/>
      <c r="Q120" s="39"/>
      <c r="R120" s="39"/>
      <c r="S120" s="39"/>
      <c r="T120" s="39"/>
      <c r="U120" s="39"/>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row>
    <row r="121" spans="1:81" ht="15.75" customHeight="1" x14ac:dyDescent="0.25">
      <c r="A121" s="48"/>
      <c r="B121" s="1672" t="s">
        <v>1553</v>
      </c>
      <c r="C121" s="1673"/>
      <c r="D121" s="1673"/>
      <c r="E121" s="1673"/>
      <c r="F121" s="1674"/>
      <c r="G121" s="1675"/>
      <c r="H121" s="1676"/>
      <c r="I121" s="1677"/>
      <c r="J121" s="1676"/>
      <c r="K121" s="1678"/>
      <c r="L121" s="1679"/>
      <c r="M121" s="1678"/>
      <c r="N121" s="1679"/>
      <c r="O121" s="1679"/>
      <c r="P121" s="1679"/>
      <c r="Q121" s="1679"/>
      <c r="R121" s="1679"/>
      <c r="S121" s="1679"/>
      <c r="T121" s="1679"/>
      <c r="U121" s="1679"/>
      <c r="V121" s="1679"/>
      <c r="W121" s="1679"/>
      <c r="X121" s="1679"/>
      <c r="Y121" s="1680"/>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row>
    <row r="122" spans="1:81" ht="15.75" customHeight="1" x14ac:dyDescent="0.25">
      <c r="A122" s="4"/>
      <c r="B122" s="1717" t="s">
        <v>1554</v>
      </c>
      <c r="C122" s="1718">
        <v>2011</v>
      </c>
      <c r="D122" s="98"/>
      <c r="E122" s="98"/>
      <c r="F122" s="98"/>
      <c r="G122" s="98"/>
      <c r="H122" s="98"/>
      <c r="I122" s="98"/>
      <c r="J122" s="98"/>
      <c r="K122" s="98"/>
      <c r="L122" s="98"/>
      <c r="M122" s="98"/>
      <c r="N122" s="4"/>
      <c r="O122" s="4"/>
      <c r="P122" s="4"/>
      <c r="Q122" s="4"/>
      <c r="R122" s="4"/>
      <c r="S122" s="4"/>
      <c r="T122" s="4"/>
      <c r="U122" s="4"/>
      <c r="V122" s="39"/>
      <c r="W122" s="39"/>
      <c r="X122" s="39"/>
      <c r="Y122" s="174"/>
      <c r="Z122" s="4"/>
      <c r="AA122" s="4"/>
      <c r="AB122" s="4"/>
      <c r="AC122" s="4"/>
      <c r="AD122" s="4"/>
      <c r="AE122" s="1030"/>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row>
    <row r="123" spans="1:81" ht="45" customHeight="1" x14ac:dyDescent="0.2">
      <c r="A123" s="1173"/>
      <c r="B123" s="1719" t="s">
        <v>1555</v>
      </c>
      <c r="C123" s="1720" t="s">
        <v>1556</v>
      </c>
      <c r="D123" s="1720"/>
      <c r="E123" s="1721" t="s">
        <v>1557</v>
      </c>
      <c r="F123" s="1722"/>
      <c r="G123" s="1723" t="s">
        <v>1558</v>
      </c>
      <c r="H123" s="1724"/>
      <c r="I123" s="1725" t="s">
        <v>1559</v>
      </c>
      <c r="J123" s="1724"/>
      <c r="K123" s="1720" t="s">
        <v>1560</v>
      </c>
      <c r="L123" s="1720"/>
      <c r="M123" s="1720" t="s">
        <v>1561</v>
      </c>
      <c r="N123" s="1720"/>
      <c r="O123" s="1723" t="s">
        <v>1562</v>
      </c>
      <c r="P123" s="1720"/>
      <c r="Q123" s="1723" t="s">
        <v>1563</v>
      </c>
      <c r="R123" s="1726"/>
      <c r="S123" s="1727" t="s">
        <v>1564</v>
      </c>
      <c r="T123" s="1726"/>
      <c r="U123" s="1727" t="s">
        <v>1565</v>
      </c>
      <c r="V123" s="1726"/>
      <c r="W123" s="1723" t="s">
        <v>1566</v>
      </c>
      <c r="X123" s="1724"/>
      <c r="Y123" s="1728" t="s">
        <v>1567</v>
      </c>
      <c r="Z123" s="1173"/>
      <c r="AA123" s="1173"/>
      <c r="AB123" s="1173"/>
      <c r="AC123" s="1173"/>
      <c r="AD123" s="1173"/>
      <c r="AE123" s="1173"/>
      <c r="AF123" s="1173"/>
      <c r="AG123" s="1173"/>
      <c r="AH123" s="1173"/>
      <c r="AI123" s="1173"/>
      <c r="AJ123" s="1173"/>
      <c r="AK123" s="1173"/>
      <c r="AL123" s="1173"/>
      <c r="AM123" s="1173"/>
      <c r="AN123" s="1173"/>
      <c r="AO123" s="1173"/>
      <c r="AP123" s="1173"/>
      <c r="AQ123" s="1173"/>
      <c r="AR123" s="1173"/>
      <c r="AS123" s="1173"/>
      <c r="AT123" s="1173"/>
      <c r="AU123" s="1173"/>
      <c r="AV123" s="1173"/>
      <c r="AW123" s="1173"/>
      <c r="AX123" s="1173"/>
      <c r="AY123" s="1173"/>
      <c r="AZ123" s="1173"/>
      <c r="BA123" s="1173"/>
      <c r="BB123" s="1173"/>
      <c r="BC123" s="1173"/>
      <c r="BD123" s="1173"/>
      <c r="BE123" s="1173"/>
      <c r="BF123" s="1173"/>
      <c r="BG123" s="1173"/>
      <c r="BH123" s="1173"/>
      <c r="BI123" s="1173"/>
      <c r="BJ123" s="1173"/>
      <c r="BK123" s="1173"/>
      <c r="BL123" s="1173"/>
      <c r="BM123" s="1173"/>
      <c r="BN123" s="1173"/>
      <c r="BO123" s="1173"/>
      <c r="BP123" s="1173"/>
      <c r="BQ123" s="1173"/>
      <c r="BR123" s="1173"/>
      <c r="BS123" s="1173"/>
      <c r="BT123" s="1173"/>
      <c r="BU123" s="1173"/>
      <c r="BV123" s="1173"/>
      <c r="BW123" s="1173"/>
      <c r="BX123" s="1173"/>
      <c r="BY123" s="1173"/>
      <c r="BZ123" s="1173"/>
      <c r="CA123" s="1173"/>
      <c r="CB123" s="1173"/>
      <c r="CC123" s="1173"/>
    </row>
    <row r="124" spans="1:81" ht="15.75" customHeight="1" x14ac:dyDescent="0.25">
      <c r="A124" s="4"/>
      <c r="B124" s="1729" t="s">
        <v>1568</v>
      </c>
      <c r="C124" s="1730">
        <f>40660.39*907.2</f>
        <v>36887105.807999998</v>
      </c>
      <c r="D124" s="232"/>
      <c r="E124" s="1731">
        <f>$C140*0.35+$C124*0.65</f>
        <v>33945254.431199998</v>
      </c>
      <c r="F124" s="1732"/>
      <c r="G124" s="1733">
        <v>0.1</v>
      </c>
      <c r="H124" s="107"/>
      <c r="I124" s="107"/>
      <c r="J124" s="107"/>
      <c r="K124" s="1734">
        <f>($E124*(1-G124))</f>
        <v>30550728.988079999</v>
      </c>
      <c r="L124" s="1734"/>
      <c r="M124" s="1734">
        <f>($E124*G124)</f>
        <v>3394525.44312</v>
      </c>
      <c r="N124" s="1734"/>
      <c r="O124" s="1524">
        <f>(K124+K125)/1000*0.01*44/28</f>
        <v>493.6067891555428</v>
      </c>
      <c r="P124" s="1734"/>
      <c r="Q124" s="1524">
        <f>(M124+M125)/1000*0.01*44/28</f>
        <v>56.723518941885722</v>
      </c>
      <c r="R124" s="1735"/>
      <c r="S124" s="1736">
        <f>O124*$AG$8*12/44*10^-6</f>
        <v>3.5674308852605141E-2</v>
      </c>
      <c r="T124" s="1737"/>
      <c r="U124" s="1736">
        <f>Q124*$AG$8*12/44*10^-6</f>
        <v>4.0995634144362853E-3</v>
      </c>
      <c r="V124" s="1735"/>
      <c r="W124" s="1738">
        <f>S124/(12/44)</f>
        <v>0.13080579912621887</v>
      </c>
      <c r="X124" s="564"/>
      <c r="Y124" s="1705">
        <f>U124/(12/44)</f>
        <v>1.5031732519599713E-2</v>
      </c>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row>
    <row r="125" spans="1:81" ht="15.75" customHeight="1" x14ac:dyDescent="0.25">
      <c r="A125" s="4"/>
      <c r="B125" s="1729" t="s">
        <v>1569</v>
      </c>
      <c r="C125" s="1520">
        <f>E125</f>
        <v>26724473</v>
      </c>
      <c r="D125" s="1520"/>
      <c r="E125" s="1731">
        <f>SUM(E126:E132)</f>
        <v>26724473</v>
      </c>
      <c r="F125" s="1739"/>
      <c r="G125" s="1740">
        <v>0.2</v>
      </c>
      <c r="H125" s="110"/>
      <c r="I125" s="110">
        <v>4.1000000000000002E-2</v>
      </c>
      <c r="J125" s="110"/>
      <c r="K125" s="1741">
        <f>$E134*I125*(1-G125)</f>
        <v>860612.14000000013</v>
      </c>
      <c r="L125" s="1741"/>
      <c r="M125" s="1741">
        <f>$E134*G125*(I125)</f>
        <v>215153.035</v>
      </c>
      <c r="N125" s="1741"/>
      <c r="O125" s="1741"/>
      <c r="P125" s="1741"/>
      <c r="Q125" s="1741"/>
      <c r="R125" s="1742"/>
      <c r="S125" s="1742"/>
      <c r="T125" s="1742"/>
      <c r="U125" s="1742"/>
      <c r="V125" s="1742"/>
      <c r="W125" s="1742"/>
      <c r="X125" s="110"/>
      <c r="Y125" s="112"/>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row>
    <row r="126" spans="1:81" ht="15.75" customHeight="1" x14ac:dyDescent="0.25">
      <c r="A126" s="4"/>
      <c r="B126" s="781" t="s">
        <v>1570</v>
      </c>
      <c r="C126" s="1730"/>
      <c r="D126" s="232"/>
      <c r="E126" s="1731">
        <f t="shared" ref="E126:E127" si="53">$C126*0.65+$C142*0.35</f>
        <v>0</v>
      </c>
      <c r="F126" s="98"/>
      <c r="G126" s="1037"/>
      <c r="H126" s="98"/>
      <c r="I126" s="4"/>
      <c r="J126" s="4"/>
      <c r="K126" s="1037"/>
      <c r="L126" s="1037"/>
      <c r="M126" s="1037"/>
      <c r="N126" s="1037"/>
      <c r="O126" s="1037"/>
      <c r="P126" s="1030"/>
      <c r="Q126" s="1030"/>
      <c r="R126" s="1030"/>
      <c r="S126" s="1030"/>
      <c r="T126" s="1030"/>
      <c r="U126" s="1030"/>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row>
    <row r="127" spans="1:81" ht="15.75" customHeight="1" x14ac:dyDescent="0.25">
      <c r="A127" s="4"/>
      <c r="B127" s="781" t="s">
        <v>1571</v>
      </c>
      <c r="C127" s="1730"/>
      <c r="D127" s="232"/>
      <c r="E127" s="1731">
        <f t="shared" si="53"/>
        <v>0</v>
      </c>
      <c r="F127" s="98"/>
      <c r="G127" s="98"/>
      <c r="H127" s="98"/>
      <c r="I127" s="1037"/>
      <c r="J127" s="1037"/>
      <c r="K127" s="1037"/>
      <c r="L127" s="1037"/>
      <c r="M127" s="1037"/>
      <c r="N127" s="1030"/>
      <c r="O127" s="1030"/>
      <c r="P127" s="1030"/>
      <c r="Q127" s="1030"/>
      <c r="R127" s="1030"/>
      <c r="S127" s="1030"/>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row>
    <row r="128" spans="1:81" ht="15.75" customHeight="1" x14ac:dyDescent="0.25">
      <c r="A128" s="4"/>
      <c r="B128" s="781" t="s">
        <v>1572</v>
      </c>
      <c r="C128" s="1730">
        <v>486298</v>
      </c>
      <c r="D128" s="232"/>
      <c r="E128" s="1731">
        <f t="shared" ref="E128:E129" si="54">C128</f>
        <v>486298</v>
      </c>
      <c r="F128" s="98"/>
      <c r="G128" s="98"/>
      <c r="H128" s="98"/>
      <c r="I128" s="1037"/>
      <c r="J128" s="1037"/>
      <c r="K128" s="1037"/>
      <c r="L128" s="1037"/>
      <c r="M128" s="1037"/>
      <c r="N128" s="1030"/>
      <c r="O128" s="1030"/>
      <c r="P128" s="1030"/>
      <c r="Q128" s="1030"/>
      <c r="R128" s="1030"/>
      <c r="S128" s="1030"/>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row>
    <row r="129" spans="1:81" ht="15.75" customHeight="1" x14ac:dyDescent="0.25">
      <c r="A129" s="4"/>
      <c r="B129" s="781" t="s">
        <v>1573</v>
      </c>
      <c r="C129" s="1730">
        <v>25853131</v>
      </c>
      <c r="D129" s="232"/>
      <c r="E129" s="1731">
        <f t="shared" si="54"/>
        <v>25853131</v>
      </c>
      <c r="F129" s="98"/>
      <c r="G129" s="98"/>
      <c r="H129" s="98"/>
      <c r="I129" s="1037"/>
      <c r="J129" s="1037"/>
      <c r="K129" s="1037"/>
      <c r="L129" s="1037"/>
      <c r="M129" s="1037"/>
      <c r="N129" s="1030"/>
      <c r="O129" s="1030"/>
      <c r="P129" s="1030"/>
      <c r="Q129" s="1030"/>
      <c r="R129" s="1030"/>
      <c r="S129" s="1030"/>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row>
    <row r="130" spans="1:81" ht="15.75" customHeight="1" x14ac:dyDescent="0.25">
      <c r="A130" s="4"/>
      <c r="B130" s="781" t="s">
        <v>1574</v>
      </c>
      <c r="C130" s="1730"/>
      <c r="D130" s="232"/>
      <c r="E130" s="1731">
        <f t="shared" ref="E130:E131" si="55">$C130*0.65+$C146*0.35</f>
        <v>0</v>
      </c>
      <c r="F130" s="98"/>
      <c r="G130" s="98"/>
      <c r="H130" s="98"/>
      <c r="I130" s="1037"/>
      <c r="J130" s="1037"/>
      <c r="K130" s="1037"/>
      <c r="L130" s="1037"/>
      <c r="M130" s="1037"/>
      <c r="N130" s="1030"/>
      <c r="O130" s="1030"/>
      <c r="P130" s="1030"/>
      <c r="Q130" s="1030"/>
      <c r="R130" s="1030"/>
      <c r="S130" s="1030"/>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row>
    <row r="131" spans="1:81" ht="15.75" customHeight="1" x14ac:dyDescent="0.25">
      <c r="A131" s="4"/>
      <c r="B131" s="781" t="s">
        <v>1575</v>
      </c>
      <c r="C131" s="1730"/>
      <c r="D131" s="232"/>
      <c r="E131" s="1731">
        <f t="shared" si="55"/>
        <v>0</v>
      </c>
      <c r="F131" s="98"/>
      <c r="G131" s="98"/>
      <c r="H131" s="98"/>
      <c r="I131" s="1037"/>
      <c r="J131" s="1037"/>
      <c r="K131" s="1037"/>
      <c r="L131" s="1037"/>
      <c r="M131" s="1037"/>
      <c r="N131" s="1030"/>
      <c r="O131" s="1030"/>
      <c r="P131" s="1030"/>
      <c r="Q131" s="1030"/>
      <c r="R131" s="1030"/>
      <c r="S131" s="1030"/>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row>
    <row r="132" spans="1:81" ht="15.75" customHeight="1" x14ac:dyDescent="0.25">
      <c r="A132" s="4"/>
      <c r="B132" s="781" t="s">
        <v>1576</v>
      </c>
      <c r="C132" s="1730">
        <v>385044</v>
      </c>
      <c r="D132" s="232"/>
      <c r="E132" s="1731">
        <f>C132</f>
        <v>385044</v>
      </c>
      <c r="F132" s="98"/>
      <c r="G132" s="98"/>
      <c r="H132" s="98"/>
      <c r="I132" s="1037"/>
      <c r="J132" s="1743"/>
      <c r="K132" s="1037"/>
      <c r="L132" s="1037"/>
      <c r="M132" s="1037"/>
      <c r="N132" s="1030"/>
      <c r="O132" s="1030"/>
      <c r="P132" s="1030"/>
      <c r="Q132" s="1030"/>
      <c r="R132" s="1030"/>
      <c r="S132" s="1030"/>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row>
    <row r="133" spans="1:81" ht="15.75" customHeight="1" x14ac:dyDescent="0.25">
      <c r="A133" s="4"/>
      <c r="B133" s="1744" t="s">
        <v>1577</v>
      </c>
      <c r="C133" s="1348">
        <f>C128/C125</f>
        <v>1.81967292675893E-2</v>
      </c>
      <c r="D133" s="232"/>
      <c r="E133" s="1745">
        <f>IF(E125=0,0,E128/E125)</f>
        <v>1.81967292675893E-2</v>
      </c>
      <c r="F133" s="98"/>
      <c r="G133" s="98"/>
      <c r="H133" s="98"/>
      <c r="I133" s="98"/>
      <c r="J133" s="98"/>
      <c r="K133" s="98"/>
      <c r="L133" s="98"/>
      <c r="M133" s="98"/>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row>
    <row r="134" spans="1:81" ht="15.75" customHeight="1" x14ac:dyDescent="0.25">
      <c r="A134" s="4"/>
      <c r="B134" s="1744" t="s">
        <v>1578</v>
      </c>
      <c r="C134" s="232">
        <f>C125*(1-C133)</f>
        <v>26238175</v>
      </c>
      <c r="D134" s="232"/>
      <c r="E134" s="1746">
        <f>E125*(1-E133)</f>
        <v>26238175</v>
      </c>
      <c r="F134" s="98"/>
      <c r="G134" s="98"/>
      <c r="H134" s="98"/>
      <c r="I134" s="98"/>
      <c r="J134" s="98"/>
      <c r="K134" s="98"/>
      <c r="L134" s="98"/>
      <c r="M134" s="98"/>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row>
    <row r="135" spans="1:81" ht="15.75" customHeight="1" x14ac:dyDescent="0.25">
      <c r="A135" s="4"/>
      <c r="B135" s="1744" t="s">
        <v>1579</v>
      </c>
      <c r="C135" s="232">
        <f>C125*C133</f>
        <v>486298</v>
      </c>
      <c r="D135" s="232"/>
      <c r="E135" s="787">
        <f>E125*E133</f>
        <v>486298</v>
      </c>
      <c r="F135" s="98"/>
      <c r="G135" s="98"/>
      <c r="H135" s="98"/>
      <c r="I135" s="98"/>
      <c r="J135" s="98"/>
      <c r="K135" s="98"/>
      <c r="L135" s="98"/>
      <c r="M135" s="98"/>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row>
    <row r="136" spans="1:81" ht="15.75" customHeight="1" x14ac:dyDescent="0.25">
      <c r="A136" s="4"/>
      <c r="B136" s="104"/>
      <c r="C136" s="232"/>
      <c r="D136" s="232"/>
      <c r="E136" s="787"/>
      <c r="F136" s="98"/>
      <c r="G136" s="98"/>
      <c r="H136" s="98"/>
      <c r="I136" s="98"/>
      <c r="J136" s="98"/>
      <c r="K136" s="98"/>
      <c r="L136" s="98"/>
      <c r="M136" s="98"/>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row>
    <row r="137" spans="1:81" ht="15.75" customHeight="1" x14ac:dyDescent="0.25">
      <c r="A137" s="4"/>
      <c r="B137" s="798"/>
      <c r="C137" s="799"/>
      <c r="D137" s="107"/>
      <c r="E137" s="108"/>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row>
    <row r="138" spans="1:81" ht="15.75" customHeight="1" x14ac:dyDescent="0.25">
      <c r="A138" s="4"/>
      <c r="B138" s="1747" t="s">
        <v>1554</v>
      </c>
      <c r="C138" s="1748">
        <v>2012</v>
      </c>
      <c r="D138" s="1749"/>
      <c r="E138" s="1750"/>
      <c r="F138" s="1030"/>
      <c r="G138" s="1030"/>
      <c r="H138" s="1030"/>
      <c r="I138" s="1030"/>
      <c r="J138" s="1030"/>
      <c r="K138" s="1030"/>
      <c r="L138" s="1030"/>
      <c r="M138" s="1030"/>
      <c r="N138" s="1030"/>
      <c r="O138" s="1030"/>
      <c r="P138" s="1030"/>
      <c r="Q138" s="1030"/>
      <c r="R138" s="1030"/>
      <c r="S138" s="1030"/>
      <c r="T138" s="1030"/>
      <c r="U138" s="1030"/>
      <c r="V138" s="1030"/>
      <c r="W138" s="1030"/>
      <c r="X138" s="1030"/>
      <c r="Y138" s="1030"/>
      <c r="Z138" s="1030"/>
      <c r="AA138" s="1030"/>
      <c r="AB138" s="1030"/>
      <c r="AC138" s="1030"/>
      <c r="AD138" s="1030"/>
      <c r="AE138" s="1030"/>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row>
    <row r="139" spans="1:81" ht="30" customHeight="1" x14ac:dyDescent="0.25">
      <c r="A139" s="1173"/>
      <c r="B139" s="1751" t="s">
        <v>1555</v>
      </c>
      <c r="C139" s="1752" t="s">
        <v>1580</v>
      </c>
      <c r="D139" s="1753"/>
      <c r="E139" s="175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row>
    <row r="140" spans="1:81" ht="15.75" customHeight="1" x14ac:dyDescent="0.25">
      <c r="A140" s="4"/>
      <c r="B140" s="1729" t="s">
        <v>1568</v>
      </c>
      <c r="C140" s="1730">
        <f>31395.3*907.2</f>
        <v>28481816.16</v>
      </c>
      <c r="D140" s="232"/>
      <c r="E140" s="787"/>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row>
    <row r="141" spans="1:81" ht="15.75" customHeight="1" x14ac:dyDescent="0.25">
      <c r="A141" s="4"/>
      <c r="B141" s="1729" t="s">
        <v>1569</v>
      </c>
      <c r="C141" s="1520"/>
      <c r="D141" s="1520"/>
      <c r="E141" s="1658"/>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row>
    <row r="142" spans="1:81" ht="15.75" customHeight="1" x14ac:dyDescent="0.25">
      <c r="A142" s="4"/>
      <c r="B142" s="781" t="s">
        <v>1570</v>
      </c>
      <c r="C142" s="1730"/>
      <c r="D142" s="232"/>
      <c r="E142" s="787"/>
      <c r="F142" s="98"/>
      <c r="G142" s="98"/>
      <c r="H142" s="1037"/>
      <c r="I142" s="1037"/>
      <c r="J142" s="1037"/>
      <c r="K142" s="1037"/>
      <c r="L142" s="1037"/>
      <c r="M142" s="1030"/>
      <c r="N142" s="1030"/>
      <c r="O142" s="1030"/>
      <c r="P142" s="1030"/>
      <c r="Q142" s="1030"/>
      <c r="R142" s="1030"/>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row>
    <row r="143" spans="1:81" ht="15.75" customHeight="1" x14ac:dyDescent="0.25">
      <c r="A143" s="4"/>
      <c r="B143" s="781" t="s">
        <v>1571</v>
      </c>
      <c r="C143" s="1730"/>
      <c r="D143" s="232"/>
      <c r="E143" s="787"/>
      <c r="F143" s="98"/>
      <c r="G143" s="98"/>
      <c r="H143" s="1037"/>
      <c r="I143" s="1037"/>
      <c r="J143" s="1037"/>
      <c r="K143" s="1037"/>
      <c r="L143" s="1037"/>
      <c r="M143" s="1030"/>
      <c r="N143" s="1030"/>
      <c r="O143" s="1030"/>
      <c r="P143" s="1030"/>
      <c r="Q143" s="1030"/>
      <c r="R143" s="1030"/>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row>
    <row r="144" spans="1:81" ht="15.75" customHeight="1" x14ac:dyDescent="0.25">
      <c r="A144" s="4"/>
      <c r="B144" s="781" t="s">
        <v>1572</v>
      </c>
      <c r="C144" s="1730"/>
      <c r="D144" s="232"/>
      <c r="E144" s="787"/>
      <c r="F144" s="98"/>
      <c r="G144" s="98"/>
      <c r="H144" s="1037"/>
      <c r="I144" s="1037"/>
      <c r="J144" s="1037"/>
      <c r="K144" s="1037"/>
      <c r="L144" s="1037"/>
      <c r="M144" s="1030"/>
      <c r="N144" s="1030"/>
      <c r="O144" s="1030"/>
      <c r="P144" s="1030"/>
      <c r="Q144" s="1030"/>
      <c r="R144" s="1030"/>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row>
    <row r="145" spans="1:81" ht="15.75" customHeight="1" x14ac:dyDescent="0.25">
      <c r="A145" s="4"/>
      <c r="B145" s="781" t="s">
        <v>1573</v>
      </c>
      <c r="C145" s="1730"/>
      <c r="D145" s="232"/>
      <c r="E145" s="787"/>
      <c r="F145" s="98"/>
      <c r="G145" s="98"/>
      <c r="H145" s="1037"/>
      <c r="I145" s="1037"/>
      <c r="J145" s="1037"/>
      <c r="K145" s="1037"/>
      <c r="L145" s="1037"/>
      <c r="M145" s="1030"/>
      <c r="N145" s="1030"/>
      <c r="O145" s="1030"/>
      <c r="P145" s="1030"/>
      <c r="Q145" s="1030"/>
      <c r="R145" s="1030"/>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row>
    <row r="146" spans="1:81" ht="15.75" customHeight="1" x14ac:dyDescent="0.25">
      <c r="A146" s="4"/>
      <c r="B146" s="781" t="s">
        <v>1574</v>
      </c>
      <c r="C146" s="1730"/>
      <c r="D146" s="232"/>
      <c r="E146" s="787"/>
      <c r="F146" s="98"/>
      <c r="G146" s="98"/>
      <c r="H146" s="1037"/>
      <c r="I146" s="1037"/>
      <c r="J146" s="1037"/>
      <c r="K146" s="1037"/>
      <c r="L146" s="1037"/>
      <c r="M146" s="1030"/>
      <c r="N146" s="1030"/>
      <c r="O146" s="1030"/>
      <c r="P146" s="1030"/>
      <c r="Q146" s="1030"/>
      <c r="R146" s="1030"/>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row>
    <row r="147" spans="1:81" ht="15.75" customHeight="1" x14ac:dyDescent="0.25">
      <c r="A147" s="4"/>
      <c r="B147" s="781" t="s">
        <v>1575</v>
      </c>
      <c r="C147" s="1730"/>
      <c r="D147" s="232"/>
      <c r="E147" s="787"/>
      <c r="F147" s="98"/>
      <c r="G147" s="98"/>
      <c r="H147" s="1037"/>
      <c r="I147" s="1037"/>
      <c r="J147" s="1037"/>
      <c r="K147" s="1037"/>
      <c r="L147" s="1037"/>
      <c r="M147" s="1030"/>
      <c r="N147" s="1030"/>
      <c r="O147" s="1030"/>
      <c r="P147" s="1030"/>
      <c r="Q147" s="1030"/>
      <c r="R147" s="1030"/>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row>
    <row r="148" spans="1:81" ht="15.75" customHeight="1" x14ac:dyDescent="0.25">
      <c r="A148" s="4"/>
      <c r="B148" s="781" t="s">
        <v>1576</v>
      </c>
      <c r="C148" s="1730"/>
      <c r="D148" s="232"/>
      <c r="E148" s="787"/>
      <c r="F148" s="98"/>
      <c r="G148" s="98"/>
      <c r="H148" s="1037"/>
      <c r="I148" s="1743"/>
      <c r="J148" s="1037"/>
      <c r="K148" s="1037"/>
      <c r="L148" s="1037"/>
      <c r="M148" s="1030"/>
      <c r="N148" s="1030"/>
      <c r="O148" s="1030"/>
      <c r="P148" s="1030"/>
      <c r="Q148" s="1030"/>
      <c r="R148" s="1030"/>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row>
    <row r="149" spans="1:81" ht="15.75" customHeight="1" x14ac:dyDescent="0.25">
      <c r="A149" s="4"/>
      <c r="B149" s="1744" t="s">
        <v>1577</v>
      </c>
      <c r="C149" s="1348"/>
      <c r="D149" s="232"/>
      <c r="E149" s="787"/>
      <c r="F149" s="98"/>
      <c r="G149" s="98"/>
      <c r="H149" s="98"/>
      <c r="I149" s="98"/>
      <c r="J149" s="98"/>
      <c r="K149" s="98"/>
      <c r="L149" s="98"/>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row>
    <row r="150" spans="1:81" ht="15.75" customHeight="1" x14ac:dyDescent="0.25">
      <c r="A150" s="4"/>
      <c r="B150" s="1744" t="s">
        <v>1578</v>
      </c>
      <c r="C150" s="232"/>
      <c r="D150" s="232"/>
      <c r="E150" s="787"/>
      <c r="F150" s="98"/>
      <c r="G150" s="98"/>
      <c r="H150" s="98"/>
      <c r="I150" s="98"/>
      <c r="J150" s="98"/>
      <c r="K150" s="98"/>
      <c r="L150" s="98"/>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row>
    <row r="151" spans="1:81" ht="15.75" customHeight="1" x14ac:dyDescent="0.25">
      <c r="A151" s="4"/>
      <c r="B151" s="1755" t="s">
        <v>1579</v>
      </c>
      <c r="C151" s="111"/>
      <c r="D151" s="111"/>
      <c r="E151" s="794"/>
      <c r="F151" s="98"/>
      <c r="G151" s="98"/>
      <c r="H151" s="98"/>
      <c r="I151" s="98"/>
      <c r="J151" s="98"/>
      <c r="K151" s="98"/>
      <c r="L151" s="98"/>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row>
    <row r="152" spans="1:81" ht="15.75" customHeight="1" x14ac:dyDescent="0.25">
      <c r="A152" s="4"/>
      <c r="B152" s="1588"/>
      <c r="C152" s="1492"/>
      <c r="D152" s="1492"/>
      <c r="E152" s="1492"/>
      <c r="F152" s="1492"/>
      <c r="G152" s="1612"/>
      <c r="H152" s="1133"/>
      <c r="I152" s="1613"/>
      <c r="J152" s="1133"/>
      <c r="K152" s="1614"/>
      <c r="L152" s="39"/>
      <c r="M152" s="1614"/>
      <c r="N152" s="39"/>
      <c r="O152" s="39"/>
      <c r="P152" s="39"/>
      <c r="Q152" s="39"/>
      <c r="R152" s="39"/>
      <c r="S152" s="39"/>
      <c r="T152" s="39"/>
      <c r="U152" s="39"/>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row>
    <row r="153" spans="1:81" ht="15.75" customHeight="1" x14ac:dyDescent="0.25">
      <c r="A153" s="48"/>
      <c r="B153" s="1756" t="s">
        <v>1581</v>
      </c>
      <c r="C153" s="1757"/>
      <c r="D153" s="1757"/>
      <c r="E153" s="1757"/>
      <c r="F153" s="1757"/>
      <c r="G153" s="1758"/>
      <c r="H153" s="1676"/>
      <c r="I153" s="1677"/>
      <c r="J153" s="1676"/>
      <c r="K153" s="1678"/>
      <c r="L153" s="1679"/>
      <c r="M153" s="1678"/>
      <c r="N153" s="1679"/>
      <c r="O153" s="1679"/>
      <c r="P153" s="1679"/>
      <c r="Q153" s="1679"/>
      <c r="R153" s="1679"/>
      <c r="S153" s="1679"/>
      <c r="T153" s="1679"/>
      <c r="U153" s="1679"/>
      <c r="V153" s="1679"/>
      <c r="W153" s="1679"/>
      <c r="X153" s="1679"/>
      <c r="Y153" s="1679"/>
      <c r="Z153" s="1679"/>
      <c r="AA153" s="1680"/>
      <c r="AB153" s="4"/>
      <c r="AC153" s="4"/>
      <c r="AD153" s="4"/>
      <c r="AE153" s="4"/>
      <c r="AF153" s="4"/>
      <c r="AG153" s="4"/>
      <c r="AH153" s="1" t="s">
        <v>1582</v>
      </c>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row>
    <row r="154" spans="1:81" ht="15.75" customHeight="1" x14ac:dyDescent="0.25">
      <c r="A154" s="4"/>
      <c r="B154" s="1759"/>
      <c r="C154" s="228"/>
      <c r="D154" s="875"/>
      <c r="E154" s="227"/>
      <c r="F154" s="227"/>
      <c r="G154" s="227"/>
      <c r="H154" s="227"/>
      <c r="I154" s="875"/>
      <c r="J154" s="875"/>
      <c r="K154" s="1760"/>
      <c r="L154" s="1761"/>
      <c r="M154" s="1762" t="s">
        <v>1583</v>
      </c>
      <c r="N154" s="1762"/>
      <c r="O154" s="1763"/>
      <c r="P154" s="1764"/>
      <c r="Q154" s="1765"/>
      <c r="R154" s="656"/>
      <c r="S154" s="1685" t="s">
        <v>1584</v>
      </c>
      <c r="T154" s="1685"/>
      <c r="U154" s="1685"/>
      <c r="V154" s="656"/>
      <c r="W154" s="1766"/>
      <c r="X154" s="227"/>
      <c r="Y154" s="227"/>
      <c r="Z154" s="227"/>
      <c r="AA154" s="1767"/>
      <c r="AB154" s="4"/>
      <c r="AC154" s="4"/>
      <c r="AD154" s="4"/>
      <c r="AE154" s="4"/>
      <c r="AF154" s="4"/>
      <c r="AG154" s="4"/>
      <c r="AH154" s="1768" t="s">
        <v>1585</v>
      </c>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row>
    <row r="155" spans="1:81" ht="12.75" customHeight="1" x14ac:dyDescent="0.25">
      <c r="A155" s="4"/>
      <c r="B155" s="1769"/>
      <c r="C155" s="1770" t="s">
        <v>1586</v>
      </c>
      <c r="D155" s="1771"/>
      <c r="E155" s="1771" t="s">
        <v>1587</v>
      </c>
      <c r="F155" s="285"/>
      <c r="G155" s="1771" t="s">
        <v>1588</v>
      </c>
      <c r="H155" s="285"/>
      <c r="I155" s="1771" t="s">
        <v>1589</v>
      </c>
      <c r="J155" s="1772"/>
      <c r="K155" s="1773" t="s">
        <v>1590</v>
      </c>
      <c r="L155" s="1774"/>
      <c r="M155" s="1683" t="s">
        <v>1591</v>
      </c>
      <c r="N155" s="1683"/>
      <c r="O155" s="1688" t="s">
        <v>1592</v>
      </c>
      <c r="P155" s="933"/>
      <c r="Q155" s="1773" t="s">
        <v>1593</v>
      </c>
      <c r="R155" s="1774"/>
      <c r="S155" s="1683" t="s">
        <v>1594</v>
      </c>
      <c r="T155" s="1683"/>
      <c r="U155" s="1683" t="s">
        <v>1595</v>
      </c>
      <c r="V155" s="1774"/>
      <c r="W155" s="1688" t="s">
        <v>1596</v>
      </c>
      <c r="X155" s="1775"/>
      <c r="Y155" s="1776"/>
      <c r="Z155" s="285"/>
      <c r="AA155" s="1777"/>
      <c r="AB155" s="4"/>
      <c r="AC155" s="4"/>
      <c r="AD155" s="4"/>
      <c r="AE155" s="4"/>
      <c r="AF155" s="4"/>
      <c r="AG155" s="4"/>
      <c r="AH155" s="2213" t="s">
        <v>1597</v>
      </c>
      <c r="AI155" s="2207"/>
      <c r="AJ155" s="2207"/>
      <c r="AK155" s="2207"/>
      <c r="AL155" s="2207"/>
      <c r="AM155" s="2207"/>
      <c r="AN155" s="2207"/>
      <c r="AO155" s="4"/>
      <c r="AP155" s="2213" t="s">
        <v>1598</v>
      </c>
      <c r="AQ155" s="2207"/>
      <c r="AR155" s="2207"/>
      <c r="AS155" s="2207"/>
      <c r="AT155" s="4"/>
      <c r="AU155" s="2213" t="s">
        <v>1599</v>
      </c>
      <c r="AV155" s="2207"/>
      <c r="AW155" s="4"/>
      <c r="AX155" s="2213" t="s">
        <v>1600</v>
      </c>
      <c r="AY155" s="2207"/>
      <c r="AZ155" s="4"/>
      <c r="BA155" s="2148" t="s">
        <v>1471</v>
      </c>
      <c r="BB155" s="2149"/>
      <c r="BC155" s="2149"/>
      <c r="BD155" s="2149"/>
      <c r="BE155" s="2149"/>
      <c r="BF155" s="2149"/>
      <c r="BG155" s="4"/>
      <c r="BH155" s="2148" t="s">
        <v>1492</v>
      </c>
      <c r="BI155" s="2149"/>
      <c r="BJ155" s="2149"/>
      <c r="BK155" s="2149"/>
      <c r="BL155" s="2149"/>
      <c r="BM155" s="4"/>
      <c r="BN155" s="2206" t="s">
        <v>1496</v>
      </c>
      <c r="BO155" s="2207"/>
      <c r="BP155" s="1778"/>
      <c r="BQ155" s="2208" t="s">
        <v>1497</v>
      </c>
      <c r="BR155" s="2149"/>
      <c r="BS155" s="2149"/>
      <c r="BT155" s="4"/>
      <c r="BU155" s="2206" t="s">
        <v>1469</v>
      </c>
      <c r="BV155" s="2207"/>
      <c r="BW155" s="2207"/>
      <c r="BX155" s="1778"/>
      <c r="BY155" s="2206" t="s">
        <v>1470</v>
      </c>
      <c r="BZ155" s="2207"/>
      <c r="CA155" s="4"/>
      <c r="CB155" s="2209" t="s">
        <v>1472</v>
      </c>
      <c r="CC155" s="2210"/>
    </row>
    <row r="156" spans="1:81" ht="75" customHeight="1" x14ac:dyDescent="0.25">
      <c r="A156" s="4"/>
      <c r="B156" s="161" t="s">
        <v>1456</v>
      </c>
      <c r="C156" s="1695"/>
      <c r="D156" s="1779"/>
      <c r="E156" s="100"/>
      <c r="F156" s="100"/>
      <c r="G156" s="100"/>
      <c r="H156" s="100"/>
      <c r="I156" s="1509"/>
      <c r="J156" s="1780"/>
      <c r="K156" s="1509"/>
      <c r="L156" s="1780"/>
      <c r="M156" s="1781"/>
      <c r="N156" s="1781"/>
      <c r="O156" s="1780"/>
      <c r="P156" s="1780"/>
      <c r="Q156" s="1782"/>
      <c r="R156" s="1782"/>
      <c r="S156" s="1783"/>
      <c r="T156" s="1783"/>
      <c r="U156" s="1784"/>
      <c r="V156" s="1785"/>
      <c r="W156" s="1289"/>
      <c r="X156" s="107"/>
      <c r="Y156" s="107"/>
      <c r="Z156" s="107"/>
      <c r="AA156" s="108"/>
      <c r="AB156" s="4"/>
      <c r="AC156" s="4"/>
      <c r="AD156" s="4"/>
      <c r="AE156" s="4"/>
      <c r="AF156" s="4"/>
      <c r="AG156" s="4"/>
      <c r="AH156" s="1786" t="s">
        <v>1601</v>
      </c>
      <c r="AI156" s="1787" t="s">
        <v>1602</v>
      </c>
      <c r="AJ156" s="1787" t="s">
        <v>1603</v>
      </c>
      <c r="AK156" s="1787" t="s">
        <v>1604</v>
      </c>
      <c r="AL156" s="1787" t="s">
        <v>1605</v>
      </c>
      <c r="AM156" s="1787" t="s">
        <v>1606</v>
      </c>
      <c r="AN156" s="1788" t="s">
        <v>1607</v>
      </c>
      <c r="AO156" s="4"/>
      <c r="AP156" s="1789" t="s">
        <v>1601</v>
      </c>
      <c r="AQ156" s="1787" t="s">
        <v>1608</v>
      </c>
      <c r="AR156" s="1787" t="s">
        <v>1609</v>
      </c>
      <c r="AS156" s="1788" t="s">
        <v>1604</v>
      </c>
      <c r="AT156" s="4"/>
      <c r="AU156" s="1789" t="s">
        <v>1610</v>
      </c>
      <c r="AV156" s="1788" t="s">
        <v>1611</v>
      </c>
      <c r="AW156" s="4"/>
      <c r="AX156" s="1789" t="s">
        <v>1610</v>
      </c>
      <c r="AY156" s="1788" t="s">
        <v>1606</v>
      </c>
      <c r="AZ156" s="4"/>
      <c r="BA156" s="1790" t="s">
        <v>1601</v>
      </c>
      <c r="BB156" s="1787" t="s">
        <v>1606</v>
      </c>
      <c r="BC156" s="1787" t="s">
        <v>1605</v>
      </c>
      <c r="BD156" s="1787" t="s">
        <v>1603</v>
      </c>
      <c r="BE156" s="1787" t="s">
        <v>1602</v>
      </c>
      <c r="BF156" s="1788" t="s">
        <v>1607</v>
      </c>
      <c r="BG156" s="1"/>
      <c r="BH156" s="1790" t="s">
        <v>1601</v>
      </c>
      <c r="BI156" s="1787" t="s">
        <v>1605</v>
      </c>
      <c r="BJ156" s="1787" t="s">
        <v>1603</v>
      </c>
      <c r="BK156" s="1787" t="s">
        <v>1602</v>
      </c>
      <c r="BL156" s="1788" t="s">
        <v>1612</v>
      </c>
      <c r="BM156" s="1"/>
      <c r="BN156" s="1789" t="s">
        <v>1613</v>
      </c>
      <c r="BO156" s="1788" t="s">
        <v>1614</v>
      </c>
      <c r="BP156" s="1791"/>
      <c r="BQ156" s="1789" t="s">
        <v>1613</v>
      </c>
      <c r="BR156" s="1792" t="s">
        <v>1614</v>
      </c>
      <c r="BS156" s="1793" t="s">
        <v>1615</v>
      </c>
      <c r="BT156" s="4"/>
      <c r="BU156" s="1786" t="s">
        <v>1601</v>
      </c>
      <c r="BV156" s="1794" t="s">
        <v>1616</v>
      </c>
      <c r="BW156" s="1795" t="s">
        <v>1617</v>
      </c>
      <c r="BX156" s="1796"/>
      <c r="BY156" s="1797" t="s">
        <v>1610</v>
      </c>
      <c r="BZ156" s="1798" t="s">
        <v>1618</v>
      </c>
      <c r="CA156" s="4"/>
      <c r="CB156" s="1789" t="s">
        <v>1610</v>
      </c>
      <c r="CC156" s="1793" t="s">
        <v>1618</v>
      </c>
    </row>
    <row r="157" spans="1:81" ht="15.75" customHeight="1" x14ac:dyDescent="0.25">
      <c r="A157" s="4"/>
      <c r="B157" s="1799" t="s">
        <v>1457</v>
      </c>
      <c r="C157" s="1600">
        <v>53</v>
      </c>
      <c r="D157" s="106"/>
      <c r="E157" s="107">
        <v>680</v>
      </c>
      <c r="F157" s="107"/>
      <c r="G157" s="107">
        <v>0.44</v>
      </c>
      <c r="H157" s="107"/>
      <c r="I157" s="1520">
        <f t="shared" ref="I157:I158" si="56">C157*E157*G157*365</f>
        <v>5788024</v>
      </c>
      <c r="J157" s="106"/>
      <c r="K157" s="1520">
        <f t="shared" ref="K157:K158" si="57">(I157*0.2*0.01)/1000</f>
        <v>11.576048</v>
      </c>
      <c r="L157" s="107"/>
      <c r="M157" s="232">
        <f>C157*(AI157+AJ157+AL157+AN157)*E157*G157*365</f>
        <v>2837470.2705451539</v>
      </c>
      <c r="N157" s="107"/>
      <c r="O157" s="232">
        <f>C157*(AM157)*E157*G157*365</f>
        <v>381780.39119424886</v>
      </c>
      <c r="P157" s="232"/>
      <c r="Q157" s="232">
        <f>C157*(AK157)*E157*G157*365</f>
        <v>2568773.3382605966</v>
      </c>
      <c r="R157" s="232"/>
      <c r="S157" s="1393">
        <f t="shared" ref="S157:S158" si="58">((M157+Q157)*(1-0.2)*0.0125)/1000</f>
        <v>54.062436088057503</v>
      </c>
      <c r="T157" s="232"/>
      <c r="U157" s="787">
        <f t="shared" ref="U157:U158" si="59">(O157*0.02)/1000</f>
        <v>7.6356078238849774</v>
      </c>
      <c r="V157" s="104"/>
      <c r="W157" s="1167">
        <f>K125</f>
        <v>860612.14000000013</v>
      </c>
      <c r="X157" s="107" t="s">
        <v>1619</v>
      </c>
      <c r="Y157" s="107"/>
      <c r="Z157" s="107"/>
      <c r="AA157" s="108"/>
      <c r="AB157" s="4"/>
      <c r="AC157" s="4"/>
      <c r="AD157" s="4"/>
      <c r="AE157" s="4"/>
      <c r="AF157" s="4"/>
      <c r="AG157" s="4"/>
      <c r="AH157" s="1800" t="s">
        <v>1620</v>
      </c>
      <c r="AI157" s="1801">
        <v>7.6488535055593554E-2</v>
      </c>
      <c r="AJ157" s="1801">
        <v>0.15472472257238745</v>
      </c>
      <c r="AK157" s="1801">
        <v>0.44380834258126728</v>
      </c>
      <c r="AL157" s="1801">
        <v>0.22861605738914034</v>
      </c>
      <c r="AM157" s="1801">
        <v>6.5960402236453913E-2</v>
      </c>
      <c r="AN157" s="1802">
        <v>3.0401940165157418E-2</v>
      </c>
      <c r="AO157" s="4"/>
      <c r="AP157" s="1800" t="s">
        <v>1620</v>
      </c>
      <c r="AQ157" s="1801">
        <f>1-SUM(AR157:AS157)</f>
        <v>0.49023125518227884</v>
      </c>
      <c r="AR157" s="1801">
        <v>6.5960402236453913E-2</v>
      </c>
      <c r="AS157" s="1802">
        <v>0.44380834258126728</v>
      </c>
      <c r="AT157" s="4"/>
      <c r="AU157" s="1800" t="s">
        <v>1620</v>
      </c>
      <c r="AV157" s="1803">
        <v>1</v>
      </c>
      <c r="AW157" s="4"/>
      <c r="AX157" s="1800" t="s">
        <v>1620</v>
      </c>
      <c r="AY157" s="1803">
        <v>1</v>
      </c>
      <c r="AZ157" s="4"/>
      <c r="BA157" s="1800" t="s">
        <v>1620</v>
      </c>
      <c r="BB157" s="1804">
        <v>0.21140679400000001</v>
      </c>
      <c r="BC157" s="1801">
        <v>3.7602905999999998E-2</v>
      </c>
      <c r="BD157" s="1801">
        <v>0.214504853</v>
      </c>
      <c r="BE157" s="1801">
        <v>0.15671048400000001</v>
      </c>
      <c r="BF157" s="1802">
        <v>0.37977496300000002</v>
      </c>
      <c r="BG157" s="4"/>
      <c r="BH157" s="1805" t="s">
        <v>1620</v>
      </c>
      <c r="BI157" s="1801">
        <v>0</v>
      </c>
      <c r="BJ157" s="1801">
        <v>0</v>
      </c>
      <c r="BK157" s="1801">
        <v>0.05</v>
      </c>
      <c r="BL157" s="1802">
        <v>0.95</v>
      </c>
      <c r="BM157" s="4"/>
      <c r="BN157" s="152" t="s">
        <v>1621</v>
      </c>
      <c r="BO157" s="1806">
        <v>1</v>
      </c>
      <c r="BP157" s="4"/>
      <c r="BQ157" s="1042" t="s">
        <v>1621</v>
      </c>
      <c r="BR157" s="1807">
        <v>0.9</v>
      </c>
      <c r="BS157" s="1808">
        <v>0.1</v>
      </c>
      <c r="BT157" s="4"/>
      <c r="BU157" s="1042" t="s">
        <v>1621</v>
      </c>
      <c r="BV157" s="1031">
        <v>0</v>
      </c>
      <c r="BW157" s="1806">
        <v>1</v>
      </c>
      <c r="BX157" s="4"/>
      <c r="BY157" s="152" t="s">
        <v>1621</v>
      </c>
      <c r="BZ157" s="1806">
        <v>1</v>
      </c>
      <c r="CA157" s="4"/>
      <c r="CB157" s="1042" t="s">
        <v>1621</v>
      </c>
      <c r="CC157" s="1806">
        <v>1</v>
      </c>
    </row>
    <row r="158" spans="1:81" ht="15.75" customHeight="1" x14ac:dyDescent="0.25">
      <c r="A158" s="4"/>
      <c r="B158" s="781" t="s">
        <v>1458</v>
      </c>
      <c r="C158" s="1600">
        <v>28</v>
      </c>
      <c r="D158" s="106"/>
      <c r="E158" s="107">
        <v>476</v>
      </c>
      <c r="F158" s="107"/>
      <c r="G158" s="107">
        <v>0.31</v>
      </c>
      <c r="H158" s="107"/>
      <c r="I158" s="1520">
        <f t="shared" si="56"/>
        <v>1508063.2000000002</v>
      </c>
      <c r="J158" s="106"/>
      <c r="K158" s="1520">
        <f t="shared" si="57"/>
        <v>3.0161264000000005</v>
      </c>
      <c r="L158" s="107"/>
      <c r="M158" s="232">
        <f>C158*(AQ157)*E158*G158*365</f>
        <v>739299.71543020394</v>
      </c>
      <c r="N158" s="107"/>
      <c r="O158" s="232">
        <f>C158*(AR157)*E158*G158*365</f>
        <v>99472.45526999385</v>
      </c>
      <c r="P158" s="107"/>
      <c r="Q158" s="232">
        <f>C158*(AK157)*E158*G158*365</f>
        <v>669291.02929980226</v>
      </c>
      <c r="R158" s="232"/>
      <c r="S158" s="1393">
        <f t="shared" si="58"/>
        <v>14.085907447300064</v>
      </c>
      <c r="T158" s="232"/>
      <c r="U158" s="787">
        <f t="shared" si="59"/>
        <v>1.9894491053998771</v>
      </c>
      <c r="V158" s="104"/>
      <c r="W158" s="1809">
        <f>K124</f>
        <v>30550728.988079999</v>
      </c>
      <c r="X158" s="799" t="s">
        <v>1622</v>
      </c>
      <c r="Y158" s="236"/>
      <c r="Z158" s="799"/>
      <c r="AA158" s="1359"/>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row>
    <row r="159" spans="1:81" ht="15.75" customHeight="1" x14ac:dyDescent="0.25">
      <c r="A159" s="4"/>
      <c r="B159" s="164" t="s">
        <v>1461</v>
      </c>
      <c r="C159" s="1810"/>
      <c r="D159" s="106"/>
      <c r="E159" s="107"/>
      <c r="F159" s="107"/>
      <c r="G159" s="107"/>
      <c r="H159" s="107"/>
      <c r="I159" s="1520"/>
      <c r="J159" s="106"/>
      <c r="K159" s="1520"/>
      <c r="L159" s="107"/>
      <c r="M159" s="232"/>
      <c r="N159" s="107"/>
      <c r="O159" s="107"/>
      <c r="P159" s="107"/>
      <c r="Q159" s="107"/>
      <c r="R159" s="232"/>
      <c r="S159" s="1393"/>
      <c r="T159" s="107"/>
      <c r="U159" s="108"/>
      <c r="V159" s="104"/>
      <c r="W159" s="1811">
        <f>SUM(W157:W158)/1000*0.3</f>
        <v>9423.402338423999</v>
      </c>
      <c r="X159" s="1684" t="s">
        <v>1623</v>
      </c>
      <c r="Y159" s="656"/>
      <c r="Z159" s="656"/>
      <c r="AA159" s="1766"/>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row>
    <row r="160" spans="1:81" ht="15.75" customHeight="1" x14ac:dyDescent="0.25">
      <c r="A160" s="4"/>
      <c r="B160" s="781" t="s">
        <v>1466</v>
      </c>
      <c r="C160" s="1602">
        <v>3.9119999999999999</v>
      </c>
      <c r="D160" s="106"/>
      <c r="E160" s="107">
        <v>420</v>
      </c>
      <c r="F160" s="107"/>
      <c r="G160" s="107">
        <v>0.3</v>
      </c>
      <c r="H160" s="107"/>
      <c r="I160" s="1520">
        <f t="shared" ref="I160:I166" si="60">C160*E160*G160*365</f>
        <v>179912.88</v>
      </c>
      <c r="J160" s="106"/>
      <c r="K160" s="1520">
        <f t="shared" ref="K160:K166" si="61">(I160*0.2*0.01)/1000</f>
        <v>0.35982575999999999</v>
      </c>
      <c r="L160" s="107"/>
      <c r="M160" s="232">
        <f>C160*(AV157)*E160*G160*365</f>
        <v>179912.88</v>
      </c>
      <c r="N160" s="107"/>
      <c r="O160" s="106" t="s">
        <v>944</v>
      </c>
      <c r="P160" s="1812"/>
      <c r="Q160" s="106" t="s">
        <v>944</v>
      </c>
      <c r="R160" s="232"/>
      <c r="S160" s="1393">
        <f t="shared" ref="S160:S161" si="62">((M160)*(1-0.2)*0.0125)/1000</f>
        <v>1.7991288000000001</v>
      </c>
      <c r="T160" s="232"/>
      <c r="U160" s="1750" t="s">
        <v>944</v>
      </c>
      <c r="V160" s="1511"/>
      <c r="W160" s="1813"/>
      <c r="X160" s="1289"/>
      <c r="Y160" s="1289"/>
      <c r="Z160" s="1289"/>
      <c r="AA160" s="181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row>
    <row r="161" spans="1:81" ht="15.75" customHeight="1" x14ac:dyDescent="0.25">
      <c r="A161" s="4"/>
      <c r="B161" s="781" t="s">
        <v>1467</v>
      </c>
      <c r="C161" s="1602">
        <v>7.3949999999999996</v>
      </c>
      <c r="D161" s="106"/>
      <c r="E161" s="107">
        <v>420</v>
      </c>
      <c r="F161" s="107"/>
      <c r="G161" s="107">
        <v>0.3</v>
      </c>
      <c r="H161" s="107"/>
      <c r="I161" s="1520">
        <f t="shared" si="60"/>
        <v>340096.04999999993</v>
      </c>
      <c r="J161" s="106"/>
      <c r="K161" s="1520">
        <f t="shared" si="61"/>
        <v>0.68019209999999997</v>
      </c>
      <c r="L161" s="107"/>
      <c r="M161" s="232">
        <f>C161*AV157*E161*G161*365</f>
        <v>340096.04999999993</v>
      </c>
      <c r="N161" s="107"/>
      <c r="O161" s="106" t="s">
        <v>944</v>
      </c>
      <c r="P161" s="1812"/>
      <c r="Q161" s="106" t="s">
        <v>944</v>
      </c>
      <c r="R161" s="232"/>
      <c r="S161" s="1393">
        <f t="shared" si="62"/>
        <v>3.4009604999999996</v>
      </c>
      <c r="T161" s="232"/>
      <c r="U161" s="1750" t="s">
        <v>944</v>
      </c>
      <c r="V161" s="1511"/>
      <c r="W161" s="1809">
        <f>I185</f>
        <v>38992393.959000006</v>
      </c>
      <c r="X161" s="799" t="s">
        <v>1624</v>
      </c>
      <c r="Y161" s="236"/>
      <c r="Z161" s="799"/>
      <c r="AA161" s="1359"/>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row>
    <row r="162" spans="1:81" ht="15.75" customHeight="1" x14ac:dyDescent="0.25">
      <c r="A162" s="4"/>
      <c r="B162" s="781" t="s">
        <v>1468</v>
      </c>
      <c r="C162" s="1600">
        <v>4</v>
      </c>
      <c r="D162" s="106"/>
      <c r="E162" s="107">
        <v>750</v>
      </c>
      <c r="F162" s="107"/>
      <c r="G162" s="107">
        <v>0.31</v>
      </c>
      <c r="H162" s="107"/>
      <c r="I162" s="1520">
        <f t="shared" si="60"/>
        <v>339450</v>
      </c>
      <c r="J162" s="106"/>
      <c r="K162" s="1520">
        <f t="shared" si="61"/>
        <v>0.67889999999999995</v>
      </c>
      <c r="L162" s="107"/>
      <c r="M162" s="1520" t="s">
        <v>944</v>
      </c>
      <c r="N162" s="107"/>
      <c r="O162" s="1167">
        <f t="shared" ref="O162:O166" si="63">C162*(AY$157)*E162*G162*365</f>
        <v>339450</v>
      </c>
      <c r="P162" s="1812"/>
      <c r="Q162" s="106" t="s">
        <v>944</v>
      </c>
      <c r="R162" s="232"/>
      <c r="S162" s="1520" t="s">
        <v>944</v>
      </c>
      <c r="T162" s="232"/>
      <c r="U162" s="787">
        <f t="shared" ref="U162:U166" si="64">(O162*0.02)/1000</f>
        <v>6.7889999999999997</v>
      </c>
      <c r="V162" s="104"/>
      <c r="W162" s="1811">
        <f>(W161*(1-0)*0.3)/1000</f>
        <v>11697.718187700002</v>
      </c>
      <c r="X162" s="1684" t="s">
        <v>1625</v>
      </c>
      <c r="Y162" s="656"/>
      <c r="Z162" s="656"/>
      <c r="AA162" s="1766"/>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row>
    <row r="163" spans="1:81" ht="15.75" customHeight="1" x14ac:dyDescent="0.25">
      <c r="A163" s="4"/>
      <c r="B163" s="781" t="s">
        <v>1486</v>
      </c>
      <c r="C163" s="1600">
        <v>36.1</v>
      </c>
      <c r="D163" s="106"/>
      <c r="E163" s="107">
        <v>118</v>
      </c>
      <c r="F163" s="107"/>
      <c r="G163" s="107">
        <v>0.3</v>
      </c>
      <c r="H163" s="107"/>
      <c r="I163" s="1520">
        <f t="shared" si="60"/>
        <v>466448.10000000003</v>
      </c>
      <c r="J163" s="106"/>
      <c r="K163" s="1520">
        <f t="shared" si="61"/>
        <v>0.93289620000000018</v>
      </c>
      <c r="L163" s="107"/>
      <c r="M163" s="1520" t="s">
        <v>944</v>
      </c>
      <c r="N163" s="107"/>
      <c r="O163" s="1167">
        <f t="shared" si="63"/>
        <v>466448.10000000003</v>
      </c>
      <c r="P163" s="1812"/>
      <c r="Q163" s="106" t="s">
        <v>944</v>
      </c>
      <c r="R163" s="232"/>
      <c r="S163" s="1520" t="s">
        <v>944</v>
      </c>
      <c r="T163" s="232"/>
      <c r="U163" s="787">
        <f t="shared" si="64"/>
        <v>9.3289620000000006</v>
      </c>
      <c r="V163" s="104"/>
      <c r="W163" s="1815"/>
      <c r="X163" s="278"/>
      <c r="Y163" s="291"/>
      <c r="Z163" s="278"/>
      <c r="AA163" s="1816"/>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row>
    <row r="164" spans="1:81" ht="15.75" customHeight="1" x14ac:dyDescent="0.25">
      <c r="A164" s="4"/>
      <c r="B164" s="781" t="s">
        <v>1462</v>
      </c>
      <c r="C164" s="1600">
        <v>42</v>
      </c>
      <c r="D164" s="106"/>
      <c r="E164" s="107">
        <v>533</v>
      </c>
      <c r="F164" s="107"/>
      <c r="G164" s="107">
        <v>0.33</v>
      </c>
      <c r="H164" s="107"/>
      <c r="I164" s="1520">
        <f t="shared" si="60"/>
        <v>2696393.7</v>
      </c>
      <c r="J164" s="106"/>
      <c r="K164" s="1520">
        <f t="shared" si="61"/>
        <v>5.3927874000000013</v>
      </c>
      <c r="L164" s="107"/>
      <c r="M164" s="1520" t="s">
        <v>944</v>
      </c>
      <c r="N164" s="107"/>
      <c r="O164" s="1167">
        <f t="shared" si="63"/>
        <v>2696393.7</v>
      </c>
      <c r="P164" s="1812"/>
      <c r="Q164" s="106" t="s">
        <v>944</v>
      </c>
      <c r="R164" s="232"/>
      <c r="S164" s="1520" t="s">
        <v>944</v>
      </c>
      <c r="T164" s="232"/>
      <c r="U164" s="787">
        <f t="shared" si="64"/>
        <v>53.927874000000003</v>
      </c>
      <c r="V164" s="104"/>
      <c r="W164" s="1811">
        <f>SUM(W159,W162)*0.0075</f>
        <v>158.40840394593002</v>
      </c>
      <c r="X164" s="1684" t="s">
        <v>1626</v>
      </c>
      <c r="Y164" s="656"/>
      <c r="Z164" s="656"/>
      <c r="AA164" s="1766"/>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row>
    <row r="165" spans="1:81" ht="15.75" customHeight="1" x14ac:dyDescent="0.25">
      <c r="A165" s="4"/>
      <c r="B165" s="781" t="s">
        <v>1465</v>
      </c>
      <c r="C165" s="1600">
        <v>15</v>
      </c>
      <c r="D165" s="106"/>
      <c r="E165" s="107">
        <v>318</v>
      </c>
      <c r="F165" s="107"/>
      <c r="G165" s="107">
        <v>0.31</v>
      </c>
      <c r="H165" s="107"/>
      <c r="I165" s="1520">
        <f t="shared" si="60"/>
        <v>539725.5</v>
      </c>
      <c r="J165" s="106"/>
      <c r="K165" s="1520">
        <f t="shared" si="61"/>
        <v>1.0794509999999999</v>
      </c>
      <c r="L165" s="107"/>
      <c r="M165" s="1520" t="s">
        <v>944</v>
      </c>
      <c r="N165" s="107"/>
      <c r="O165" s="1167">
        <f t="shared" si="63"/>
        <v>539725.5</v>
      </c>
      <c r="P165" s="1812"/>
      <c r="Q165" s="106" t="s">
        <v>944</v>
      </c>
      <c r="R165" s="232"/>
      <c r="S165" s="1520" t="s">
        <v>944</v>
      </c>
      <c r="T165" s="232"/>
      <c r="U165" s="787">
        <f t="shared" si="64"/>
        <v>10.794510000000001</v>
      </c>
      <c r="V165" s="104"/>
      <c r="W165" s="1817"/>
      <c r="X165" s="298"/>
      <c r="Y165" s="298"/>
      <c r="Z165" s="298"/>
      <c r="AA165" s="1386"/>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row>
    <row r="166" spans="1:81" ht="15.75" customHeight="1" x14ac:dyDescent="0.25">
      <c r="A166" s="4"/>
      <c r="B166" s="781" t="s">
        <v>1627</v>
      </c>
      <c r="C166" s="1818">
        <v>17</v>
      </c>
      <c r="D166" s="106"/>
      <c r="E166" s="107">
        <v>420</v>
      </c>
      <c r="F166" s="107"/>
      <c r="G166" s="107">
        <v>0.31</v>
      </c>
      <c r="H166" s="107"/>
      <c r="I166" s="1520">
        <f t="shared" si="60"/>
        <v>807891</v>
      </c>
      <c r="J166" s="106"/>
      <c r="K166" s="1520">
        <f t="shared" si="61"/>
        <v>1.6157820000000001</v>
      </c>
      <c r="L166" s="107"/>
      <c r="M166" s="1520" t="s">
        <v>944</v>
      </c>
      <c r="N166" s="107"/>
      <c r="O166" s="1167">
        <f t="shared" si="63"/>
        <v>807891</v>
      </c>
      <c r="P166" s="1812"/>
      <c r="Q166" s="106" t="s">
        <v>944</v>
      </c>
      <c r="R166" s="232"/>
      <c r="S166" s="1520" t="s">
        <v>944</v>
      </c>
      <c r="T166" s="232"/>
      <c r="U166" s="787">
        <f t="shared" si="64"/>
        <v>16.157820000000001</v>
      </c>
      <c r="V166" s="48"/>
      <c r="W166" s="1819"/>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row>
    <row r="167" spans="1:81" ht="15.75" customHeight="1" x14ac:dyDescent="0.25">
      <c r="A167" s="4"/>
      <c r="B167" s="164" t="s">
        <v>1471</v>
      </c>
      <c r="C167" s="1810"/>
      <c r="D167" s="106"/>
      <c r="E167" s="107"/>
      <c r="F167" s="107"/>
      <c r="G167" s="107"/>
      <c r="H167" s="107"/>
      <c r="I167" s="1520"/>
      <c r="J167" s="106"/>
      <c r="K167" s="1520"/>
      <c r="L167" s="107"/>
      <c r="M167" s="107"/>
      <c r="N167" s="107"/>
      <c r="O167" s="107"/>
      <c r="P167" s="107"/>
      <c r="Q167" s="107"/>
      <c r="R167" s="232"/>
      <c r="S167" s="106"/>
      <c r="T167" s="107"/>
      <c r="U167" s="108"/>
      <c r="V167" s="48"/>
      <c r="W167" s="1819"/>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row>
    <row r="168" spans="1:81" ht="15.75" customHeight="1" x14ac:dyDescent="0.25">
      <c r="A168" s="4"/>
      <c r="B168" s="781" t="s">
        <v>1487</v>
      </c>
      <c r="C168" s="1600">
        <v>2</v>
      </c>
      <c r="D168" s="106"/>
      <c r="E168" s="107">
        <v>198</v>
      </c>
      <c r="F168" s="107"/>
      <c r="G168" s="107">
        <v>0.23499999999999999</v>
      </c>
      <c r="H168" s="107"/>
      <c r="I168" s="1520">
        <f t="shared" ref="I168:I172" si="65">C168*E168*G168*365</f>
        <v>33966.899999999994</v>
      </c>
      <c r="J168" s="106"/>
      <c r="K168" s="1520">
        <f t="shared" ref="K168:K172" si="66">(I168*0.2*0.01)/1000</f>
        <v>6.7933799999999989E-2</v>
      </c>
      <c r="L168" s="107"/>
      <c r="M168" s="232">
        <f>C168*(BC157+BD157+BE157+BF157)*E168*G168*365</f>
        <v>26786.066568881401</v>
      </c>
      <c r="N168" s="107"/>
      <c r="O168" s="232">
        <f t="shared" ref="O168:O172" si="67">C168*(BB$157)*E168*G168*365</f>
        <v>7180.8334311185999</v>
      </c>
      <c r="P168" s="107"/>
      <c r="Q168" s="106" t="s">
        <v>944</v>
      </c>
      <c r="R168" s="232"/>
      <c r="S168" s="1393">
        <f t="shared" ref="S168:S172" si="68">((M168)*(1-0.2)*0.0125)/1000</f>
        <v>0.26786066568881406</v>
      </c>
      <c r="T168" s="232"/>
      <c r="U168" s="787">
        <f t="shared" ref="U168:U172" si="69">(O168*0.02)/1000</f>
        <v>0.14361666862237199</v>
      </c>
      <c r="V168" s="1820"/>
      <c r="W168" s="1819"/>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row>
    <row r="169" spans="1:81" ht="15.75" customHeight="1" x14ac:dyDescent="0.25">
      <c r="A169" s="4"/>
      <c r="B169" s="781" t="s">
        <v>1488</v>
      </c>
      <c r="C169" s="1600">
        <v>9</v>
      </c>
      <c r="D169" s="106"/>
      <c r="E169" s="107">
        <v>15.88</v>
      </c>
      <c r="F169" s="107"/>
      <c r="G169" s="107">
        <v>0.6</v>
      </c>
      <c r="H169" s="107"/>
      <c r="I169" s="1520">
        <f t="shared" si="65"/>
        <v>31299.480000000003</v>
      </c>
      <c r="J169" s="106"/>
      <c r="K169" s="1520">
        <f t="shared" si="66"/>
        <v>6.2598960000000009E-2</v>
      </c>
      <c r="L169" s="107"/>
      <c r="M169" s="232">
        <f>C169*(BC157+BD157+BE157+BF157)*E169*G169*365</f>
        <v>24682.557279332883</v>
      </c>
      <c r="N169" s="107"/>
      <c r="O169" s="232">
        <f t="shared" si="67"/>
        <v>6616.9227206671203</v>
      </c>
      <c r="P169" s="107"/>
      <c r="Q169" s="106" t="s">
        <v>944</v>
      </c>
      <c r="R169" s="232"/>
      <c r="S169" s="1393">
        <f t="shared" si="68"/>
        <v>0.2468255727933289</v>
      </c>
      <c r="T169" s="232"/>
      <c r="U169" s="787">
        <f t="shared" si="69"/>
        <v>0.13233845441334241</v>
      </c>
      <c r="V169" s="1821"/>
      <c r="W169" s="1819"/>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row>
    <row r="170" spans="1:81" ht="15.75" customHeight="1" x14ac:dyDescent="0.25">
      <c r="A170" s="4"/>
      <c r="B170" s="781" t="s">
        <v>1489</v>
      </c>
      <c r="C170" s="1602">
        <v>7</v>
      </c>
      <c r="D170" s="106"/>
      <c r="E170" s="107">
        <v>40.6</v>
      </c>
      <c r="F170" s="107"/>
      <c r="G170" s="107">
        <v>0.42</v>
      </c>
      <c r="H170" s="107"/>
      <c r="I170" s="1520">
        <f t="shared" si="65"/>
        <v>43567.859999999993</v>
      </c>
      <c r="J170" s="106"/>
      <c r="K170" s="1520">
        <f t="shared" si="66"/>
        <v>8.7135719999999972E-2</v>
      </c>
      <c r="L170" s="107"/>
      <c r="M170" s="232">
        <f>C170*(BC157+BD157+BE157+BF157)*E170*G170*365</f>
        <v>34357.318395959162</v>
      </c>
      <c r="N170" s="107"/>
      <c r="O170" s="232">
        <f t="shared" si="67"/>
        <v>9210.54160404084</v>
      </c>
      <c r="P170" s="107"/>
      <c r="Q170" s="106" t="s">
        <v>944</v>
      </c>
      <c r="R170" s="232"/>
      <c r="S170" s="1393">
        <f t="shared" si="68"/>
        <v>0.34357318395959169</v>
      </c>
      <c r="T170" s="232"/>
      <c r="U170" s="787">
        <f t="shared" si="69"/>
        <v>0.18421083208081679</v>
      </c>
      <c r="V170" s="1820"/>
      <c r="W170" s="1819"/>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row>
    <row r="171" spans="1:81" ht="15.75" customHeight="1" x14ac:dyDescent="0.25">
      <c r="A171" s="4"/>
      <c r="B171" s="781" t="s">
        <v>1490</v>
      </c>
      <c r="C171" s="1600">
        <v>4</v>
      </c>
      <c r="D171" s="106"/>
      <c r="E171" s="107">
        <v>67.819999999999993</v>
      </c>
      <c r="F171" s="107"/>
      <c r="G171" s="107">
        <v>0.42</v>
      </c>
      <c r="H171" s="107"/>
      <c r="I171" s="1520">
        <f t="shared" si="65"/>
        <v>41587.223999999995</v>
      </c>
      <c r="J171" s="106"/>
      <c r="K171" s="1520">
        <f t="shared" si="66"/>
        <v>8.3174447999999998E-2</v>
      </c>
      <c r="L171" s="107"/>
      <c r="M171" s="232">
        <f>C171*(BC157+BD157+BE157+BF157)*E171*G171*365</f>
        <v>32795.402302800147</v>
      </c>
      <c r="N171" s="107"/>
      <c r="O171" s="232">
        <f t="shared" si="67"/>
        <v>8791.8216971998554</v>
      </c>
      <c r="P171" s="107"/>
      <c r="Q171" s="106" t="s">
        <v>944</v>
      </c>
      <c r="R171" s="232"/>
      <c r="S171" s="1393">
        <f t="shared" si="68"/>
        <v>0.32795402302800153</v>
      </c>
      <c r="T171" s="232"/>
      <c r="U171" s="787">
        <f t="shared" si="69"/>
        <v>0.17583643394399712</v>
      </c>
      <c r="V171" s="48"/>
      <c r="W171" s="1819"/>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row>
    <row r="172" spans="1:81" ht="15.75" customHeight="1" x14ac:dyDescent="0.25">
      <c r="A172" s="4"/>
      <c r="B172" s="781" t="s">
        <v>1491</v>
      </c>
      <c r="C172" s="1600">
        <v>4</v>
      </c>
      <c r="D172" s="106"/>
      <c r="E172" s="107">
        <v>90.75</v>
      </c>
      <c r="F172" s="107"/>
      <c r="G172" s="107">
        <v>0.42</v>
      </c>
      <c r="H172" s="107"/>
      <c r="I172" s="1520">
        <f t="shared" si="65"/>
        <v>55647.9</v>
      </c>
      <c r="J172" s="106"/>
      <c r="K172" s="1520">
        <f t="shared" si="66"/>
        <v>0.11129580000000001</v>
      </c>
      <c r="L172" s="107"/>
      <c r="M172" s="232">
        <f>C172*(BC157+BD157+BE157+BF157)*E172*G172*365</f>
        <v>43883.555868167401</v>
      </c>
      <c r="N172" s="107"/>
      <c r="O172" s="232">
        <f t="shared" si="67"/>
        <v>11764.3441318326</v>
      </c>
      <c r="P172" s="107"/>
      <c r="Q172" s="106" t="s">
        <v>944</v>
      </c>
      <c r="R172" s="232"/>
      <c r="S172" s="1393">
        <f t="shared" si="68"/>
        <v>0.43883555868167406</v>
      </c>
      <c r="T172" s="232"/>
      <c r="U172" s="787">
        <f t="shared" si="69"/>
        <v>0.23528688263665201</v>
      </c>
      <c r="V172" s="48"/>
      <c r="W172" s="1819"/>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row>
    <row r="173" spans="1:81" ht="15.75" customHeight="1" x14ac:dyDescent="0.25">
      <c r="A173" s="4"/>
      <c r="B173" s="164" t="s">
        <v>1447</v>
      </c>
      <c r="C173" s="1810"/>
      <c r="D173" s="106"/>
      <c r="E173" s="107"/>
      <c r="F173" s="107"/>
      <c r="G173" s="107"/>
      <c r="H173" s="107"/>
      <c r="I173" s="1520"/>
      <c r="J173" s="106"/>
      <c r="K173" s="1520"/>
      <c r="L173" s="107"/>
      <c r="M173" s="107"/>
      <c r="N173" s="107"/>
      <c r="O173" s="107"/>
      <c r="P173" s="107"/>
      <c r="Q173" s="107"/>
      <c r="R173" s="232"/>
      <c r="S173" s="1393"/>
      <c r="T173" s="107"/>
      <c r="U173" s="108"/>
      <c r="V173" s="48"/>
      <c r="W173" s="98"/>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row>
    <row r="174" spans="1:81" ht="15.75" customHeight="1" x14ac:dyDescent="0.25">
      <c r="A174" s="4"/>
      <c r="B174" s="781" t="s">
        <v>1492</v>
      </c>
      <c r="C174" s="1810"/>
      <c r="D174" s="106"/>
      <c r="E174" s="107"/>
      <c r="F174" s="107"/>
      <c r="G174" s="107"/>
      <c r="H174" s="107"/>
      <c r="I174" s="1520"/>
      <c r="J174" s="106"/>
      <c r="K174" s="1520"/>
      <c r="L174" s="107"/>
      <c r="M174" s="107"/>
      <c r="N174" s="107"/>
      <c r="O174" s="107"/>
      <c r="P174" s="107"/>
      <c r="Q174" s="107"/>
      <c r="R174" s="232"/>
      <c r="S174" s="1393"/>
      <c r="T174" s="107"/>
      <c r="U174" s="108"/>
      <c r="V174" s="1821"/>
      <c r="W174" s="1819"/>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row>
    <row r="175" spans="1:81" ht="15.75" customHeight="1" x14ac:dyDescent="0.25">
      <c r="A175" s="4"/>
      <c r="B175" s="781" t="s">
        <v>1493</v>
      </c>
      <c r="C175" s="1600">
        <v>2292</v>
      </c>
      <c r="D175" s="106"/>
      <c r="E175" s="107">
        <v>1.8</v>
      </c>
      <c r="F175" s="107"/>
      <c r="G175" s="107">
        <v>0.83</v>
      </c>
      <c r="H175" s="107"/>
      <c r="I175" s="1520">
        <f t="shared" ref="I175:I179" si="70">C175*E175*G175*365</f>
        <v>1249850.52</v>
      </c>
      <c r="J175" s="106"/>
      <c r="K175" s="1520">
        <f t="shared" ref="K175:K179" si="71">(I175*0.2*0.01)/1000</f>
        <v>2.4997010400000006</v>
      </c>
      <c r="L175" s="107"/>
      <c r="M175" s="232">
        <f t="shared" ref="M175:M179" si="72">C175*(BI$157+BJ$157+BK$157+BL$157)*E175*G175*365</f>
        <v>1249850.52</v>
      </c>
      <c r="N175" s="107"/>
      <c r="O175" s="106" t="s">
        <v>944</v>
      </c>
      <c r="P175" s="107"/>
      <c r="Q175" s="106" t="s">
        <v>944</v>
      </c>
      <c r="R175" s="232"/>
      <c r="S175" s="1393">
        <f t="shared" ref="S175:S176" si="73">((M175)*(1-0.042)*(1-0.2)*0.0125)/1000</f>
        <v>11.9735679816</v>
      </c>
      <c r="T175" s="232"/>
      <c r="U175" s="1750" t="s">
        <v>944</v>
      </c>
      <c r="V175" s="1821"/>
      <c r="W175" s="1819"/>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row>
    <row r="176" spans="1:81" ht="15.75" customHeight="1" x14ac:dyDescent="0.25">
      <c r="A176" s="4"/>
      <c r="B176" s="781" t="s">
        <v>1494</v>
      </c>
      <c r="C176" s="1600">
        <v>184</v>
      </c>
      <c r="D176" s="106"/>
      <c r="E176" s="107">
        <v>1.8</v>
      </c>
      <c r="F176" s="107"/>
      <c r="G176" s="107">
        <v>0.62</v>
      </c>
      <c r="H176" s="107"/>
      <c r="I176" s="1520">
        <f t="shared" si="70"/>
        <v>74950.559999999998</v>
      </c>
      <c r="J176" s="106"/>
      <c r="K176" s="1520">
        <f t="shared" si="71"/>
        <v>0.14990112000000003</v>
      </c>
      <c r="L176" s="107"/>
      <c r="M176" s="232">
        <f t="shared" si="72"/>
        <v>74950.559999999998</v>
      </c>
      <c r="N176" s="107"/>
      <c r="O176" s="106" t="s">
        <v>944</v>
      </c>
      <c r="P176" s="107"/>
      <c r="Q176" s="106" t="s">
        <v>944</v>
      </c>
      <c r="R176" s="232"/>
      <c r="S176" s="1393">
        <f t="shared" si="73"/>
        <v>0.71802636480000004</v>
      </c>
      <c r="T176" s="232"/>
      <c r="U176" s="1750" t="s">
        <v>944</v>
      </c>
      <c r="V176" s="1821"/>
      <c r="W176" s="1819"/>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row>
    <row r="177" spans="1:81" ht="15.75" customHeight="1" x14ac:dyDescent="0.25">
      <c r="A177" s="4"/>
      <c r="B177" s="781" t="s">
        <v>1495</v>
      </c>
      <c r="C177" s="1600">
        <v>12</v>
      </c>
      <c r="D177" s="106"/>
      <c r="E177" s="107">
        <v>1.8</v>
      </c>
      <c r="F177" s="107"/>
      <c r="G177" s="107">
        <v>0.83</v>
      </c>
      <c r="H177" s="107"/>
      <c r="I177" s="1520">
        <f t="shared" si="70"/>
        <v>6543.72</v>
      </c>
      <c r="J177" s="106"/>
      <c r="K177" s="1520">
        <f t="shared" si="71"/>
        <v>1.3087440000000001E-2</v>
      </c>
      <c r="L177" s="107"/>
      <c r="M177" s="232">
        <f t="shared" si="72"/>
        <v>6543.72</v>
      </c>
      <c r="N177" s="107"/>
      <c r="O177" s="106" t="s">
        <v>944</v>
      </c>
      <c r="P177" s="107"/>
      <c r="Q177" s="106" t="s">
        <v>944</v>
      </c>
      <c r="R177" s="232"/>
      <c r="S177" s="1393">
        <f t="shared" ref="S177:S179" si="74">(((M177)*(0.958)*(1-0.2)*0.0125))/1000</f>
        <v>6.2688837600000005E-2</v>
      </c>
      <c r="T177" s="232"/>
      <c r="U177" s="1750" t="s">
        <v>944</v>
      </c>
      <c r="V177" s="1821"/>
      <c r="W177" s="1819"/>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row>
    <row r="178" spans="1:81" ht="15.75" customHeight="1" x14ac:dyDescent="0.25">
      <c r="A178" s="4"/>
      <c r="B178" s="781" t="s">
        <v>1496</v>
      </c>
      <c r="C178" s="1600">
        <v>53072.7</v>
      </c>
      <c r="D178" s="106"/>
      <c r="E178" s="107">
        <v>0.9</v>
      </c>
      <c r="F178" s="107"/>
      <c r="G178" s="107">
        <v>1.1000000000000001</v>
      </c>
      <c r="H178" s="107"/>
      <c r="I178" s="1520">
        <f t="shared" si="70"/>
        <v>19177820.145000003</v>
      </c>
      <c r="J178" s="106"/>
      <c r="K178" s="1520">
        <f t="shared" si="71"/>
        <v>38.355640290000011</v>
      </c>
      <c r="L178" s="107"/>
      <c r="M178" s="232">
        <f t="shared" si="72"/>
        <v>19177820.145000003</v>
      </c>
      <c r="N178" s="107"/>
      <c r="O178" s="106" t="s">
        <v>944</v>
      </c>
      <c r="P178" s="107"/>
      <c r="Q178" s="106" t="s">
        <v>944</v>
      </c>
      <c r="R178" s="232"/>
      <c r="S178" s="1393">
        <f t="shared" si="74"/>
        <v>183.72351698910003</v>
      </c>
      <c r="T178" s="232"/>
      <c r="U178" s="1750" t="s">
        <v>944</v>
      </c>
      <c r="V178" s="48"/>
      <c r="W178" s="1819"/>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row>
    <row r="179" spans="1:81" ht="15.75" customHeight="1" x14ac:dyDescent="0.25">
      <c r="A179" s="4"/>
      <c r="B179" s="781" t="s">
        <v>1497</v>
      </c>
      <c r="C179" s="1600">
        <v>704</v>
      </c>
      <c r="D179" s="106"/>
      <c r="E179" s="107">
        <v>6.8</v>
      </c>
      <c r="F179" s="107"/>
      <c r="G179" s="107">
        <v>0.74</v>
      </c>
      <c r="H179" s="107"/>
      <c r="I179" s="1520">
        <f t="shared" si="70"/>
        <v>1293022.72</v>
      </c>
      <c r="J179" s="106"/>
      <c r="K179" s="1520">
        <f t="shared" si="71"/>
        <v>2.5860454399999999</v>
      </c>
      <c r="L179" s="107"/>
      <c r="M179" s="232">
        <f t="shared" si="72"/>
        <v>1293022.72</v>
      </c>
      <c r="N179" s="107"/>
      <c r="O179" s="1520">
        <f>C179*(BS157)*E179*G179*365</f>
        <v>129302.27200000001</v>
      </c>
      <c r="P179" s="107"/>
      <c r="Q179" s="106" t="s">
        <v>944</v>
      </c>
      <c r="R179" s="232"/>
      <c r="S179" s="232">
        <f t="shared" si="74"/>
        <v>12.387157657600001</v>
      </c>
      <c r="T179" s="232"/>
      <c r="U179" s="787">
        <f>(O179*0.02)/1000</f>
        <v>2.5860454400000004</v>
      </c>
      <c r="V179" s="48"/>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row>
    <row r="180" spans="1:81" ht="15.75" customHeight="1" x14ac:dyDescent="0.25">
      <c r="A180" s="4"/>
      <c r="B180" s="164" t="s">
        <v>716</v>
      </c>
      <c r="C180" s="1810"/>
      <c r="D180" s="106"/>
      <c r="E180" s="107"/>
      <c r="F180" s="107"/>
      <c r="G180" s="107"/>
      <c r="H180" s="107"/>
      <c r="I180" s="1520"/>
      <c r="J180" s="106"/>
      <c r="K180" s="1520"/>
      <c r="L180" s="107"/>
      <c r="M180" s="107"/>
      <c r="N180" s="107"/>
      <c r="O180" s="107"/>
      <c r="P180" s="107"/>
      <c r="Q180" s="107"/>
      <c r="R180" s="232"/>
      <c r="S180" s="107"/>
      <c r="T180" s="107"/>
      <c r="U180" s="108"/>
      <c r="V180" s="48"/>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row>
    <row r="181" spans="1:81" ht="15.75" customHeight="1" x14ac:dyDescent="0.25">
      <c r="A181" s="4"/>
      <c r="B181" s="781" t="s">
        <v>1498</v>
      </c>
      <c r="C181" s="1600">
        <v>0</v>
      </c>
      <c r="D181" s="106"/>
      <c r="E181" s="107">
        <v>25</v>
      </c>
      <c r="F181" s="107"/>
      <c r="G181" s="107">
        <v>0.42</v>
      </c>
      <c r="H181" s="107"/>
      <c r="I181" s="1520">
        <f t="shared" ref="I181:I184" si="75">C181*E181*G181*365</f>
        <v>0</v>
      </c>
      <c r="J181" s="106"/>
      <c r="K181" s="1520">
        <f t="shared" ref="K181:K184" si="76">(I181*0.2*0.01)/1000</f>
        <v>0</v>
      </c>
      <c r="L181" s="106"/>
      <c r="M181" s="232">
        <f>C181*(1-BV157)*E181*G181*365</f>
        <v>0</v>
      </c>
      <c r="N181" s="106"/>
      <c r="O181" s="1520">
        <f>C181*(BV157)*E181*G181*365</f>
        <v>0</v>
      </c>
      <c r="P181" s="106"/>
      <c r="Q181" s="106" t="s">
        <v>944</v>
      </c>
      <c r="R181" s="232"/>
      <c r="S181" s="232">
        <f t="shared" ref="S181:S182" si="77">((M181)*(1-0.2)*0.0125)/1000</f>
        <v>0</v>
      </c>
      <c r="T181" s="232"/>
      <c r="U181" s="787">
        <f t="shared" ref="U181:U184" si="78">(O181*0.02)/1000</f>
        <v>0</v>
      </c>
      <c r="V181" s="48"/>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row>
    <row r="182" spans="1:81" ht="15.75" customHeight="1" x14ac:dyDescent="0.25">
      <c r="A182" s="4"/>
      <c r="B182" s="781" t="s">
        <v>1499</v>
      </c>
      <c r="C182" s="1602">
        <v>24</v>
      </c>
      <c r="D182" s="106"/>
      <c r="E182" s="107">
        <v>80</v>
      </c>
      <c r="F182" s="107"/>
      <c r="G182" s="107">
        <v>0.42</v>
      </c>
      <c r="H182" s="107"/>
      <c r="I182" s="1520">
        <f t="shared" si="75"/>
        <v>294336</v>
      </c>
      <c r="J182" s="106"/>
      <c r="K182" s="1520">
        <f t="shared" si="76"/>
        <v>0.58867199999999997</v>
      </c>
      <c r="L182" s="106"/>
      <c r="M182" s="232">
        <f>C182*(1-BW157)*E182*G182*365</f>
        <v>0</v>
      </c>
      <c r="N182" s="106"/>
      <c r="O182" s="1520">
        <f>C182*(BW157)*E182*G182*365</f>
        <v>294336</v>
      </c>
      <c r="P182" s="106"/>
      <c r="Q182" s="106" t="s">
        <v>944</v>
      </c>
      <c r="R182" s="232"/>
      <c r="S182" s="232">
        <f t="shared" si="77"/>
        <v>0</v>
      </c>
      <c r="T182" s="232"/>
      <c r="U182" s="787">
        <f t="shared" si="78"/>
        <v>5.8867200000000004</v>
      </c>
      <c r="V182" s="48"/>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row>
    <row r="183" spans="1:81" ht="15.75" customHeight="1" x14ac:dyDescent="0.25">
      <c r="A183" s="4"/>
      <c r="B183" s="781" t="s">
        <v>1470</v>
      </c>
      <c r="C183" s="1600">
        <v>12</v>
      </c>
      <c r="D183" s="106"/>
      <c r="E183" s="107">
        <v>64</v>
      </c>
      <c r="F183" s="107"/>
      <c r="G183" s="107">
        <v>0.45</v>
      </c>
      <c r="H183" s="107"/>
      <c r="I183" s="1520">
        <f t="shared" si="75"/>
        <v>126144.00000000001</v>
      </c>
      <c r="J183" s="106"/>
      <c r="K183" s="1520">
        <f t="shared" si="76"/>
        <v>0.25228800000000001</v>
      </c>
      <c r="L183" s="106"/>
      <c r="M183" s="1520" t="s">
        <v>944</v>
      </c>
      <c r="N183" s="106"/>
      <c r="O183" s="1520">
        <f>C183*(BZ157)*E183*G183*365</f>
        <v>126144.00000000001</v>
      </c>
      <c r="P183" s="106"/>
      <c r="Q183" s="106" t="s">
        <v>944</v>
      </c>
      <c r="R183" s="232"/>
      <c r="S183" s="1520" t="s">
        <v>944</v>
      </c>
      <c r="T183" s="232"/>
      <c r="U183" s="787">
        <f t="shared" si="78"/>
        <v>2.5228800000000007</v>
      </c>
      <c r="V183" s="48"/>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row>
    <row r="184" spans="1:81" ht="15.75" customHeight="1" x14ac:dyDescent="0.25">
      <c r="A184" s="4"/>
      <c r="B184" s="781" t="s">
        <v>1472</v>
      </c>
      <c r="C184" s="1602">
        <v>79.099999999999994</v>
      </c>
      <c r="D184" s="106"/>
      <c r="E184" s="107">
        <v>450</v>
      </c>
      <c r="F184" s="107"/>
      <c r="G184" s="107">
        <v>0.3</v>
      </c>
      <c r="H184" s="107"/>
      <c r="I184" s="1520">
        <f t="shared" si="75"/>
        <v>3897652.5</v>
      </c>
      <c r="J184" s="106"/>
      <c r="K184" s="1520">
        <f t="shared" si="76"/>
        <v>7.7953049999999999</v>
      </c>
      <c r="L184" s="106"/>
      <c r="M184" s="1520" t="s">
        <v>944</v>
      </c>
      <c r="N184" s="106"/>
      <c r="O184" s="1520">
        <f>C184*CC157*E184*G184*365</f>
        <v>3897652.5</v>
      </c>
      <c r="P184" s="106"/>
      <c r="Q184" s="106" t="s">
        <v>944</v>
      </c>
      <c r="R184" s="232"/>
      <c r="S184" s="1520" t="s">
        <v>944</v>
      </c>
      <c r="T184" s="232"/>
      <c r="U184" s="787">
        <f t="shared" si="78"/>
        <v>77.953050000000005</v>
      </c>
      <c r="V184" s="48"/>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row>
    <row r="185" spans="1:81" ht="15.75" customHeight="1" x14ac:dyDescent="0.25">
      <c r="A185" s="4"/>
      <c r="B185" s="1604" t="s">
        <v>1473</v>
      </c>
      <c r="C185" s="1822"/>
      <c r="D185" s="1605"/>
      <c r="E185" s="1610"/>
      <c r="F185" s="1610"/>
      <c r="G185" s="1610"/>
      <c r="H185" s="1610"/>
      <c r="I185" s="1647">
        <f>SUM(I157:I184)</f>
        <v>38992393.959000006</v>
      </c>
      <c r="J185" s="1605"/>
      <c r="K185" s="1647">
        <f>SUM(K157:K184)</f>
        <v>77.984787918000009</v>
      </c>
      <c r="L185" s="1610"/>
      <c r="M185" s="1647">
        <f>SUM(M157:M184)</f>
        <v>26061471.481390499</v>
      </c>
      <c r="N185" s="1605"/>
      <c r="O185" s="1647">
        <f>SUM(O157:O184)</f>
        <v>9822160.3820491023</v>
      </c>
      <c r="P185" s="1610"/>
      <c r="Q185" s="1647">
        <f>SUM(Q157:Q184)</f>
        <v>3238064.3675603988</v>
      </c>
      <c r="R185" s="1605"/>
      <c r="S185" s="1823">
        <f>SUM(S157:S184)</f>
        <v>283.83843967020903</v>
      </c>
      <c r="T185" s="1647"/>
      <c r="U185" s="1824">
        <f>SUM(U157:U184)</f>
        <v>196.44320764098205</v>
      </c>
      <c r="V185" s="358"/>
      <c r="W185" s="4"/>
      <c r="X185" s="4"/>
      <c r="Y185" s="65"/>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row>
    <row r="186" spans="1:81" ht="15.75" customHeight="1" x14ac:dyDescent="0.25">
      <c r="A186" s="4"/>
      <c r="B186" s="1825"/>
      <c r="C186" s="1826"/>
      <c r="D186" s="292"/>
      <c r="E186" s="1026"/>
      <c r="F186" s="292"/>
      <c r="G186" s="1026"/>
      <c r="H186" s="278"/>
      <c r="I186" s="278"/>
      <c r="J186" s="278"/>
      <c r="K186" s="278"/>
      <c r="L186" s="278"/>
      <c r="M186" s="278"/>
      <c r="N186" s="311"/>
      <c r="O186" s="4"/>
      <c r="P186" s="4"/>
      <c r="Q186" s="4"/>
      <c r="R186" s="4"/>
      <c r="S186" s="4"/>
      <c r="T186" s="4"/>
      <c r="U186" s="4"/>
      <c r="V186" s="631"/>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row>
    <row r="187" spans="1:81" ht="15.75" customHeight="1" x14ac:dyDescent="0.25">
      <c r="A187" s="4"/>
      <c r="B187" s="1827" t="s">
        <v>1628</v>
      </c>
      <c r="C187" s="1828"/>
      <c r="D187" s="1303"/>
      <c r="E187" s="1303"/>
      <c r="F187" s="1303"/>
      <c r="G187" s="1303"/>
      <c r="H187" s="1303"/>
      <c r="I187" s="1303"/>
      <c r="J187" s="1303"/>
      <c r="K187" s="1303"/>
      <c r="L187" s="1303"/>
      <c r="M187" s="1303"/>
      <c r="N187" s="1303"/>
      <c r="O187" s="1303"/>
      <c r="P187" s="1303"/>
      <c r="Q187" s="1303"/>
      <c r="R187" s="1829"/>
      <c r="S187" s="1830"/>
      <c r="T187" s="47"/>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row>
    <row r="188" spans="1:81" ht="60" customHeight="1" x14ac:dyDescent="0.25">
      <c r="A188" s="4"/>
      <c r="B188" s="1831"/>
      <c r="C188" s="1832"/>
      <c r="D188" s="1833"/>
      <c r="E188" s="1289"/>
      <c r="F188" s="1628"/>
      <c r="G188" s="1834" t="s">
        <v>1629</v>
      </c>
      <c r="H188" s="1835"/>
      <c r="I188" s="1834" t="s">
        <v>1630</v>
      </c>
      <c r="J188" s="1835"/>
      <c r="K188" s="1834" t="s">
        <v>1631</v>
      </c>
      <c r="L188" s="1835"/>
      <c r="M188" s="1835"/>
      <c r="N188" s="1836"/>
      <c r="O188" s="1837" t="s">
        <v>1632</v>
      </c>
      <c r="P188" s="841"/>
      <c r="Q188" s="1837" t="s">
        <v>1633</v>
      </c>
      <c r="R188" s="1838"/>
      <c r="S188" s="1839" t="s">
        <v>1634</v>
      </c>
      <c r="T188" s="47"/>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row>
    <row r="189" spans="1:81" ht="12.75" customHeight="1" x14ac:dyDescent="0.25">
      <c r="A189" s="4"/>
      <c r="B189" s="1729"/>
      <c r="C189" s="2211" t="s">
        <v>1635</v>
      </c>
      <c r="D189" s="2192"/>
      <c r="E189" s="2193"/>
      <c r="F189" s="1840"/>
      <c r="G189" s="1841">
        <f>K185*44/28</f>
        <v>122.54752387114287</v>
      </c>
      <c r="H189" s="1842"/>
      <c r="I189" s="1843">
        <f>G189*$AG$8*12/44*10^-6</f>
        <v>8.856843770687144E-3</v>
      </c>
      <c r="J189" s="1842"/>
      <c r="K189" s="1843">
        <f t="shared" ref="K189:K192" si="79">I189/(12/44)</f>
        <v>3.2475093825852862E-2</v>
      </c>
      <c r="L189" s="107"/>
      <c r="M189" s="869"/>
      <c r="N189" s="1844" t="s">
        <v>1636</v>
      </c>
      <c r="O189" s="1841">
        <f>W164*44/28</f>
        <v>248.9274919150329</v>
      </c>
      <c r="P189" s="869"/>
      <c r="Q189" s="1843">
        <f>O189*$AG$8*12/44*10^-6</f>
        <v>1.7990668733859197E-2</v>
      </c>
      <c r="R189" s="869"/>
      <c r="S189" s="1843">
        <f t="shared" ref="S189:S191" si="80">Q189/(12/44)</f>
        <v>6.5965785357483722E-2</v>
      </c>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row>
    <row r="190" spans="1:81" ht="15.75" customHeight="1" x14ac:dyDescent="0.25">
      <c r="A190" s="4"/>
      <c r="B190" s="1511"/>
      <c r="C190" s="105"/>
      <c r="D190" s="105"/>
      <c r="E190" s="1845" t="s">
        <v>1637</v>
      </c>
      <c r="F190" s="106"/>
      <c r="G190" s="1520">
        <f>(U185+S185)*44/28</f>
        <v>754.72830291758601</v>
      </c>
      <c r="H190" s="107"/>
      <c r="I190" s="1736">
        <f>G190*$AG$8*12/44*10^-6</f>
        <v>5.454627280177099E-2</v>
      </c>
      <c r="J190" s="107"/>
      <c r="K190" s="1656">
        <f t="shared" si="79"/>
        <v>0.20000300027316031</v>
      </c>
      <c r="L190" s="107"/>
      <c r="M190" s="107"/>
      <c r="N190" s="1846" t="s">
        <v>1638</v>
      </c>
      <c r="O190" s="1520">
        <f>SUM(W159)*0.0075*44/28</f>
        <v>111.06152755999712</v>
      </c>
      <c r="P190" s="780"/>
      <c r="Q190" s="1520">
        <f>O190*$AG$8*12/44*10^-6</f>
        <v>8.026719491836155E-3</v>
      </c>
      <c r="R190" s="780"/>
      <c r="S190" s="1658">
        <f t="shared" si="80"/>
        <v>2.9431304803399238E-2</v>
      </c>
      <c r="T190" s="47"/>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row>
    <row r="191" spans="1:81" ht="15.75" customHeight="1" x14ac:dyDescent="0.25">
      <c r="A191" s="4"/>
      <c r="B191" s="1511"/>
      <c r="C191" s="105"/>
      <c r="D191" s="105"/>
      <c r="E191" s="1845" t="s">
        <v>1639</v>
      </c>
      <c r="F191" s="106"/>
      <c r="G191" s="1520">
        <f>U185*44/28</f>
        <v>308.69646915011469</v>
      </c>
      <c r="H191" s="107"/>
      <c r="I191" s="1736">
        <f>G191*$AG$8*12/44*10^-6</f>
        <v>2.2310335724940109E-2</v>
      </c>
      <c r="J191" s="107"/>
      <c r="K191" s="1656">
        <f t="shared" si="79"/>
        <v>8.1804564324780407E-2</v>
      </c>
      <c r="L191" s="107"/>
      <c r="M191" s="107"/>
      <c r="N191" s="1846" t="s">
        <v>1640</v>
      </c>
      <c r="O191" s="1520">
        <f>SUM(W162)*0.0075*44/28</f>
        <v>137.86596435503574</v>
      </c>
      <c r="P191" s="780"/>
      <c r="Q191" s="1520">
        <f>O191*$AG$8*12/44*10^-6</f>
        <v>9.9639492420230402E-3</v>
      </c>
      <c r="R191" s="780"/>
      <c r="S191" s="1658">
        <f t="shared" si="80"/>
        <v>3.6534480554084481E-2</v>
      </c>
      <c r="T191" s="47"/>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row>
    <row r="192" spans="1:81" ht="12.75" customHeight="1" x14ac:dyDescent="0.25">
      <c r="A192" s="4"/>
      <c r="B192" s="1729"/>
      <c r="C192" s="2211" t="s">
        <v>1641</v>
      </c>
      <c r="D192" s="2192"/>
      <c r="E192" s="2193"/>
      <c r="F192" s="1394"/>
      <c r="G192" s="1841">
        <f>SUM(G190:G191)</f>
        <v>1063.4247720677008</v>
      </c>
      <c r="H192" s="869"/>
      <c r="I192" s="1843">
        <f>G192*$AG$8*12/44*10^-6</f>
        <v>7.6856608526711098E-2</v>
      </c>
      <c r="J192" s="1394"/>
      <c r="K192" s="1843">
        <f t="shared" si="79"/>
        <v>0.28180756459794071</v>
      </c>
      <c r="L192" s="107"/>
      <c r="M192" s="106"/>
      <c r="N192" s="779"/>
      <c r="O192" s="779"/>
      <c r="P192" s="1096"/>
      <c r="Q192" s="1096"/>
      <c r="R192" s="780"/>
      <c r="S192" s="172"/>
      <c r="T192" s="47"/>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row>
    <row r="193" spans="1:81" ht="15.75" customHeight="1" x14ac:dyDescent="0.25">
      <c r="A193" s="4"/>
      <c r="B193" s="1847"/>
      <c r="C193" s="1848"/>
      <c r="D193" s="1848"/>
      <c r="E193" s="1848"/>
      <c r="F193" s="1668"/>
      <c r="G193" s="1849"/>
      <c r="H193" s="110"/>
      <c r="I193" s="1850"/>
      <c r="J193" s="1668"/>
      <c r="K193" s="1850"/>
      <c r="L193" s="110"/>
      <c r="M193" s="1668"/>
      <c r="N193" s="1851"/>
      <c r="O193" s="39"/>
      <c r="P193" s="1492"/>
      <c r="Q193" s="1492"/>
      <c r="R193" s="39"/>
      <c r="S193" s="174"/>
      <c r="T193" s="47"/>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row>
    <row r="194" spans="1:81" ht="15.75" customHeight="1" x14ac:dyDescent="0.25">
      <c r="A194" s="4"/>
      <c r="B194" s="1852"/>
      <c r="C194" s="1853"/>
      <c r="D194" s="1853"/>
      <c r="E194" s="1853"/>
      <c r="F194" s="1030"/>
      <c r="G194" s="1487"/>
      <c r="H194" s="4"/>
      <c r="I194" s="1854"/>
      <c r="J194" s="1030"/>
      <c r="K194" s="1854"/>
      <c r="L194" s="4"/>
      <c r="M194" s="1030"/>
      <c r="N194" s="4"/>
      <c r="O194" s="4"/>
      <c r="P194" s="1030"/>
      <c r="Q194" s="1030"/>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row>
    <row r="195" spans="1:81" ht="15.75" customHeight="1" x14ac:dyDescent="0.25">
      <c r="A195" s="4"/>
      <c r="B195" s="1588"/>
      <c r="C195" s="1492"/>
      <c r="D195" s="1492"/>
      <c r="E195" s="1492"/>
      <c r="F195" s="1492"/>
      <c r="G195" s="1612"/>
      <c r="H195" s="42"/>
      <c r="I195" s="1046"/>
      <c r="J195" s="42"/>
      <c r="K195" s="1045"/>
      <c r="L195" s="4"/>
      <c r="M195" s="1045"/>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row>
    <row r="196" spans="1:81" ht="21" customHeight="1" x14ac:dyDescent="0.4">
      <c r="A196" s="4"/>
      <c r="B196" s="1593" t="s">
        <v>1642</v>
      </c>
      <c r="C196" s="1615"/>
      <c r="D196" s="1615"/>
      <c r="E196" s="1615"/>
      <c r="F196" s="1615"/>
      <c r="G196" s="1616"/>
      <c r="H196" s="1617"/>
      <c r="I196" s="1618"/>
      <c r="J196" s="1617"/>
      <c r="K196" s="1619"/>
      <c r="L196" s="1594"/>
      <c r="M196" s="1619"/>
      <c r="N196" s="1594"/>
      <c r="O196" s="1594"/>
      <c r="P196" s="1594"/>
      <c r="Q196" s="1594"/>
      <c r="R196" s="1594"/>
      <c r="S196" s="1594"/>
      <c r="T196" s="1594"/>
      <c r="U196" s="1594"/>
      <c r="V196" s="1594"/>
      <c r="W196" s="1594"/>
      <c r="X196" s="1594"/>
      <c r="Y196" s="1594"/>
      <c r="Z196" s="1594"/>
      <c r="AA196" s="1594"/>
      <c r="AB196" s="1594"/>
      <c r="AC196" s="1855"/>
      <c r="AD196" s="47"/>
      <c r="AE196" s="4"/>
      <c r="AF196" s="4"/>
      <c r="AG196" s="4"/>
      <c r="AH196" s="1" t="s">
        <v>1582</v>
      </c>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row>
    <row r="197" spans="1:81" ht="60" customHeight="1" x14ac:dyDescent="0.25">
      <c r="A197" s="1507"/>
      <c r="B197" s="1856" t="s">
        <v>1643</v>
      </c>
      <c r="C197" s="1653" t="s">
        <v>657</v>
      </c>
      <c r="D197" s="564"/>
      <c r="E197" s="1596" t="s">
        <v>1644</v>
      </c>
      <c r="F197" s="1596"/>
      <c r="G197" s="1596" t="s">
        <v>1645</v>
      </c>
      <c r="H197" s="564"/>
      <c r="I197" s="1596" t="s">
        <v>1646</v>
      </c>
      <c r="J197" s="1596"/>
      <c r="K197" s="1596" t="s">
        <v>1647</v>
      </c>
      <c r="L197" s="1597"/>
      <c r="M197" s="1596" t="s">
        <v>1648</v>
      </c>
      <c r="N197" s="1597"/>
      <c r="O197" s="1596" t="s">
        <v>1649</v>
      </c>
      <c r="P197" s="1597"/>
      <c r="Q197" s="1596" t="s">
        <v>1650</v>
      </c>
      <c r="R197" s="564"/>
      <c r="S197" s="1596" t="s">
        <v>1651</v>
      </c>
      <c r="T197" s="564"/>
      <c r="U197" s="1857" t="s">
        <v>1652</v>
      </c>
      <c r="V197" s="564"/>
      <c r="W197" s="1857" t="s">
        <v>1653</v>
      </c>
      <c r="X197" s="564"/>
      <c r="Y197" s="1596" t="s">
        <v>1654</v>
      </c>
      <c r="Z197" s="564"/>
      <c r="AA197" s="1596" t="s">
        <v>1655</v>
      </c>
      <c r="AB197" s="1597"/>
      <c r="AC197" s="1858" t="s">
        <v>1656</v>
      </c>
      <c r="AD197" s="47"/>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row>
    <row r="198" spans="1:81" ht="15.75" customHeight="1" x14ac:dyDescent="0.25">
      <c r="A198" s="1507"/>
      <c r="B198" s="104"/>
      <c r="C198" s="107"/>
      <c r="D198" s="107"/>
      <c r="E198" s="106"/>
      <c r="F198" s="106"/>
      <c r="G198" s="107"/>
      <c r="H198" s="107"/>
      <c r="I198" s="107"/>
      <c r="J198" s="107"/>
      <c r="K198" s="107"/>
      <c r="L198" s="107"/>
      <c r="M198" s="107"/>
      <c r="N198" s="107"/>
      <c r="O198" s="107"/>
      <c r="P198" s="107"/>
      <c r="Q198" s="107"/>
      <c r="R198" s="107"/>
      <c r="S198" s="107"/>
      <c r="T198" s="107"/>
      <c r="U198" s="232"/>
      <c r="V198" s="107"/>
      <c r="W198" s="232"/>
      <c r="X198" s="107"/>
      <c r="Y198" s="107"/>
      <c r="Z198" s="107"/>
      <c r="AA198" s="107"/>
      <c r="AB198" s="107"/>
      <c r="AC198" s="779"/>
      <c r="AD198" s="47"/>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row>
    <row r="199" spans="1:81" ht="15.75" customHeight="1" x14ac:dyDescent="0.25">
      <c r="A199" s="1507"/>
      <c r="B199" s="781" t="s">
        <v>1657</v>
      </c>
      <c r="C199" s="107" t="s">
        <v>1530</v>
      </c>
      <c r="D199" s="107"/>
      <c r="E199" s="1636">
        <v>2880</v>
      </c>
      <c r="F199" s="106" t="s">
        <v>836</v>
      </c>
      <c r="G199" s="106">
        <v>2.1772E-2</v>
      </c>
      <c r="H199" s="107"/>
      <c r="I199" s="1520">
        <f t="shared" ref="I199:I200" si="81">E199*G199*1000</f>
        <v>62703.359999999993</v>
      </c>
      <c r="J199" s="106" t="s">
        <v>835</v>
      </c>
      <c r="K199" s="1428">
        <v>1.2</v>
      </c>
      <c r="L199" s="106" t="s">
        <v>835</v>
      </c>
      <c r="M199" s="253">
        <v>0.03</v>
      </c>
      <c r="N199" s="106" t="s">
        <v>835</v>
      </c>
      <c r="O199" s="106">
        <v>0.93</v>
      </c>
      <c r="P199" s="106" t="s">
        <v>835</v>
      </c>
      <c r="Q199" s="942">
        <v>0.93</v>
      </c>
      <c r="R199" s="106" t="s">
        <v>835</v>
      </c>
      <c r="S199" s="942">
        <v>0.88</v>
      </c>
      <c r="T199" s="106" t="s">
        <v>836</v>
      </c>
      <c r="U199" s="1859">
        <v>0.44850000000000001</v>
      </c>
      <c r="V199" s="106" t="s">
        <v>836</v>
      </c>
      <c r="W199" s="1520">
        <f t="shared" ref="W199:W207" si="82">I199*K199*M199*O199*Q199*S199*U199</f>
        <v>770.55622062262273</v>
      </c>
      <c r="X199" s="106" t="s">
        <v>836</v>
      </c>
      <c r="Y199" s="1084">
        <f t="shared" ref="Y199:Y207" si="83">W199*0.005*(16/12)</f>
        <v>5.1370414708174845</v>
      </c>
      <c r="Z199" s="1084" t="s">
        <v>836</v>
      </c>
      <c r="AA199" s="1860">
        <f>Y199/(10^6)*$AG$7*12/44</f>
        <v>3.9228316686242603E-5</v>
      </c>
      <c r="AB199" s="1084" t="s">
        <v>836</v>
      </c>
      <c r="AC199" s="1861">
        <f t="shared" ref="AC199:AC207" si="84">AA199/(12/44)</f>
        <v>1.4383716118288956E-4</v>
      </c>
      <c r="AD199" s="47"/>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row>
    <row r="200" spans="1:81" ht="15.75" customHeight="1" x14ac:dyDescent="0.25">
      <c r="A200" s="1507"/>
      <c r="B200" s="781" t="s">
        <v>1658</v>
      </c>
      <c r="C200" s="107" t="s">
        <v>1530</v>
      </c>
      <c r="D200" s="107"/>
      <c r="E200" s="1636">
        <v>46870</v>
      </c>
      <c r="F200" s="106" t="s">
        <v>836</v>
      </c>
      <c r="G200" s="106">
        <v>2.5401147108E-2</v>
      </c>
      <c r="H200" s="107"/>
      <c r="I200" s="1520">
        <f t="shared" si="81"/>
        <v>1190551.76495196</v>
      </c>
      <c r="J200" s="106" t="s">
        <v>835</v>
      </c>
      <c r="K200" s="1428">
        <v>1</v>
      </c>
      <c r="L200" s="106" t="s">
        <v>835</v>
      </c>
      <c r="M200" s="253">
        <v>0.03</v>
      </c>
      <c r="N200" s="106" t="s">
        <v>835</v>
      </c>
      <c r="O200" s="106">
        <v>0.91</v>
      </c>
      <c r="P200" s="106" t="s">
        <v>835</v>
      </c>
      <c r="Q200" s="942">
        <v>0.93</v>
      </c>
      <c r="R200" s="106" t="s">
        <v>835</v>
      </c>
      <c r="S200" s="942">
        <v>0.88</v>
      </c>
      <c r="T200" s="106" t="s">
        <v>836</v>
      </c>
      <c r="U200" s="1859">
        <v>0.44779999999999998</v>
      </c>
      <c r="V200" s="106" t="s">
        <v>836</v>
      </c>
      <c r="W200" s="1520">
        <f t="shared" si="82"/>
        <v>11911.340514384598</v>
      </c>
      <c r="X200" s="106" t="s">
        <v>836</v>
      </c>
      <c r="Y200" s="1084">
        <f t="shared" si="83"/>
        <v>79.408936762563982</v>
      </c>
      <c r="Z200" s="1084" t="s">
        <v>836</v>
      </c>
      <c r="AA200" s="1860">
        <f t="shared" ref="AA200:AA207" si="85">Y200/(10^6)*$AG$7*12/44</f>
        <v>6.0639551709594324E-4</v>
      </c>
      <c r="AB200" s="1084" t="s">
        <v>836</v>
      </c>
      <c r="AC200" s="1861">
        <f t="shared" si="84"/>
        <v>2.223450229351792E-3</v>
      </c>
      <c r="AD200" s="47"/>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row>
    <row r="201" spans="1:81" ht="15.75" customHeight="1" x14ac:dyDescent="0.25">
      <c r="A201" s="1507"/>
      <c r="B201" s="781" t="s">
        <v>1541</v>
      </c>
      <c r="C201" s="107" t="s">
        <v>1659</v>
      </c>
      <c r="D201" s="107"/>
      <c r="E201" s="1636">
        <v>0</v>
      </c>
      <c r="F201" s="106" t="s">
        <v>836</v>
      </c>
      <c r="G201" s="106" t="s">
        <v>944</v>
      </c>
      <c r="H201" s="107"/>
      <c r="I201" s="1520">
        <f>(E201*1000/2000*0.9072)</f>
        <v>0</v>
      </c>
      <c r="J201" s="106" t="s">
        <v>835</v>
      </c>
      <c r="K201" s="1428">
        <v>1</v>
      </c>
      <c r="L201" s="106" t="s">
        <v>835</v>
      </c>
      <c r="M201" s="253">
        <v>0.03</v>
      </c>
      <c r="N201" s="106" t="s">
        <v>835</v>
      </c>
      <c r="O201" s="106">
        <v>0.86</v>
      </c>
      <c r="P201" s="106" t="s">
        <v>835</v>
      </c>
      <c r="Q201" s="942">
        <v>0.93</v>
      </c>
      <c r="R201" s="106" t="s">
        <v>835</v>
      </c>
      <c r="S201" s="942">
        <v>0.88</v>
      </c>
      <c r="T201" s="106" t="s">
        <v>836</v>
      </c>
      <c r="U201" s="1859">
        <v>0.45</v>
      </c>
      <c r="V201" s="106" t="s">
        <v>836</v>
      </c>
      <c r="W201" s="1520">
        <f t="shared" si="82"/>
        <v>0</v>
      </c>
      <c r="X201" s="106" t="s">
        <v>836</v>
      </c>
      <c r="Y201" s="1084">
        <f t="shared" si="83"/>
        <v>0</v>
      </c>
      <c r="Z201" s="1084" t="s">
        <v>836</v>
      </c>
      <c r="AA201" s="1860">
        <f t="shared" si="85"/>
        <v>0</v>
      </c>
      <c r="AB201" s="1084" t="s">
        <v>836</v>
      </c>
      <c r="AC201" s="1861">
        <f t="shared" si="84"/>
        <v>0</v>
      </c>
      <c r="AD201" s="47"/>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row>
    <row r="202" spans="1:81" ht="15.75" customHeight="1" x14ac:dyDescent="0.25">
      <c r="A202" s="1507"/>
      <c r="B202" s="781" t="s">
        <v>1538</v>
      </c>
      <c r="C202" s="107" t="s">
        <v>1660</v>
      </c>
      <c r="D202" s="107"/>
      <c r="E202" s="1636">
        <v>0</v>
      </c>
      <c r="F202" s="106" t="s">
        <v>836</v>
      </c>
      <c r="G202" s="106" t="s">
        <v>944</v>
      </c>
      <c r="H202" s="107"/>
      <c r="I202" s="1520">
        <v>0</v>
      </c>
      <c r="J202" s="106" t="s">
        <v>835</v>
      </c>
      <c r="K202" s="1428">
        <v>1.4</v>
      </c>
      <c r="L202" s="106" t="s">
        <v>835</v>
      </c>
      <c r="M202" s="253">
        <v>0</v>
      </c>
      <c r="N202" s="106" t="s">
        <v>835</v>
      </c>
      <c r="O202" s="106">
        <v>0.91</v>
      </c>
      <c r="P202" s="106" t="s">
        <v>835</v>
      </c>
      <c r="Q202" s="942">
        <v>0.93</v>
      </c>
      <c r="R202" s="106" t="s">
        <v>835</v>
      </c>
      <c r="S202" s="942">
        <v>0.88</v>
      </c>
      <c r="T202" s="106" t="s">
        <v>836</v>
      </c>
      <c r="U202" s="1859">
        <v>0.38059999999999999</v>
      </c>
      <c r="V202" s="106" t="s">
        <v>836</v>
      </c>
      <c r="W202" s="1520">
        <f t="shared" si="82"/>
        <v>0</v>
      </c>
      <c r="X202" s="106" t="s">
        <v>836</v>
      </c>
      <c r="Y202" s="1084">
        <f t="shared" si="83"/>
        <v>0</v>
      </c>
      <c r="Z202" s="1084" t="s">
        <v>836</v>
      </c>
      <c r="AA202" s="1860">
        <f t="shared" si="85"/>
        <v>0</v>
      </c>
      <c r="AB202" s="1084" t="s">
        <v>836</v>
      </c>
      <c r="AC202" s="1861">
        <f t="shared" si="84"/>
        <v>0</v>
      </c>
      <c r="AD202" s="47"/>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row>
    <row r="203" spans="1:81" ht="15.75" customHeight="1" x14ac:dyDescent="0.25">
      <c r="A203" s="1507"/>
      <c r="B203" s="781" t="s">
        <v>1661</v>
      </c>
      <c r="C203" s="107" t="s">
        <v>1530</v>
      </c>
      <c r="D203" s="107"/>
      <c r="E203" s="1636">
        <v>17903</v>
      </c>
      <c r="F203" s="106" t="s">
        <v>836</v>
      </c>
      <c r="G203" s="106">
        <v>2.7215692074999999E-2</v>
      </c>
      <c r="H203" s="107"/>
      <c r="I203" s="1520">
        <f>E203*G203*1000</f>
        <v>487242.53521872498</v>
      </c>
      <c r="J203" s="106" t="s">
        <v>835</v>
      </c>
      <c r="K203" s="1428">
        <v>2.1</v>
      </c>
      <c r="L203" s="106" t="s">
        <v>835</v>
      </c>
      <c r="M203" s="253">
        <v>0.03</v>
      </c>
      <c r="N203" s="106" t="s">
        <v>835</v>
      </c>
      <c r="O203" s="106">
        <v>0.87</v>
      </c>
      <c r="P203" s="106" t="s">
        <v>835</v>
      </c>
      <c r="Q203" s="942">
        <v>0.93</v>
      </c>
      <c r="R203" s="106" t="s">
        <v>835</v>
      </c>
      <c r="S203" s="942">
        <v>0.88</v>
      </c>
      <c r="T203" s="106" t="s">
        <v>836</v>
      </c>
      <c r="U203" s="1859">
        <v>0.45</v>
      </c>
      <c r="V203" s="106" t="s">
        <v>836</v>
      </c>
      <c r="W203" s="1520">
        <f t="shared" si="82"/>
        <v>9835.1985285039955</v>
      </c>
      <c r="X203" s="106" t="s">
        <v>836</v>
      </c>
      <c r="Y203" s="1084">
        <f t="shared" si="83"/>
        <v>65.567990190026634</v>
      </c>
      <c r="Z203" s="1084" t="s">
        <v>836</v>
      </c>
      <c r="AA203" s="1860">
        <f t="shared" si="85"/>
        <v>5.0070101599656691E-4</v>
      </c>
      <c r="AB203" s="1084" t="s">
        <v>836</v>
      </c>
      <c r="AC203" s="1861">
        <f t="shared" si="84"/>
        <v>1.8359037253207454E-3</v>
      </c>
      <c r="AD203" s="47"/>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row>
    <row r="204" spans="1:81" ht="15.75" customHeight="1" x14ac:dyDescent="0.25">
      <c r="A204" s="1507"/>
      <c r="B204" s="781" t="s">
        <v>1662</v>
      </c>
      <c r="C204" s="107" t="s">
        <v>1527</v>
      </c>
      <c r="D204" s="107"/>
      <c r="E204" s="1636">
        <v>0</v>
      </c>
      <c r="F204" s="106" t="s">
        <v>836</v>
      </c>
      <c r="G204" s="106" t="s">
        <v>944</v>
      </c>
      <c r="H204" s="107"/>
      <c r="I204" s="1520">
        <f>E204*0.9072*1000</f>
        <v>0</v>
      </c>
      <c r="J204" s="106" t="s">
        <v>835</v>
      </c>
      <c r="K204" s="1428">
        <v>0.2</v>
      </c>
      <c r="L204" s="106" t="s">
        <v>835</v>
      </c>
      <c r="M204" s="253">
        <v>0.03</v>
      </c>
      <c r="N204" s="106" t="s">
        <v>835</v>
      </c>
      <c r="O204" s="106">
        <v>0.62</v>
      </c>
      <c r="P204" s="106" t="s">
        <v>835</v>
      </c>
      <c r="Q204" s="942">
        <v>0.93</v>
      </c>
      <c r="R204" s="106" t="s">
        <v>835</v>
      </c>
      <c r="S204" s="942">
        <v>0.88</v>
      </c>
      <c r="T204" s="106" t="s">
        <v>836</v>
      </c>
      <c r="U204" s="1859">
        <v>0.42349999999999999</v>
      </c>
      <c r="V204" s="106" t="s">
        <v>836</v>
      </c>
      <c r="W204" s="1520">
        <f t="shared" si="82"/>
        <v>0</v>
      </c>
      <c r="X204" s="106" t="s">
        <v>836</v>
      </c>
      <c r="Y204" s="1084">
        <f t="shared" si="83"/>
        <v>0</v>
      </c>
      <c r="Z204" s="1084" t="s">
        <v>836</v>
      </c>
      <c r="AA204" s="1860">
        <f t="shared" si="85"/>
        <v>0</v>
      </c>
      <c r="AB204" s="1084" t="s">
        <v>836</v>
      </c>
      <c r="AC204" s="1861">
        <f t="shared" si="84"/>
        <v>0</v>
      </c>
      <c r="AD204" s="47"/>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row>
    <row r="205" spans="1:81" ht="15.75" customHeight="1" x14ac:dyDescent="0.25">
      <c r="A205" s="1507"/>
      <c r="B205" s="781" t="s">
        <v>1663</v>
      </c>
      <c r="C205" s="107" t="s">
        <v>1530</v>
      </c>
      <c r="D205" s="107"/>
      <c r="E205" s="1636">
        <v>12540</v>
      </c>
      <c r="F205" s="106" t="s">
        <v>836</v>
      </c>
      <c r="G205" s="106">
        <v>2.7215442853E-2</v>
      </c>
      <c r="H205" s="107"/>
      <c r="I205" s="1520">
        <f>E205*G205*1000</f>
        <v>341281.65337661997</v>
      </c>
      <c r="J205" s="106" t="s">
        <v>835</v>
      </c>
      <c r="K205" s="1428">
        <v>1.3</v>
      </c>
      <c r="L205" s="106" t="s">
        <v>835</v>
      </c>
      <c r="M205" s="253">
        <v>0.03</v>
      </c>
      <c r="N205" s="106" t="s">
        <v>835</v>
      </c>
      <c r="O205" s="106">
        <v>0.93</v>
      </c>
      <c r="P205" s="106" t="s">
        <v>835</v>
      </c>
      <c r="Q205" s="942">
        <v>0.93</v>
      </c>
      <c r="R205" s="106" t="s">
        <v>835</v>
      </c>
      <c r="S205" s="942">
        <v>0.88</v>
      </c>
      <c r="T205" s="106" t="s">
        <v>836</v>
      </c>
      <c r="U205" s="1859">
        <v>0.44280000000000003</v>
      </c>
      <c r="V205" s="106" t="s">
        <v>836</v>
      </c>
      <c r="W205" s="1520">
        <f t="shared" si="82"/>
        <v>4485.7362088284426</v>
      </c>
      <c r="X205" s="106" t="s">
        <v>836</v>
      </c>
      <c r="Y205" s="1084">
        <f t="shared" si="83"/>
        <v>29.904908058856282</v>
      </c>
      <c r="Z205" s="1084" t="s">
        <v>836</v>
      </c>
      <c r="AA205" s="1860">
        <f t="shared" si="85"/>
        <v>2.2836475244944799E-4</v>
      </c>
      <c r="AB205" s="1084" t="s">
        <v>836</v>
      </c>
      <c r="AC205" s="1861">
        <f t="shared" si="84"/>
        <v>8.3733742564797602E-4</v>
      </c>
      <c r="AD205" s="47"/>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row>
    <row r="206" spans="1:81" ht="15.75" customHeight="1" x14ac:dyDescent="0.25">
      <c r="A206" s="1507"/>
      <c r="B206" s="781" t="s">
        <v>716</v>
      </c>
      <c r="C206" s="107" t="s">
        <v>1024</v>
      </c>
      <c r="D206" s="107"/>
      <c r="E206" s="1636"/>
      <c r="F206" s="106" t="s">
        <v>836</v>
      </c>
      <c r="G206" s="106" t="s">
        <v>944</v>
      </c>
      <c r="H206" s="107"/>
      <c r="I206" s="1520">
        <f t="shared" ref="I206:I207" si="86">E206</f>
        <v>0</v>
      </c>
      <c r="J206" s="106" t="s">
        <v>835</v>
      </c>
      <c r="K206" s="1862"/>
      <c r="L206" s="106" t="s">
        <v>835</v>
      </c>
      <c r="M206" s="1863"/>
      <c r="N206" s="106" t="s">
        <v>835</v>
      </c>
      <c r="O206" s="1864"/>
      <c r="P206" s="106" t="s">
        <v>835</v>
      </c>
      <c r="Q206" s="1865"/>
      <c r="R206" s="106" t="s">
        <v>835</v>
      </c>
      <c r="S206" s="1866"/>
      <c r="T206" s="106" t="s">
        <v>836</v>
      </c>
      <c r="U206" s="1867"/>
      <c r="V206" s="106" t="s">
        <v>836</v>
      </c>
      <c r="W206" s="1520">
        <f t="shared" si="82"/>
        <v>0</v>
      </c>
      <c r="X206" s="106" t="s">
        <v>836</v>
      </c>
      <c r="Y206" s="1084">
        <f t="shared" si="83"/>
        <v>0</v>
      </c>
      <c r="Z206" s="1084" t="s">
        <v>836</v>
      </c>
      <c r="AA206" s="1860">
        <f t="shared" si="85"/>
        <v>0</v>
      </c>
      <c r="AB206" s="1084" t="s">
        <v>836</v>
      </c>
      <c r="AC206" s="1861">
        <f t="shared" si="84"/>
        <v>0</v>
      </c>
      <c r="AD206" s="47"/>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row>
    <row r="207" spans="1:81" ht="15.75" customHeight="1" x14ac:dyDescent="0.25">
      <c r="A207" s="1507"/>
      <c r="B207" s="781"/>
      <c r="C207" s="107" t="s">
        <v>1024</v>
      </c>
      <c r="D207" s="107"/>
      <c r="E207" s="1636"/>
      <c r="F207" s="106" t="s">
        <v>836</v>
      </c>
      <c r="G207" s="106" t="s">
        <v>944</v>
      </c>
      <c r="H207" s="107"/>
      <c r="I207" s="1520">
        <f t="shared" si="86"/>
        <v>0</v>
      </c>
      <c r="J207" s="106" t="s">
        <v>835</v>
      </c>
      <c r="K207" s="1862"/>
      <c r="L207" s="106" t="s">
        <v>835</v>
      </c>
      <c r="M207" s="1863"/>
      <c r="N207" s="106" t="s">
        <v>835</v>
      </c>
      <c r="O207" s="1864"/>
      <c r="P207" s="106" t="s">
        <v>835</v>
      </c>
      <c r="Q207" s="1865"/>
      <c r="R207" s="106" t="s">
        <v>835</v>
      </c>
      <c r="S207" s="1866"/>
      <c r="T207" s="106" t="s">
        <v>836</v>
      </c>
      <c r="U207" s="1867"/>
      <c r="V207" s="106" t="s">
        <v>836</v>
      </c>
      <c r="W207" s="1520">
        <f t="shared" si="82"/>
        <v>0</v>
      </c>
      <c r="X207" s="106" t="s">
        <v>836</v>
      </c>
      <c r="Y207" s="1084">
        <f t="shared" si="83"/>
        <v>0</v>
      </c>
      <c r="Z207" s="1084" t="s">
        <v>836</v>
      </c>
      <c r="AA207" s="1860">
        <f t="shared" si="85"/>
        <v>0</v>
      </c>
      <c r="AB207" s="1084" t="s">
        <v>836</v>
      </c>
      <c r="AC207" s="1861">
        <f t="shared" si="84"/>
        <v>0</v>
      </c>
      <c r="AD207" s="47"/>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row>
    <row r="208" spans="1:81" ht="15.75" customHeight="1" x14ac:dyDescent="0.25">
      <c r="A208" s="1507"/>
      <c r="B208" s="164"/>
      <c r="C208" s="105"/>
      <c r="D208" s="107"/>
      <c r="E208" s="1393"/>
      <c r="F208" s="106"/>
      <c r="G208" s="107"/>
      <c r="H208" s="107"/>
      <c r="I208" s="106"/>
      <c r="J208" s="106"/>
      <c r="K208" s="232"/>
      <c r="L208" s="106"/>
      <c r="M208" s="1166"/>
      <c r="N208" s="106"/>
      <c r="O208" s="942"/>
      <c r="P208" s="107"/>
      <c r="Q208" s="107"/>
      <c r="R208" s="107"/>
      <c r="S208" s="107"/>
      <c r="T208" s="107"/>
      <c r="U208" s="232"/>
      <c r="V208" s="107"/>
      <c r="W208" s="232"/>
      <c r="X208" s="107"/>
      <c r="Y208" s="107"/>
      <c r="Z208" s="107"/>
      <c r="AA208" s="107"/>
      <c r="AB208" s="107"/>
      <c r="AC208" s="779"/>
      <c r="AD208" s="47"/>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row>
    <row r="209" spans="1:81" ht="15.75" customHeight="1" x14ac:dyDescent="0.25">
      <c r="A209" s="1507"/>
      <c r="B209" s="1604" t="s">
        <v>1473</v>
      </c>
      <c r="C209" s="1709"/>
      <c r="D209" s="1610"/>
      <c r="E209" s="1605"/>
      <c r="F209" s="1605"/>
      <c r="G209" s="1610"/>
      <c r="H209" s="1610"/>
      <c r="I209" s="1605"/>
      <c r="J209" s="1605"/>
      <c r="K209" s="1606"/>
      <c r="L209" s="1607"/>
      <c r="M209" s="1606"/>
      <c r="N209" s="1607"/>
      <c r="O209" s="1609"/>
      <c r="P209" s="1610"/>
      <c r="Q209" s="1609"/>
      <c r="R209" s="1610"/>
      <c r="S209" s="1609"/>
      <c r="T209" s="1610"/>
      <c r="U209" s="1606"/>
      <c r="V209" s="1610"/>
      <c r="W209" s="1606">
        <f>SUM(W199:W207)</f>
        <v>27002.831472339658</v>
      </c>
      <c r="X209" s="1610"/>
      <c r="Y209" s="1609">
        <f>SUM(Y199:Y207)</f>
        <v>180.01887648226437</v>
      </c>
      <c r="Z209" s="1610"/>
      <c r="AA209" s="1609">
        <f>SUM(AA199:AA207)</f>
        <v>1.3746896022282008E-3</v>
      </c>
      <c r="AB209" s="1610"/>
      <c r="AC209" s="1868">
        <f>SUM(AC199:AC207)</f>
        <v>5.0405285415034027E-3</v>
      </c>
      <c r="AD209" s="47"/>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row>
    <row r="210" spans="1:81" ht="15.75" customHeight="1" x14ac:dyDescent="0.25">
      <c r="A210" s="4"/>
      <c r="B210" s="1"/>
      <c r="C210" s="1030"/>
      <c r="D210" s="1030"/>
      <c r="E210" s="1030"/>
      <c r="F210" s="1030"/>
      <c r="G210" s="540"/>
      <c r="H210" s="42"/>
      <c r="I210" s="1046"/>
      <c r="J210" s="42"/>
      <c r="K210" s="1045"/>
      <c r="L210" s="4"/>
      <c r="M210" s="1045"/>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row>
    <row r="211" spans="1:81" ht="21" customHeight="1" x14ac:dyDescent="0.4">
      <c r="A211" s="48"/>
      <c r="B211" s="1869" t="s">
        <v>1664</v>
      </c>
      <c r="C211" s="1615"/>
      <c r="D211" s="1615"/>
      <c r="E211" s="1615"/>
      <c r="F211" s="1615"/>
      <c r="G211" s="1616"/>
      <c r="H211" s="1617"/>
      <c r="I211" s="1618"/>
      <c r="J211" s="1617"/>
      <c r="K211" s="1619"/>
      <c r="L211" s="1594"/>
      <c r="M211" s="1619"/>
      <c r="N211" s="1594"/>
      <c r="O211" s="1594"/>
      <c r="P211" s="1594"/>
      <c r="Q211" s="1594"/>
      <c r="R211" s="1594"/>
      <c r="S211" s="1594"/>
      <c r="T211" s="1594"/>
      <c r="U211" s="1594"/>
      <c r="V211" s="1594"/>
      <c r="W211" s="1594"/>
      <c r="X211" s="1594"/>
      <c r="Y211" s="1594"/>
      <c r="Z211" s="1594"/>
      <c r="AA211" s="1594"/>
      <c r="AB211" s="1594"/>
      <c r="AC211" s="1595"/>
      <c r="AD211" s="1767"/>
      <c r="AE211" s="4"/>
      <c r="AF211" s="4"/>
      <c r="AG211" s="4"/>
      <c r="AH211" s="1" t="s">
        <v>1582</v>
      </c>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row>
    <row r="212" spans="1:81" ht="45" customHeight="1" x14ac:dyDescent="0.25">
      <c r="A212" s="1870"/>
      <c r="B212" s="1871" t="s">
        <v>1643</v>
      </c>
      <c r="C212" s="1653" t="s">
        <v>657</v>
      </c>
      <c r="D212" s="564"/>
      <c r="E212" s="1596" t="s">
        <v>1644</v>
      </c>
      <c r="F212" s="1596"/>
      <c r="G212" s="564" t="s">
        <v>1645</v>
      </c>
      <c r="H212" s="564"/>
      <c r="I212" s="1596" t="s">
        <v>1646</v>
      </c>
      <c r="J212" s="1596"/>
      <c r="K212" s="1596" t="s">
        <v>1647</v>
      </c>
      <c r="L212" s="1597"/>
      <c r="M212" s="1596" t="s">
        <v>1665</v>
      </c>
      <c r="N212" s="1597"/>
      <c r="O212" s="1596" t="s">
        <v>1649</v>
      </c>
      <c r="P212" s="1597"/>
      <c r="Q212" s="1596" t="s">
        <v>1650</v>
      </c>
      <c r="R212" s="564"/>
      <c r="S212" s="1596" t="s">
        <v>1651</v>
      </c>
      <c r="T212" s="564"/>
      <c r="U212" s="1857" t="s">
        <v>1666</v>
      </c>
      <c r="V212" s="564"/>
      <c r="W212" s="1596" t="s">
        <v>1667</v>
      </c>
      <c r="X212" s="564"/>
      <c r="Y212" s="1596" t="s">
        <v>1668</v>
      </c>
      <c r="Z212" s="564"/>
      <c r="AA212" s="1596" t="s">
        <v>1669</v>
      </c>
      <c r="AB212" s="564"/>
      <c r="AC212" s="1598" t="s">
        <v>1670</v>
      </c>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row>
    <row r="213" spans="1:81" ht="15.75" customHeight="1" x14ac:dyDescent="0.25">
      <c r="A213" s="1870"/>
      <c r="B213" s="1466"/>
      <c r="C213" s="107"/>
      <c r="D213" s="107"/>
      <c r="E213" s="106"/>
      <c r="F213" s="106"/>
      <c r="G213" s="107"/>
      <c r="H213" s="107"/>
      <c r="I213" s="107"/>
      <c r="J213" s="107"/>
      <c r="K213" s="107"/>
      <c r="L213" s="107"/>
      <c r="M213" s="107"/>
      <c r="N213" s="107"/>
      <c r="O213" s="107"/>
      <c r="P213" s="107"/>
      <c r="Q213" s="107"/>
      <c r="R213" s="107"/>
      <c r="S213" s="107"/>
      <c r="T213" s="107"/>
      <c r="U213" s="232"/>
      <c r="V213" s="107"/>
      <c r="W213" s="107"/>
      <c r="X213" s="107"/>
      <c r="Y213" s="107"/>
      <c r="Z213" s="107"/>
      <c r="AA213" s="107"/>
      <c r="AB213" s="107"/>
      <c r="AC213" s="108"/>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row>
    <row r="214" spans="1:81" ht="15.75" customHeight="1" x14ac:dyDescent="0.25">
      <c r="A214" s="1870"/>
      <c r="B214" s="1872" t="s">
        <v>1657</v>
      </c>
      <c r="C214" s="107" t="s">
        <v>1530</v>
      </c>
      <c r="D214" s="107"/>
      <c r="E214" s="1873">
        <v>2880</v>
      </c>
      <c r="F214" s="106" t="s">
        <v>836</v>
      </c>
      <c r="G214" s="106">
        <v>2.1772E-2</v>
      </c>
      <c r="H214" s="107"/>
      <c r="I214" s="1520">
        <f t="shared" ref="I214:I215" si="87">E214*G214*1000</f>
        <v>62703.359999999993</v>
      </c>
      <c r="J214" s="106" t="s">
        <v>835</v>
      </c>
      <c r="K214" s="1428">
        <v>1.2</v>
      </c>
      <c r="L214" s="106" t="s">
        <v>835</v>
      </c>
      <c r="M214" s="253">
        <v>0.03</v>
      </c>
      <c r="N214" s="106" t="s">
        <v>835</v>
      </c>
      <c r="O214" s="106">
        <v>0.93</v>
      </c>
      <c r="P214" s="106" t="s">
        <v>835</v>
      </c>
      <c r="Q214" s="942">
        <v>0.93</v>
      </c>
      <c r="R214" s="106" t="s">
        <v>835</v>
      </c>
      <c r="S214" s="942">
        <v>0.88</v>
      </c>
      <c r="T214" s="106" t="s">
        <v>836</v>
      </c>
      <c r="U214" s="1859">
        <v>7.7000000000000002E-3</v>
      </c>
      <c r="V214" s="106" t="s">
        <v>836</v>
      </c>
      <c r="W214" s="253">
        <f t="shared" ref="W214:W222" si="88">I214*K214*M214*O214*Q214*S214*U214</f>
        <v>13.229170342907905</v>
      </c>
      <c r="X214" s="106" t="s">
        <v>836</v>
      </c>
      <c r="Y214" s="245">
        <f t="shared" ref="Y214:Y222" si="89">W214*0.007*(44/28)</f>
        <v>0.14552087377198694</v>
      </c>
      <c r="Z214" s="106" t="s">
        <v>836</v>
      </c>
      <c r="AA214" s="1874">
        <f>Y214/(10^6)*$AG$8*12/44</f>
        <v>1.0517190422611784E-5</v>
      </c>
      <c r="AB214" s="106" t="s">
        <v>836</v>
      </c>
      <c r="AC214" s="166">
        <f t="shared" ref="AC214:AC222" si="90">AA214/(12/44)</f>
        <v>3.8563031549576546E-5</v>
      </c>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row>
    <row r="215" spans="1:81" ht="15.75" customHeight="1" x14ac:dyDescent="0.25">
      <c r="A215" s="1870"/>
      <c r="B215" s="1872" t="s">
        <v>1658</v>
      </c>
      <c r="C215" s="107" t="s">
        <v>1530</v>
      </c>
      <c r="D215" s="107"/>
      <c r="E215" s="1873">
        <v>46870</v>
      </c>
      <c r="F215" s="106" t="s">
        <v>836</v>
      </c>
      <c r="G215" s="106">
        <v>2.5401147108E-2</v>
      </c>
      <c r="H215" s="107"/>
      <c r="I215" s="1520">
        <f t="shared" si="87"/>
        <v>1190551.76495196</v>
      </c>
      <c r="J215" s="106" t="s">
        <v>835</v>
      </c>
      <c r="K215" s="1428">
        <v>1</v>
      </c>
      <c r="L215" s="106" t="s">
        <v>835</v>
      </c>
      <c r="M215" s="253">
        <v>0.03</v>
      </c>
      <c r="N215" s="106" t="s">
        <v>835</v>
      </c>
      <c r="O215" s="106">
        <v>0.91</v>
      </c>
      <c r="P215" s="106" t="s">
        <v>835</v>
      </c>
      <c r="Q215" s="942">
        <v>0.93</v>
      </c>
      <c r="R215" s="106" t="s">
        <v>835</v>
      </c>
      <c r="S215" s="942">
        <v>0.88</v>
      </c>
      <c r="T215" s="106" t="s">
        <v>836</v>
      </c>
      <c r="U215" s="1859">
        <v>5.7999999999999996E-3</v>
      </c>
      <c r="V215" s="106" t="s">
        <v>836</v>
      </c>
      <c r="W215" s="253">
        <f t="shared" si="88"/>
        <v>154.27819335290457</v>
      </c>
      <c r="X215" s="106" t="s">
        <v>836</v>
      </c>
      <c r="Y215" s="245">
        <f t="shared" si="89"/>
        <v>1.6970601268819501</v>
      </c>
      <c r="Z215" s="106" t="s">
        <v>836</v>
      </c>
      <c r="AA215" s="1874">
        <f t="shared" ref="AA215:AA222" si="91">Y215/(10^6)*$AG$8*12/44</f>
        <v>1.2265116371555911E-4</v>
      </c>
      <c r="AB215" s="106" t="s">
        <v>836</v>
      </c>
      <c r="AC215" s="166">
        <f t="shared" si="90"/>
        <v>4.4972093362371677E-4</v>
      </c>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row>
    <row r="216" spans="1:81" ht="15.75" customHeight="1" x14ac:dyDescent="0.25">
      <c r="A216" s="1870"/>
      <c r="B216" s="1872" t="s">
        <v>1541</v>
      </c>
      <c r="C216" s="107" t="s">
        <v>1659</v>
      </c>
      <c r="D216" s="107"/>
      <c r="E216" s="1875">
        <v>0</v>
      </c>
      <c r="F216" s="106" t="s">
        <v>836</v>
      </c>
      <c r="G216" s="106" t="s">
        <v>944</v>
      </c>
      <c r="H216" s="107"/>
      <c r="I216" s="1520">
        <f>(E216*1000/2000*0.9072)</f>
        <v>0</v>
      </c>
      <c r="J216" s="106" t="s">
        <v>835</v>
      </c>
      <c r="K216" s="1428">
        <v>1</v>
      </c>
      <c r="L216" s="106" t="s">
        <v>835</v>
      </c>
      <c r="M216" s="253">
        <v>0.03</v>
      </c>
      <c r="N216" s="106" t="s">
        <v>835</v>
      </c>
      <c r="O216" s="106">
        <v>0.86</v>
      </c>
      <c r="P216" s="106" t="s">
        <v>835</v>
      </c>
      <c r="Q216" s="942">
        <v>0.93</v>
      </c>
      <c r="R216" s="106" t="s">
        <v>835</v>
      </c>
      <c r="S216" s="942">
        <v>0.88</v>
      </c>
      <c r="T216" s="106" t="s">
        <v>836</v>
      </c>
      <c r="U216" s="1859">
        <v>1.06E-2</v>
      </c>
      <c r="V216" s="106" t="s">
        <v>836</v>
      </c>
      <c r="W216" s="253">
        <f t="shared" si="88"/>
        <v>0</v>
      </c>
      <c r="X216" s="106" t="s">
        <v>836</v>
      </c>
      <c r="Y216" s="245">
        <f t="shared" si="89"/>
        <v>0</v>
      </c>
      <c r="Z216" s="106" t="s">
        <v>836</v>
      </c>
      <c r="AA216" s="1874">
        <f t="shared" si="91"/>
        <v>0</v>
      </c>
      <c r="AB216" s="106" t="s">
        <v>836</v>
      </c>
      <c r="AC216" s="166">
        <f t="shared" si="90"/>
        <v>0</v>
      </c>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row>
    <row r="217" spans="1:81" ht="15.75" customHeight="1" x14ac:dyDescent="0.25">
      <c r="A217" s="1870"/>
      <c r="B217" s="1872" t="s">
        <v>1538</v>
      </c>
      <c r="C217" s="107" t="s">
        <v>1660</v>
      </c>
      <c r="D217" s="107"/>
      <c r="E217" s="1875">
        <v>0</v>
      </c>
      <c r="F217" s="106" t="s">
        <v>836</v>
      </c>
      <c r="G217" s="106" t="s">
        <v>944</v>
      </c>
      <c r="H217" s="107"/>
      <c r="I217" s="1520">
        <v>0</v>
      </c>
      <c r="J217" s="106" t="s">
        <v>835</v>
      </c>
      <c r="K217" s="1428">
        <v>1.4</v>
      </c>
      <c r="L217" s="106" t="s">
        <v>835</v>
      </c>
      <c r="M217" s="253">
        <v>0</v>
      </c>
      <c r="N217" s="106" t="s">
        <v>835</v>
      </c>
      <c r="O217" s="106">
        <v>0.91</v>
      </c>
      <c r="P217" s="106" t="s">
        <v>835</v>
      </c>
      <c r="Q217" s="942">
        <v>0.93</v>
      </c>
      <c r="R217" s="106" t="s">
        <v>835</v>
      </c>
      <c r="S217" s="942">
        <v>0.88</v>
      </c>
      <c r="T217" s="106" t="s">
        <v>836</v>
      </c>
      <c r="U217" s="1859">
        <v>7.1999999999999998E-3</v>
      </c>
      <c r="V217" s="106" t="s">
        <v>836</v>
      </c>
      <c r="W217" s="253">
        <f t="shared" si="88"/>
        <v>0</v>
      </c>
      <c r="X217" s="106" t="s">
        <v>836</v>
      </c>
      <c r="Y217" s="245">
        <f t="shared" si="89"/>
        <v>0</v>
      </c>
      <c r="Z217" s="106" t="s">
        <v>836</v>
      </c>
      <c r="AA217" s="1874">
        <f t="shared" si="91"/>
        <v>0</v>
      </c>
      <c r="AB217" s="106" t="s">
        <v>836</v>
      </c>
      <c r="AC217" s="166">
        <f t="shared" si="90"/>
        <v>0</v>
      </c>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row>
    <row r="218" spans="1:81" ht="15.75" customHeight="1" x14ac:dyDescent="0.25">
      <c r="A218" s="1870"/>
      <c r="B218" s="1872" t="s">
        <v>1661</v>
      </c>
      <c r="C218" s="107" t="s">
        <v>1530</v>
      </c>
      <c r="D218" s="107"/>
      <c r="E218" s="1873">
        <v>17903</v>
      </c>
      <c r="F218" s="106" t="s">
        <v>836</v>
      </c>
      <c r="G218" s="106">
        <v>2.7215692074999999E-2</v>
      </c>
      <c r="H218" s="107"/>
      <c r="I218" s="1520">
        <f>E218*G218*1000</f>
        <v>487242.53521872498</v>
      </c>
      <c r="J218" s="106" t="s">
        <v>835</v>
      </c>
      <c r="K218" s="1428">
        <v>2.1</v>
      </c>
      <c r="L218" s="106" t="s">
        <v>835</v>
      </c>
      <c r="M218" s="253">
        <v>0.03</v>
      </c>
      <c r="N218" s="106" t="s">
        <v>835</v>
      </c>
      <c r="O218" s="106">
        <v>0.87</v>
      </c>
      <c r="P218" s="106" t="s">
        <v>835</v>
      </c>
      <c r="Q218" s="942">
        <v>0.93</v>
      </c>
      <c r="R218" s="106" t="s">
        <v>835</v>
      </c>
      <c r="S218" s="942">
        <v>0.88</v>
      </c>
      <c r="T218" s="106" t="s">
        <v>836</v>
      </c>
      <c r="U218" s="1859">
        <v>2.3E-2</v>
      </c>
      <c r="V218" s="106" t="s">
        <v>836</v>
      </c>
      <c r="W218" s="253">
        <f t="shared" si="88"/>
        <v>502.68792479020419</v>
      </c>
      <c r="X218" s="106" t="s">
        <v>836</v>
      </c>
      <c r="Y218" s="245">
        <f t="shared" si="89"/>
        <v>5.5295671726922455</v>
      </c>
      <c r="Z218" s="106" t="s">
        <v>836</v>
      </c>
      <c r="AA218" s="1874">
        <f t="shared" si="91"/>
        <v>3.9963690020821226E-4</v>
      </c>
      <c r="AB218" s="106" t="s">
        <v>836</v>
      </c>
      <c r="AC218" s="166">
        <f t="shared" si="90"/>
        <v>1.4653353007634451E-3</v>
      </c>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row>
    <row r="219" spans="1:81" ht="15.75" customHeight="1" x14ac:dyDescent="0.25">
      <c r="A219" s="1870"/>
      <c r="B219" s="1872" t="s">
        <v>1662</v>
      </c>
      <c r="C219" s="107" t="s">
        <v>1527</v>
      </c>
      <c r="D219" s="107"/>
      <c r="E219" s="1875">
        <v>0</v>
      </c>
      <c r="F219" s="106" t="s">
        <v>836</v>
      </c>
      <c r="G219" s="106" t="s">
        <v>944</v>
      </c>
      <c r="H219" s="107"/>
      <c r="I219" s="1520">
        <f>E219*0.9072*1000</f>
        <v>0</v>
      </c>
      <c r="J219" s="106" t="s">
        <v>835</v>
      </c>
      <c r="K219" s="1428">
        <v>0.2</v>
      </c>
      <c r="L219" s="106" t="s">
        <v>835</v>
      </c>
      <c r="M219" s="253">
        <v>0.03</v>
      </c>
      <c r="N219" s="106" t="s">
        <v>835</v>
      </c>
      <c r="O219" s="106">
        <v>0.62</v>
      </c>
      <c r="P219" s="106" t="s">
        <v>835</v>
      </c>
      <c r="Q219" s="942">
        <v>0.93</v>
      </c>
      <c r="R219" s="106" t="s">
        <v>835</v>
      </c>
      <c r="S219" s="942">
        <v>0.88</v>
      </c>
      <c r="T219" s="106" t="s">
        <v>836</v>
      </c>
      <c r="U219" s="1859">
        <v>4.0000000000000001E-3</v>
      </c>
      <c r="V219" s="106" t="s">
        <v>836</v>
      </c>
      <c r="W219" s="253">
        <f t="shared" si="88"/>
        <v>0</v>
      </c>
      <c r="X219" s="106" t="s">
        <v>836</v>
      </c>
      <c r="Y219" s="245">
        <f t="shared" si="89"/>
        <v>0</v>
      </c>
      <c r="Z219" s="106" t="s">
        <v>836</v>
      </c>
      <c r="AA219" s="1874">
        <f t="shared" si="91"/>
        <v>0</v>
      </c>
      <c r="AB219" s="106" t="s">
        <v>836</v>
      </c>
      <c r="AC219" s="166">
        <f t="shared" si="90"/>
        <v>0</v>
      </c>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row>
    <row r="220" spans="1:81" ht="15.75" customHeight="1" x14ac:dyDescent="0.25">
      <c r="A220" s="1870"/>
      <c r="B220" s="1872" t="s">
        <v>1663</v>
      </c>
      <c r="C220" s="107" t="s">
        <v>1530</v>
      </c>
      <c r="D220" s="107"/>
      <c r="E220" s="1873">
        <v>12540</v>
      </c>
      <c r="F220" s="106" t="s">
        <v>836</v>
      </c>
      <c r="G220" s="106">
        <v>2.7215442853E-2</v>
      </c>
      <c r="H220" s="107"/>
      <c r="I220" s="1520">
        <f>E220*G220*1000</f>
        <v>341281.65337661997</v>
      </c>
      <c r="J220" s="106" t="s">
        <v>835</v>
      </c>
      <c r="K220" s="1428">
        <v>1.3</v>
      </c>
      <c r="L220" s="106" t="s">
        <v>835</v>
      </c>
      <c r="M220" s="253">
        <v>0.03</v>
      </c>
      <c r="N220" s="106" t="s">
        <v>835</v>
      </c>
      <c r="O220" s="106">
        <v>0.93</v>
      </c>
      <c r="P220" s="106" t="s">
        <v>835</v>
      </c>
      <c r="Q220" s="942">
        <v>0.93</v>
      </c>
      <c r="R220" s="106" t="s">
        <v>835</v>
      </c>
      <c r="S220" s="942">
        <v>0.88</v>
      </c>
      <c r="T220" s="106" t="s">
        <v>836</v>
      </c>
      <c r="U220" s="1859">
        <v>6.1999999999999998E-3</v>
      </c>
      <c r="V220" s="106" t="s">
        <v>836</v>
      </c>
      <c r="W220" s="253">
        <f t="shared" si="88"/>
        <v>62.808411234725249</v>
      </c>
      <c r="X220" s="106" t="s">
        <v>836</v>
      </c>
      <c r="Y220" s="245">
        <f t="shared" si="89"/>
        <v>0.69089252358197772</v>
      </c>
      <c r="Z220" s="106" t="s">
        <v>836</v>
      </c>
      <c r="AA220" s="1874">
        <f t="shared" si="91"/>
        <v>4.9932686931606577E-5</v>
      </c>
      <c r="AB220" s="106" t="s">
        <v>836</v>
      </c>
      <c r="AC220" s="166">
        <f t="shared" si="90"/>
        <v>1.8308651874922413E-4</v>
      </c>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row>
    <row r="221" spans="1:81" ht="15.75" customHeight="1" x14ac:dyDescent="0.25">
      <c r="A221" s="1870"/>
      <c r="B221" s="1872" t="s">
        <v>716</v>
      </c>
      <c r="C221" s="107"/>
      <c r="D221" s="107"/>
      <c r="E221" s="1875">
        <v>0</v>
      </c>
      <c r="F221" s="106" t="s">
        <v>836</v>
      </c>
      <c r="G221" s="106" t="s">
        <v>944</v>
      </c>
      <c r="H221" s="107"/>
      <c r="I221" s="1520">
        <f t="shared" ref="I221:I222" si="92">E221</f>
        <v>0</v>
      </c>
      <c r="J221" s="106" t="s">
        <v>835</v>
      </c>
      <c r="K221" s="1862"/>
      <c r="L221" s="106" t="s">
        <v>835</v>
      </c>
      <c r="M221" s="1863"/>
      <c r="N221" s="106" t="s">
        <v>835</v>
      </c>
      <c r="O221" s="1864"/>
      <c r="P221" s="106" t="s">
        <v>835</v>
      </c>
      <c r="Q221" s="1865"/>
      <c r="R221" s="106" t="s">
        <v>835</v>
      </c>
      <c r="S221" s="1866"/>
      <c r="T221" s="106" t="s">
        <v>836</v>
      </c>
      <c r="U221" s="1867"/>
      <c r="V221" s="106" t="s">
        <v>836</v>
      </c>
      <c r="W221" s="253">
        <f t="shared" si="88"/>
        <v>0</v>
      </c>
      <c r="X221" s="106" t="s">
        <v>836</v>
      </c>
      <c r="Y221" s="245">
        <f t="shared" si="89"/>
        <v>0</v>
      </c>
      <c r="Z221" s="106" t="s">
        <v>836</v>
      </c>
      <c r="AA221" s="1874">
        <f t="shared" si="91"/>
        <v>0</v>
      </c>
      <c r="AB221" s="106" t="s">
        <v>836</v>
      </c>
      <c r="AC221" s="166">
        <f t="shared" si="90"/>
        <v>0</v>
      </c>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row>
    <row r="222" spans="1:81" ht="15.75" customHeight="1" x14ac:dyDescent="0.25">
      <c r="A222" s="1870"/>
      <c r="B222" s="1466"/>
      <c r="C222" s="107"/>
      <c r="D222" s="107"/>
      <c r="E222" s="1875">
        <v>0</v>
      </c>
      <c r="F222" s="106" t="s">
        <v>836</v>
      </c>
      <c r="G222" s="106" t="s">
        <v>944</v>
      </c>
      <c r="H222" s="107"/>
      <c r="I222" s="1520">
        <f t="shared" si="92"/>
        <v>0</v>
      </c>
      <c r="J222" s="106" t="s">
        <v>835</v>
      </c>
      <c r="K222" s="1862"/>
      <c r="L222" s="106" t="s">
        <v>835</v>
      </c>
      <c r="M222" s="1863"/>
      <c r="N222" s="106" t="s">
        <v>835</v>
      </c>
      <c r="O222" s="1864"/>
      <c r="P222" s="106" t="s">
        <v>835</v>
      </c>
      <c r="Q222" s="1865"/>
      <c r="R222" s="106" t="s">
        <v>835</v>
      </c>
      <c r="S222" s="1866"/>
      <c r="T222" s="106" t="s">
        <v>836</v>
      </c>
      <c r="U222" s="1867"/>
      <c r="V222" s="106" t="s">
        <v>836</v>
      </c>
      <c r="W222" s="253">
        <f t="shared" si="88"/>
        <v>0</v>
      </c>
      <c r="X222" s="106" t="s">
        <v>836</v>
      </c>
      <c r="Y222" s="245">
        <f t="shared" si="89"/>
        <v>0</v>
      </c>
      <c r="Z222" s="106" t="s">
        <v>836</v>
      </c>
      <c r="AA222" s="1874">
        <f t="shared" si="91"/>
        <v>0</v>
      </c>
      <c r="AB222" s="106" t="s">
        <v>836</v>
      </c>
      <c r="AC222" s="166">
        <f t="shared" si="90"/>
        <v>0</v>
      </c>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row>
    <row r="223" spans="1:81" ht="15.75" customHeight="1" x14ac:dyDescent="0.25">
      <c r="A223" s="1870"/>
      <c r="B223" s="1876"/>
      <c r="C223" s="105"/>
      <c r="D223" s="107"/>
      <c r="E223" s="1393"/>
      <c r="F223" s="106"/>
      <c r="G223" s="107"/>
      <c r="H223" s="107"/>
      <c r="I223" s="106"/>
      <c r="J223" s="106"/>
      <c r="K223" s="232"/>
      <c r="L223" s="106"/>
      <c r="M223" s="1166"/>
      <c r="N223" s="106"/>
      <c r="O223" s="942"/>
      <c r="P223" s="107"/>
      <c r="Q223" s="107"/>
      <c r="R223" s="107"/>
      <c r="S223" s="107"/>
      <c r="T223" s="107"/>
      <c r="U223" s="107"/>
      <c r="V223" s="107"/>
      <c r="W223" s="253"/>
      <c r="X223" s="107"/>
      <c r="Y223" s="245"/>
      <c r="Z223" s="107"/>
      <c r="AA223" s="107"/>
      <c r="AB223" s="107"/>
      <c r="AC223" s="108"/>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row>
    <row r="224" spans="1:81" ht="15.75" customHeight="1" x14ac:dyDescent="0.25">
      <c r="A224" s="1870"/>
      <c r="B224" s="1877" t="s">
        <v>1473</v>
      </c>
      <c r="C224" s="1597"/>
      <c r="D224" s="564"/>
      <c r="E224" s="1878"/>
      <c r="F224" s="1878"/>
      <c r="G224" s="564"/>
      <c r="H224" s="564"/>
      <c r="I224" s="1878"/>
      <c r="J224" s="1878"/>
      <c r="K224" s="1433"/>
      <c r="L224" s="1653"/>
      <c r="M224" s="1433"/>
      <c r="N224" s="1653"/>
      <c r="O224" s="986"/>
      <c r="P224" s="564"/>
      <c r="Q224" s="986"/>
      <c r="R224" s="564"/>
      <c r="S224" s="564"/>
      <c r="T224" s="564"/>
      <c r="U224" s="986"/>
      <c r="V224" s="564"/>
      <c r="W224" s="1431">
        <f>SUM(W214:W222)</f>
        <v>733.00369972074191</v>
      </c>
      <c r="X224" s="564"/>
      <c r="Y224" s="1879">
        <f>SUM(Y214:Y222)</f>
        <v>8.0630406969281605</v>
      </c>
      <c r="Z224" s="564"/>
      <c r="AA224" s="1880">
        <f>SUM(AA214:AA222)</f>
        <v>5.8273794127798974E-4</v>
      </c>
      <c r="AB224" s="564"/>
      <c r="AC224" s="1881">
        <f>SUM(AC214:AC222)</f>
        <v>2.1367057846859625E-3</v>
      </c>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row>
    <row r="225" spans="1:81" ht="15.75" customHeight="1" x14ac:dyDescent="0.25">
      <c r="A225" s="48"/>
      <c r="B225" s="1882"/>
      <c r="C225" s="1668"/>
      <c r="D225" s="1668"/>
      <c r="E225" s="1668"/>
      <c r="F225" s="1668"/>
      <c r="G225" s="1669"/>
      <c r="H225" s="167"/>
      <c r="I225" s="1670"/>
      <c r="J225" s="167"/>
      <c r="K225" s="1671"/>
      <c r="L225" s="110"/>
      <c r="M225" s="1671"/>
      <c r="N225" s="110"/>
      <c r="O225" s="110"/>
      <c r="P225" s="110"/>
      <c r="Q225" s="110"/>
      <c r="R225" s="110"/>
      <c r="S225" s="110"/>
      <c r="T225" s="110"/>
      <c r="U225" s="110"/>
      <c r="V225" s="110"/>
      <c r="W225" s="110"/>
      <c r="X225" s="110"/>
      <c r="Y225" s="110"/>
      <c r="Z225" s="110"/>
      <c r="AA225" s="110"/>
      <c r="AB225" s="110"/>
      <c r="AC225" s="112"/>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row>
    <row r="226" spans="1:81" ht="15.75" customHeight="1" x14ac:dyDescent="0.25">
      <c r="A226" s="4"/>
      <c r="B226" s="1"/>
      <c r="C226" s="1030"/>
      <c r="D226" s="1030"/>
      <c r="E226" s="1030"/>
      <c r="F226" s="1030"/>
      <c r="G226" s="540"/>
      <c r="H226" s="42"/>
      <c r="I226" s="1046"/>
      <c r="J226" s="42"/>
      <c r="K226" s="1045"/>
      <c r="L226" s="4"/>
      <c r="M226" s="1045"/>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row>
    <row r="227" spans="1:81" ht="15.75" customHeight="1" x14ac:dyDescent="0.25">
      <c r="A227" s="4"/>
      <c r="B227" s="1"/>
      <c r="C227" s="1030"/>
      <c r="D227" s="1030"/>
      <c r="E227" s="1030"/>
      <c r="F227" s="1030"/>
      <c r="G227" s="540"/>
      <c r="H227" s="42"/>
      <c r="I227" s="1046"/>
      <c r="J227" s="42"/>
      <c r="K227" s="1045"/>
      <c r="L227" s="4"/>
      <c r="M227" s="1045"/>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row>
    <row r="228" spans="1:81" ht="15.75" customHeight="1" x14ac:dyDescent="0.25">
      <c r="A228" s="4"/>
      <c r="B228" s="1672" t="s">
        <v>1671</v>
      </c>
      <c r="C228" s="1673"/>
      <c r="D228" s="1673"/>
      <c r="E228" s="1674"/>
      <c r="F228" s="1030"/>
      <c r="G228" s="540"/>
      <c r="H228" s="42"/>
      <c r="I228" s="1046"/>
      <c r="J228" s="42"/>
      <c r="K228" s="1045"/>
      <c r="L228" s="4"/>
      <c r="M228" s="1045"/>
      <c r="N228" s="4"/>
      <c r="O228" s="4"/>
      <c r="P228" s="4"/>
      <c r="Q228" s="4"/>
      <c r="R228" s="4"/>
      <c r="S228" s="4"/>
      <c r="T228" s="4"/>
      <c r="U228" s="4"/>
      <c r="V228" s="4"/>
      <c r="W228" s="4"/>
      <c r="X228" s="4"/>
      <c r="Y228" s="4"/>
      <c r="Z228" s="4"/>
      <c r="AA228" s="4"/>
      <c r="AB228" s="4"/>
      <c r="AC228" s="4"/>
      <c r="AD228" s="4"/>
      <c r="AE228" s="4"/>
      <c r="AF228" s="4"/>
      <c r="AG228" s="4"/>
      <c r="AH228" s="1" t="s">
        <v>1582</v>
      </c>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row>
    <row r="229" spans="1:81"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row>
    <row r="230" spans="1:81" ht="30" customHeight="1" x14ac:dyDescent="0.25">
      <c r="A230" s="4"/>
      <c r="B230" s="1883" t="s">
        <v>1672</v>
      </c>
      <c r="C230" s="1884">
        <v>2011</v>
      </c>
      <c r="D230" s="1885"/>
      <c r="E230" s="1886" t="s">
        <v>1673</v>
      </c>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row>
    <row r="231" spans="1:81" ht="15.75" customHeight="1" x14ac:dyDescent="0.25">
      <c r="A231" s="4"/>
      <c r="B231" s="1533" t="s">
        <v>132</v>
      </c>
      <c r="C231" s="942">
        <f>M25</f>
        <v>0.4958261590051557</v>
      </c>
      <c r="D231" s="1000"/>
      <c r="E231" s="1887">
        <f t="shared" ref="E231:E236" si="93">C231</f>
        <v>0.4958261590051557</v>
      </c>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row>
    <row r="232" spans="1:81" ht="15.75" customHeight="1" x14ac:dyDescent="0.25">
      <c r="A232" s="4"/>
      <c r="B232" s="1533" t="s">
        <v>136</v>
      </c>
      <c r="C232" s="942">
        <f>W61+U89</f>
        <v>0.32251825305624321</v>
      </c>
      <c r="D232" s="245"/>
      <c r="E232" s="1887">
        <f t="shared" si="93"/>
        <v>0.32251825305624321</v>
      </c>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row>
    <row r="233" spans="1:81" ht="15.75" customHeight="1" x14ac:dyDescent="0.25">
      <c r="A233" s="4"/>
      <c r="B233" s="1533" t="s">
        <v>1674</v>
      </c>
      <c r="C233" s="942">
        <f>C262*$AG$8/1000000</f>
        <v>0.81563348598611207</v>
      </c>
      <c r="D233" s="245"/>
      <c r="E233" s="1887">
        <f t="shared" si="93"/>
        <v>0.81563348598611207</v>
      </c>
      <c r="F233" s="4"/>
      <c r="G233" s="863"/>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row>
    <row r="234" spans="1:81" ht="15.75" customHeight="1" x14ac:dyDescent="0.25">
      <c r="A234" s="4"/>
      <c r="B234" s="1533" t="s">
        <v>1675</v>
      </c>
      <c r="C234" s="245">
        <v>0</v>
      </c>
      <c r="D234" s="245"/>
      <c r="E234" s="1887">
        <f t="shared" si="93"/>
        <v>0</v>
      </c>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row>
    <row r="235" spans="1:81" ht="15.75" customHeight="1" x14ac:dyDescent="0.25">
      <c r="A235" s="4"/>
      <c r="B235" s="1533" t="s">
        <v>1676</v>
      </c>
      <c r="C235" s="942">
        <f>AC209+AC224</f>
        <v>7.1772343261893648E-3</v>
      </c>
      <c r="D235" s="245"/>
      <c r="E235" s="1887">
        <f t="shared" si="93"/>
        <v>7.1772343261893648E-3</v>
      </c>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row>
    <row r="236" spans="1:81" ht="15.75" customHeight="1" x14ac:dyDescent="0.25">
      <c r="A236" s="4"/>
      <c r="B236" s="1888" t="s">
        <v>1473</v>
      </c>
      <c r="C236" s="1879">
        <f>SUM(C231:C235)</f>
        <v>1.6411551323737004</v>
      </c>
      <c r="D236" s="1879"/>
      <c r="E236" s="1889">
        <f t="shared" si="93"/>
        <v>1.6411551323737004</v>
      </c>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row>
    <row r="237" spans="1:81" ht="15.75" customHeight="1" x14ac:dyDescent="0.25">
      <c r="A237" s="4"/>
      <c r="B237" s="1344"/>
      <c r="C237" s="107"/>
      <c r="D237" s="107"/>
      <c r="E237" s="1750"/>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row>
    <row r="238" spans="1:81" ht="30" customHeight="1" x14ac:dyDescent="0.25">
      <c r="A238" s="4"/>
      <c r="B238" s="1890" t="s">
        <v>1677</v>
      </c>
      <c r="C238" s="1597">
        <v>2011</v>
      </c>
      <c r="D238" s="1597"/>
      <c r="E238" s="1891" t="s">
        <v>1678</v>
      </c>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row>
    <row r="239" spans="1:81" ht="15.75" customHeight="1" x14ac:dyDescent="0.25">
      <c r="A239" s="4"/>
      <c r="B239" s="1344" t="s">
        <v>1679</v>
      </c>
      <c r="C239" s="1892">
        <f>SUM(C240:C243)</f>
        <v>2.2377601652025104E-2</v>
      </c>
      <c r="D239" s="1892"/>
      <c r="E239" s="1893">
        <f>C239*$AG$7</f>
        <v>0.62657284625670295</v>
      </c>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row>
    <row r="240" spans="1:81" ht="15.75" customHeight="1" x14ac:dyDescent="0.25">
      <c r="A240" s="4"/>
      <c r="B240" s="1894" t="s">
        <v>132</v>
      </c>
      <c r="C240" s="245">
        <f>I25</f>
        <v>1.7708077107326994E-2</v>
      </c>
      <c r="D240" s="245"/>
      <c r="E240" s="1887">
        <f>C240*$AG$7</f>
        <v>0.49582615900515581</v>
      </c>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row>
    <row r="241" spans="1:81" ht="15.75" customHeight="1" x14ac:dyDescent="0.25">
      <c r="A241" s="4"/>
      <c r="B241" s="1894" t="s">
        <v>136</v>
      </c>
      <c r="C241" s="245">
        <f>S61</f>
        <v>4.489505668215845E-3</v>
      </c>
      <c r="D241" s="245"/>
      <c r="E241" s="1887">
        <f>C241*$AG$7</f>
        <v>0.12570615871004365</v>
      </c>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row>
    <row r="242" spans="1:81" ht="15.75" customHeight="1" x14ac:dyDescent="0.25">
      <c r="A242" s="4"/>
      <c r="B242" s="1894" t="s">
        <v>1675</v>
      </c>
      <c r="C242" s="245">
        <v>0</v>
      </c>
      <c r="D242" s="245"/>
      <c r="E242" s="1887">
        <f>C242*$AG$7</f>
        <v>0</v>
      </c>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row>
    <row r="243" spans="1:81" ht="15.75" customHeight="1" x14ac:dyDescent="0.25">
      <c r="A243" s="4"/>
      <c r="B243" s="1894" t="s">
        <v>1676</v>
      </c>
      <c r="C243" s="245">
        <f>Y209/1000000</f>
        <v>1.8001887648226437E-4</v>
      </c>
      <c r="D243" s="245"/>
      <c r="E243" s="1887">
        <f>C243*$AG$7</f>
        <v>5.0405285415034019E-3</v>
      </c>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row>
    <row r="244" spans="1:81" ht="15.75" customHeight="1" x14ac:dyDescent="0.25">
      <c r="A244" s="4"/>
      <c r="B244" s="1895" t="s">
        <v>1680</v>
      </c>
      <c r="C244" s="1892">
        <f>SUM(C245:C247)</f>
        <v>3.8286124004415002E-3</v>
      </c>
      <c r="D244" s="1892"/>
      <c r="E244" s="1893">
        <f>C244*$AG$8</f>
        <v>1.0145822861169975</v>
      </c>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row>
    <row r="245" spans="1:81" ht="15.75" customHeight="1" x14ac:dyDescent="0.25">
      <c r="A245" s="4"/>
      <c r="B245" s="1894" t="s">
        <v>136</v>
      </c>
      <c r="C245" s="245">
        <f>O89*0.000000001</f>
        <v>7.4268714847622471E-4</v>
      </c>
      <c r="D245" s="245"/>
      <c r="E245" s="1887">
        <f>C245*$AG$8</f>
        <v>0.19681209434619953</v>
      </c>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row>
    <row r="246" spans="1:81" ht="15.75" customHeight="1" x14ac:dyDescent="0.25">
      <c r="A246" s="4"/>
      <c r="B246" s="1894" t="s">
        <v>1674</v>
      </c>
      <c r="C246" s="245">
        <f>(AA96+AA97+O124+Q124+G189+G192+O189)*0.000001</f>
        <v>3.0778622112683472E-3</v>
      </c>
      <c r="D246" s="245"/>
      <c r="E246" s="1887">
        <f>C246*$AG$8</f>
        <v>0.81563348598611196</v>
      </c>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row>
    <row r="247" spans="1:81" ht="15.75" customHeight="1" x14ac:dyDescent="0.25">
      <c r="A247" s="4"/>
      <c r="B247" s="1894" t="s">
        <v>1676</v>
      </c>
      <c r="C247" s="245">
        <f>Y224*0.000001</f>
        <v>8.06304069692816E-6</v>
      </c>
      <c r="D247" s="245"/>
      <c r="E247" s="1887">
        <f>C247*$AG$8</f>
        <v>2.1367057846859625E-3</v>
      </c>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row>
    <row r="248" spans="1:81" ht="15.75" customHeight="1" x14ac:dyDescent="0.25">
      <c r="A248" s="4"/>
      <c r="B248" s="1533"/>
      <c r="C248" s="107"/>
      <c r="D248" s="107"/>
      <c r="E248" s="108"/>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row>
    <row r="249" spans="1:81" ht="30" customHeight="1" x14ac:dyDescent="0.25">
      <c r="A249" s="4"/>
      <c r="B249" s="1890" t="s">
        <v>1681</v>
      </c>
      <c r="C249" s="1597">
        <v>2011</v>
      </c>
      <c r="D249" s="1597"/>
      <c r="E249" s="1896"/>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row>
    <row r="250" spans="1:81" ht="15.75" customHeight="1" x14ac:dyDescent="0.25">
      <c r="A250" s="4"/>
      <c r="B250" s="1344" t="s">
        <v>1682</v>
      </c>
      <c r="C250" s="1413">
        <f>SUM(C251:C255)</f>
        <v>2649.6636765402859</v>
      </c>
      <c r="D250" s="1413"/>
      <c r="E250" s="1897"/>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row>
    <row r="251" spans="1:81" ht="15.75" customHeight="1" x14ac:dyDescent="0.25">
      <c r="A251" s="4"/>
      <c r="B251" s="1894" t="s">
        <v>1683</v>
      </c>
      <c r="C251" s="232">
        <f>O124</f>
        <v>493.6067891555428</v>
      </c>
      <c r="D251" s="232"/>
      <c r="E251" s="787"/>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row>
    <row r="252" spans="1:81" ht="15.75" customHeight="1" x14ac:dyDescent="0.25">
      <c r="A252" s="4"/>
      <c r="B252" s="1894" t="s">
        <v>1684</v>
      </c>
      <c r="C252" s="232">
        <f t="shared" ref="C252:C253" si="94">AA96</f>
        <v>422.23715421701729</v>
      </c>
      <c r="D252" s="232"/>
      <c r="E252" s="1898"/>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row>
    <row r="253" spans="1:81" ht="15.75" customHeight="1" x14ac:dyDescent="0.25">
      <c r="A253" s="4"/>
      <c r="B253" s="1894" t="s">
        <v>1685</v>
      </c>
      <c r="C253" s="232">
        <f t="shared" si="94"/>
        <v>670.39496110002494</v>
      </c>
      <c r="D253" s="232"/>
      <c r="E253" s="1898"/>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row>
    <row r="254" spans="1:81" ht="15.75" customHeight="1" x14ac:dyDescent="0.25">
      <c r="A254" s="4"/>
      <c r="B254" s="1894" t="s">
        <v>1686</v>
      </c>
      <c r="C254" s="232">
        <v>0</v>
      </c>
      <c r="D254" s="232"/>
      <c r="E254" s="787"/>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row>
    <row r="255" spans="1:81" ht="15.75" customHeight="1" x14ac:dyDescent="0.25">
      <c r="A255" s="4"/>
      <c r="B255" s="1894" t="s">
        <v>1687</v>
      </c>
      <c r="C255" s="232">
        <f>G192</f>
        <v>1063.4247720677008</v>
      </c>
      <c r="D255" s="232"/>
      <c r="E255" s="787"/>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row>
    <row r="256" spans="1:81" ht="15.75" customHeight="1" x14ac:dyDescent="0.25">
      <c r="A256" s="4"/>
      <c r="B256" s="1344" t="s">
        <v>1688</v>
      </c>
      <c r="C256" s="1413">
        <f>SUM(C257:C259)</f>
        <v>428.19853472806153</v>
      </c>
      <c r="D256" s="1413"/>
      <c r="E256" s="1897"/>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row>
    <row r="257" spans="1:81" ht="15.75" customHeight="1" x14ac:dyDescent="0.25">
      <c r="A257" s="4"/>
      <c r="B257" s="1894" t="s">
        <v>1683</v>
      </c>
      <c r="C257" s="232">
        <f>Q124</f>
        <v>56.723518941885722</v>
      </c>
      <c r="D257" s="232"/>
      <c r="E257" s="787"/>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row>
    <row r="258" spans="1:81" ht="15.75" customHeight="1" x14ac:dyDescent="0.25">
      <c r="A258" s="4"/>
      <c r="B258" s="1894" t="s">
        <v>1687</v>
      </c>
      <c r="C258" s="232">
        <f>G189</f>
        <v>122.54752387114287</v>
      </c>
      <c r="D258" s="232"/>
      <c r="E258" s="787"/>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row>
    <row r="259" spans="1:81" ht="15.75" customHeight="1" x14ac:dyDescent="0.25">
      <c r="A259" s="4"/>
      <c r="B259" s="1894" t="s">
        <v>1689</v>
      </c>
      <c r="C259" s="232">
        <f>+O189</f>
        <v>248.9274919150329</v>
      </c>
      <c r="D259" s="232"/>
      <c r="E259" s="787"/>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row>
    <row r="260" spans="1:81" ht="15.75" customHeight="1" x14ac:dyDescent="0.25">
      <c r="A260" s="4"/>
      <c r="B260" s="1899" t="s">
        <v>1638</v>
      </c>
      <c r="C260" s="232">
        <f t="shared" ref="C260:C261" si="95">O190</f>
        <v>111.06152755999712</v>
      </c>
      <c r="D260" s="232"/>
      <c r="E260" s="787"/>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row>
    <row r="261" spans="1:81" ht="15.75" customHeight="1" x14ac:dyDescent="0.25">
      <c r="A261" s="4"/>
      <c r="B261" s="1899" t="s">
        <v>1640</v>
      </c>
      <c r="C261" s="232">
        <f t="shared" si="95"/>
        <v>137.86596435503574</v>
      </c>
      <c r="D261" s="232"/>
      <c r="E261" s="787"/>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row>
    <row r="262" spans="1:81" ht="15.75" customHeight="1" x14ac:dyDescent="0.25">
      <c r="A262" s="4"/>
      <c r="B262" s="1900" t="s">
        <v>1473</v>
      </c>
      <c r="C262" s="1606">
        <f>C256+C250</f>
        <v>3077.8622112683474</v>
      </c>
      <c r="D262" s="1669"/>
      <c r="E262" s="1901"/>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row>
    <row r="263" spans="1:81"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row>
    <row r="264" spans="1:81"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row>
    <row r="265" spans="1:81"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row>
    <row r="266" spans="1:81"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row>
    <row r="267" spans="1:81"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row>
    <row r="268" spans="1:81"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row>
    <row r="269" spans="1:81"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row>
    <row r="270" spans="1:81"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row>
    <row r="271" spans="1:81"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row>
    <row r="272" spans="1:81"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row>
    <row r="273" spans="1:81"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row>
    <row r="274" spans="1:81"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row>
    <row r="275" spans="1:81"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row>
    <row r="276" spans="1:81"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row>
    <row r="277" spans="1:81"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row>
    <row r="278" spans="1:81"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row>
    <row r="279" spans="1:81"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row>
    <row r="280" spans="1:81"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row>
    <row r="281" spans="1:81"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row>
    <row r="282" spans="1:81"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row>
    <row r="283" spans="1:81"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row>
    <row r="284" spans="1:81"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row>
    <row r="285" spans="1:81"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row>
    <row r="286" spans="1:81"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row>
    <row r="287" spans="1:81"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row>
    <row r="288" spans="1:81"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row>
    <row r="289" spans="1:81"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row>
    <row r="290" spans="1:81"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row>
    <row r="291" spans="1:81"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row>
    <row r="292" spans="1:81"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row>
    <row r="293" spans="1:81"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row>
    <row r="294" spans="1:81"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row>
    <row r="295" spans="1:81"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row>
    <row r="296" spans="1:81"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row>
    <row r="297" spans="1:81"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row>
    <row r="298" spans="1:81"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row>
    <row r="299" spans="1:81"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row>
    <row r="300" spans="1:81"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row>
    <row r="301" spans="1:81"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row>
    <row r="302" spans="1:81"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row>
    <row r="303" spans="1:81"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row>
    <row r="304" spans="1:81"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row>
    <row r="305" spans="1:81"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row>
    <row r="306" spans="1:81"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row>
    <row r="307" spans="1:81"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row>
    <row r="308" spans="1:81"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row>
    <row r="309" spans="1:81"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row>
    <row r="310" spans="1:81"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row>
    <row r="311" spans="1:81"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row>
    <row r="312" spans="1:81"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row>
    <row r="313" spans="1:81"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row>
    <row r="314" spans="1:81"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row>
    <row r="315" spans="1:81"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row>
    <row r="316" spans="1:81"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row>
    <row r="317" spans="1:81"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row>
    <row r="318" spans="1:81"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row>
    <row r="319" spans="1:81"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row>
    <row r="320" spans="1:81"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row>
    <row r="321" spans="1:81"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row>
    <row r="322" spans="1:81"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row>
    <row r="323" spans="1:81"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row>
    <row r="324" spans="1:81"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row>
    <row r="325" spans="1:81"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row>
    <row r="326" spans="1:81"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row>
    <row r="327" spans="1:81"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row>
    <row r="328" spans="1:81"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row>
    <row r="329" spans="1:81"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row>
    <row r="330" spans="1:81"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row>
    <row r="331" spans="1:81"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row>
    <row r="332" spans="1:81"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row>
    <row r="333" spans="1:81"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row>
    <row r="334" spans="1:81"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row>
    <row r="335" spans="1:81"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row>
    <row r="336" spans="1:81"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row>
    <row r="337" spans="1:81"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row>
    <row r="338" spans="1:81"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row>
    <row r="339" spans="1:81"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row>
    <row r="340" spans="1:81"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row>
    <row r="341" spans="1:81"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row>
    <row r="342" spans="1:81"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row>
    <row r="343" spans="1:81"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row>
    <row r="344" spans="1:81"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row>
    <row r="345" spans="1:81"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row>
    <row r="346" spans="1:81"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row>
    <row r="347" spans="1:81"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row>
    <row r="348" spans="1:81"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row>
    <row r="349" spans="1:81"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row>
    <row r="350" spans="1:81"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row>
    <row r="351" spans="1:81"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row>
    <row r="352" spans="1:81"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row>
    <row r="353" spans="1:81"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row>
    <row r="354" spans="1:81"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row>
    <row r="355" spans="1:81"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row>
    <row r="356" spans="1:81"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row>
    <row r="357" spans="1:81"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row>
    <row r="358" spans="1:81"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row>
    <row r="359" spans="1:81"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row>
    <row r="360" spans="1:81"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row>
    <row r="361" spans="1:81"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row>
    <row r="362" spans="1:81"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row>
    <row r="363" spans="1:81"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row>
    <row r="364" spans="1:81"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row>
    <row r="365" spans="1:81"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row>
    <row r="366" spans="1:81"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row>
    <row r="367" spans="1:81"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row>
    <row r="368" spans="1:81"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row>
    <row r="369" spans="1:81"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row>
    <row r="370" spans="1:81"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row>
    <row r="371" spans="1:81"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row>
    <row r="372" spans="1:81"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row>
    <row r="373" spans="1:81"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row>
    <row r="374" spans="1:81"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row>
    <row r="375" spans="1:81"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row>
    <row r="376" spans="1:81"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row>
    <row r="377" spans="1:81"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row>
    <row r="378" spans="1:81"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row>
    <row r="379" spans="1:81"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row>
    <row r="380" spans="1:81"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row>
    <row r="381" spans="1:81"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row>
    <row r="382" spans="1:81"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row>
    <row r="383" spans="1:81"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row>
    <row r="384" spans="1:81"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row>
    <row r="385" spans="1:81"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row>
    <row r="386" spans="1:81"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row>
    <row r="387" spans="1:81"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row>
    <row r="388" spans="1:81"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row>
    <row r="389" spans="1:81"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row>
    <row r="390" spans="1:81"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row>
    <row r="391" spans="1:81"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row>
    <row r="392" spans="1:81"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row>
    <row r="393" spans="1:81"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row>
    <row r="394" spans="1:81"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row>
    <row r="395" spans="1:81"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row>
    <row r="396" spans="1:81"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row>
    <row r="397" spans="1:81"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row>
    <row r="398" spans="1:81"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row>
    <row r="399" spans="1:81"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row>
    <row r="400" spans="1:81"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row>
    <row r="401" spans="1:81"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row>
    <row r="402" spans="1:81"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row>
    <row r="403" spans="1:81"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row>
    <row r="404" spans="1:81"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row>
    <row r="405" spans="1:81"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row>
    <row r="406" spans="1:81"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row>
    <row r="407" spans="1:81"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row>
    <row r="408" spans="1:81"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row>
    <row r="409" spans="1:81"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row>
    <row r="410" spans="1:81"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row>
    <row r="411" spans="1:81"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row>
    <row r="412" spans="1:81"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row>
    <row r="413" spans="1:81"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row>
    <row r="414" spans="1:81"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row>
    <row r="415" spans="1:81"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row>
    <row r="416" spans="1:81"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row>
    <row r="417" spans="1:81"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row>
    <row r="418" spans="1:81"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row>
    <row r="419" spans="1:81"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row>
    <row r="420" spans="1:81"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row>
    <row r="421" spans="1:81"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row>
    <row r="422" spans="1:81"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row>
    <row r="423" spans="1:81"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row>
    <row r="424" spans="1:81"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row>
    <row r="425" spans="1:81"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row>
    <row r="426" spans="1:81"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row>
    <row r="427" spans="1:81"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row>
    <row r="428" spans="1:81"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row>
    <row r="429" spans="1:81"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row>
    <row r="430" spans="1:81"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row>
    <row r="431" spans="1:81"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row>
    <row r="432" spans="1:81"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row>
    <row r="433" spans="1:81"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row>
    <row r="434" spans="1:81"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row>
    <row r="435" spans="1:81"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row>
    <row r="436" spans="1:81"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row>
    <row r="437" spans="1:81"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row>
    <row r="438" spans="1:81"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row>
    <row r="439" spans="1:81"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row>
    <row r="440" spans="1:81"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row>
    <row r="441" spans="1:81"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row>
    <row r="442" spans="1:81"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row>
    <row r="443" spans="1:81"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row>
    <row r="444" spans="1:81"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row>
    <row r="445" spans="1:81"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row>
    <row r="446" spans="1:81"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row>
    <row r="447" spans="1:81"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row>
    <row r="448" spans="1:81"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row>
    <row r="449" spans="1:81"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row>
    <row r="450" spans="1:81"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row>
    <row r="451" spans="1:81"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row>
    <row r="452" spans="1:81"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row>
    <row r="453" spans="1:81"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row>
    <row r="454" spans="1:81"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row>
    <row r="455" spans="1:81"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row>
    <row r="456" spans="1:81"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row>
    <row r="457" spans="1:81"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row>
    <row r="458" spans="1:81"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row>
    <row r="459" spans="1:81"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row>
    <row r="460" spans="1:81"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row>
    <row r="461" spans="1:81"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row>
    <row r="462" spans="1:81"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row>
    <row r="463" spans="1:81"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row>
    <row r="464" spans="1:81"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row>
    <row r="465" spans="1:81"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row>
    <row r="466" spans="1:81"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row>
    <row r="467" spans="1:81"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row>
    <row r="468" spans="1:81"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row>
    <row r="469" spans="1:81"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row>
    <row r="470" spans="1:81"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row>
    <row r="471" spans="1:81"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row>
    <row r="472" spans="1:81"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row>
    <row r="473" spans="1:81"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row>
    <row r="474" spans="1:81"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row>
    <row r="475" spans="1:81"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row>
    <row r="476" spans="1:81"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row>
    <row r="477" spans="1:81"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row>
    <row r="478" spans="1:81"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row>
    <row r="479" spans="1:81"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row>
    <row r="480" spans="1:81"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row>
    <row r="481" spans="1:81"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row>
    <row r="482" spans="1:81"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row>
    <row r="483" spans="1:81"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row>
    <row r="484" spans="1:81"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row>
    <row r="485" spans="1:81"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row>
    <row r="486" spans="1:81"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row>
    <row r="487" spans="1:81"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row>
    <row r="488" spans="1:81"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row>
    <row r="489" spans="1:81"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row>
    <row r="490" spans="1:81"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row>
    <row r="491" spans="1:81"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row>
    <row r="492" spans="1:81"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row>
    <row r="493" spans="1:81"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row>
    <row r="494" spans="1:81"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row>
    <row r="495" spans="1:81"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row>
    <row r="496" spans="1:81"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row>
    <row r="497" spans="1:81"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row>
    <row r="498" spans="1:81"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row>
    <row r="499" spans="1:81"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row>
    <row r="500" spans="1:81"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row>
    <row r="501" spans="1:81"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row>
    <row r="502" spans="1:81"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row>
    <row r="503" spans="1:81"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row>
    <row r="504" spans="1:81"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row>
    <row r="505" spans="1:81"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row>
    <row r="506" spans="1:81"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row>
    <row r="507" spans="1:81"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row>
    <row r="508" spans="1:81"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row>
    <row r="509" spans="1:81"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row>
    <row r="510" spans="1:81"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row>
    <row r="511" spans="1:81"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row>
    <row r="512" spans="1:81"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row>
    <row r="513" spans="1:81"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row>
    <row r="514" spans="1:81"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row>
    <row r="515" spans="1:81"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row>
    <row r="516" spans="1:81"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row>
    <row r="517" spans="1:81"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row>
    <row r="518" spans="1:81"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row>
    <row r="519" spans="1:81"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row>
    <row r="520" spans="1:81"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row>
    <row r="521" spans="1:81"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row>
    <row r="522" spans="1:81"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row>
    <row r="523" spans="1:81"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row>
    <row r="524" spans="1:81"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row>
    <row r="525" spans="1:81"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row>
    <row r="526" spans="1:81"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row>
    <row r="527" spans="1:81"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row>
    <row r="528" spans="1:81"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row>
    <row r="529" spans="1:81"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row>
    <row r="530" spans="1:81"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row>
    <row r="531" spans="1:81"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row>
    <row r="532" spans="1:81"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row>
    <row r="533" spans="1:81"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row>
    <row r="534" spans="1:81"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row>
    <row r="535" spans="1:81"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row>
    <row r="536" spans="1:81"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row>
    <row r="537" spans="1:81"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row>
    <row r="538" spans="1:81"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row>
    <row r="539" spans="1:81"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row>
    <row r="540" spans="1:81"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row>
    <row r="541" spans="1:81"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row>
    <row r="542" spans="1:81"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row>
    <row r="543" spans="1:81"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row>
    <row r="544" spans="1:81"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row>
    <row r="545" spans="1:81"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row>
    <row r="546" spans="1:81"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row>
    <row r="547" spans="1:81"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row>
    <row r="548" spans="1:81"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row>
    <row r="549" spans="1:81"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row>
    <row r="550" spans="1:81"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row>
    <row r="551" spans="1:81"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row>
    <row r="552" spans="1:81"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row>
    <row r="553" spans="1:81"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row>
    <row r="554" spans="1:81"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row>
    <row r="555" spans="1:81"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row>
    <row r="556" spans="1:81"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row>
    <row r="557" spans="1:81"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row>
    <row r="558" spans="1:81"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row>
    <row r="559" spans="1:81"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row>
    <row r="560" spans="1:81"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row>
    <row r="561" spans="1:81"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row>
    <row r="562" spans="1:81"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row>
    <row r="563" spans="1:81"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row>
    <row r="564" spans="1:81"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row>
    <row r="565" spans="1:81"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row>
    <row r="566" spans="1:81"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row>
    <row r="567" spans="1:81"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row>
    <row r="568" spans="1:81"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row>
    <row r="569" spans="1:81"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row>
    <row r="570" spans="1:81"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row>
    <row r="571" spans="1:81"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row>
    <row r="572" spans="1:81"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row>
    <row r="573" spans="1:81"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row>
    <row r="574" spans="1:81"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row>
    <row r="575" spans="1:81"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row>
    <row r="576" spans="1:81"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row>
    <row r="577" spans="1:81"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row>
    <row r="578" spans="1:81"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row>
    <row r="579" spans="1:81"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row>
    <row r="580" spans="1:81"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row>
    <row r="581" spans="1:81"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row>
    <row r="582" spans="1:81"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row>
    <row r="583" spans="1:81"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row>
    <row r="584" spans="1:81"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row>
    <row r="585" spans="1:81"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row>
    <row r="586" spans="1:81"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row>
    <row r="587" spans="1:81"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row>
    <row r="588" spans="1:81"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row>
    <row r="589" spans="1:81"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row>
    <row r="590" spans="1:81"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row>
    <row r="591" spans="1:81"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row>
    <row r="592" spans="1:81"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row>
    <row r="593" spans="1:81"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row>
    <row r="594" spans="1:81"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row>
    <row r="595" spans="1:81"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row>
    <row r="596" spans="1:81"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row>
    <row r="597" spans="1:81"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row>
    <row r="598" spans="1:81"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row>
    <row r="599" spans="1:81"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row>
    <row r="600" spans="1:81"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row>
    <row r="601" spans="1:81"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row>
    <row r="602" spans="1:81"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row>
    <row r="603" spans="1:81"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row>
    <row r="604" spans="1:81"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row>
    <row r="605" spans="1:81"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row>
    <row r="606" spans="1:81"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row>
    <row r="607" spans="1:81"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row>
    <row r="608" spans="1:81"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row>
    <row r="609" spans="1:81"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row>
    <row r="610" spans="1:81"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row>
    <row r="611" spans="1:81"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row>
    <row r="612" spans="1:81"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row>
    <row r="613" spans="1:81"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row>
    <row r="614" spans="1:81"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row>
    <row r="615" spans="1:81"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row>
    <row r="616" spans="1:81"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row>
    <row r="617" spans="1:81"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row>
    <row r="618" spans="1:81"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row>
    <row r="619" spans="1:81"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row>
    <row r="620" spans="1:81"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row>
    <row r="621" spans="1:81"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row>
    <row r="622" spans="1:81"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row>
    <row r="623" spans="1:81"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row>
    <row r="624" spans="1:81"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row>
    <row r="625" spans="1:81"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row>
    <row r="626" spans="1:81"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row>
    <row r="627" spans="1:81"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row>
    <row r="628" spans="1:81"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row>
    <row r="629" spans="1:81"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row>
    <row r="630" spans="1:81"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row>
    <row r="631" spans="1:81"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row>
    <row r="632" spans="1:81"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row>
    <row r="633" spans="1:81"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row>
    <row r="634" spans="1:81"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row>
    <row r="635" spans="1:81"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row>
    <row r="636" spans="1:81"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row>
    <row r="637" spans="1:81"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row>
    <row r="638" spans="1:81"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row>
    <row r="639" spans="1:81"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row>
    <row r="640" spans="1:81"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row>
    <row r="641" spans="1:81"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row>
    <row r="642" spans="1:81"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row>
    <row r="643" spans="1:81"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row>
    <row r="644" spans="1:81"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row>
    <row r="645" spans="1:81"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row>
    <row r="646" spans="1:81"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row>
    <row r="647" spans="1:81"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row>
    <row r="648" spans="1:81"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row>
    <row r="649" spans="1:81"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row>
    <row r="650" spans="1:81"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row>
    <row r="651" spans="1:81"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row>
    <row r="652" spans="1:81"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row>
    <row r="653" spans="1:81"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row>
    <row r="654" spans="1:81"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row>
    <row r="655" spans="1:81"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row>
    <row r="656" spans="1:81"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row>
    <row r="657" spans="1:81"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row>
    <row r="658" spans="1:81"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row>
    <row r="659" spans="1:81"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row>
    <row r="660" spans="1:81"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row>
    <row r="661" spans="1:81"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row>
    <row r="662" spans="1:81"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row>
    <row r="663" spans="1:81"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row>
    <row r="664" spans="1:81"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row>
    <row r="665" spans="1:81"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row>
    <row r="666" spans="1:81"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row>
    <row r="667" spans="1:81"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row>
    <row r="668" spans="1:81"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row>
    <row r="669" spans="1:81"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row>
    <row r="670" spans="1:81"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row>
    <row r="671" spans="1:81"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row>
    <row r="672" spans="1:81"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row>
    <row r="673" spans="1:81"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row>
    <row r="674" spans="1:81"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row>
    <row r="675" spans="1:81"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row>
    <row r="676" spans="1:81"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row>
    <row r="677" spans="1:81"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row>
    <row r="678" spans="1:81"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row>
    <row r="679" spans="1:81"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row>
    <row r="680" spans="1:81"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row>
    <row r="681" spans="1:81"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row>
    <row r="682" spans="1:81"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row>
    <row r="683" spans="1:81"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row>
    <row r="684" spans="1:81"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row>
    <row r="685" spans="1:81"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row>
    <row r="686" spans="1:81"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row>
    <row r="687" spans="1:81"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row>
    <row r="688" spans="1:81"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row>
    <row r="689" spans="1:81"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row>
    <row r="690" spans="1:81"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row>
    <row r="691" spans="1:81"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row>
    <row r="692" spans="1:81"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row>
    <row r="693" spans="1:81"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row>
    <row r="694" spans="1:81"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row>
    <row r="695" spans="1:81"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row>
    <row r="696" spans="1:81"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row>
    <row r="697" spans="1:81"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row>
    <row r="698" spans="1:81"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row>
    <row r="699" spans="1:81"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row>
    <row r="700" spans="1:81"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row>
    <row r="701" spans="1:81"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row>
    <row r="702" spans="1:81"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row>
    <row r="703" spans="1:81"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row>
    <row r="704" spans="1:81"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row>
    <row r="705" spans="1:81"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row>
    <row r="706" spans="1:81"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row>
    <row r="707" spans="1:81"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row>
    <row r="708" spans="1:81"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row>
    <row r="709" spans="1:81"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row>
    <row r="710" spans="1:81"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row>
    <row r="711" spans="1:81"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row>
    <row r="712" spans="1:81"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row>
    <row r="713" spans="1:81"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row>
    <row r="714" spans="1:81"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row>
    <row r="715" spans="1:81"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row>
    <row r="716" spans="1:81"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row>
    <row r="717" spans="1:81"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row>
    <row r="718" spans="1:81"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row>
    <row r="719" spans="1:81"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row>
    <row r="720" spans="1:81"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row>
    <row r="721" spans="1:81"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row>
    <row r="722" spans="1:81"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row>
    <row r="723" spans="1:81"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row>
    <row r="724" spans="1:81"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row>
    <row r="725" spans="1:81"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row>
    <row r="726" spans="1:81"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row>
    <row r="727" spans="1:81"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row>
    <row r="728" spans="1:81"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row>
    <row r="729" spans="1:81"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row>
    <row r="730" spans="1:81"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row>
    <row r="731" spans="1:81"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row>
    <row r="732" spans="1:81"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row>
    <row r="733" spans="1:81"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row>
    <row r="734" spans="1:81"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row>
    <row r="735" spans="1:81"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row>
    <row r="736" spans="1:81"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row>
    <row r="737" spans="1:81"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row>
    <row r="738" spans="1:81"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row>
    <row r="739" spans="1:81"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row>
    <row r="740" spans="1:81"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row>
    <row r="741" spans="1:81"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row>
    <row r="742" spans="1:81"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row>
    <row r="743" spans="1:81"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row>
    <row r="744" spans="1:81"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row>
    <row r="745" spans="1:81"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row>
    <row r="746" spans="1:81"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row>
    <row r="747" spans="1:81"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row>
    <row r="748" spans="1:81"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row>
    <row r="749" spans="1:81"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row>
    <row r="750" spans="1:81"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row>
    <row r="751" spans="1:81"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row>
    <row r="752" spans="1:81"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row>
    <row r="753" spans="1:81"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row>
    <row r="754" spans="1:81"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row>
    <row r="755" spans="1:81"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row>
    <row r="756" spans="1:81"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row>
    <row r="757" spans="1:81"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row>
    <row r="758" spans="1:81"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row>
    <row r="759" spans="1:81"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row>
    <row r="760" spans="1:81"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row>
    <row r="761" spans="1:81"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row>
    <row r="762" spans="1:81"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row>
    <row r="763" spans="1:81"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row>
    <row r="764" spans="1:81"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row>
    <row r="765" spans="1:81"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row>
    <row r="766" spans="1:81"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row>
    <row r="767" spans="1:81"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row>
    <row r="768" spans="1:81"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row>
    <row r="769" spans="1:81"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row>
    <row r="770" spans="1:81"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row>
    <row r="771" spans="1:81"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row>
    <row r="772" spans="1:81"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row>
    <row r="773" spans="1:81"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row>
    <row r="774" spans="1:81"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row>
    <row r="775" spans="1:81"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row>
    <row r="776" spans="1:81"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row>
    <row r="777" spans="1:81"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row>
    <row r="778" spans="1:81"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row>
    <row r="779" spans="1:81"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row>
    <row r="780" spans="1:81"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row>
    <row r="781" spans="1:81"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row>
    <row r="782" spans="1:81"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row>
    <row r="783" spans="1:81"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row>
    <row r="784" spans="1:81"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row>
    <row r="785" spans="1:81"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row>
    <row r="786" spans="1:81"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row>
    <row r="787" spans="1:81"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row>
    <row r="788" spans="1:81"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row>
    <row r="789" spans="1:81"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row>
    <row r="790" spans="1:81"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row>
    <row r="791" spans="1:81"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row>
    <row r="792" spans="1:81"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row>
    <row r="793" spans="1:81"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row>
    <row r="794" spans="1:81"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row>
    <row r="795" spans="1:81"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row>
    <row r="796" spans="1:81"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row>
    <row r="797" spans="1:81"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row>
    <row r="798" spans="1:81"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row>
    <row r="799" spans="1:81"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row>
    <row r="800" spans="1:81"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row>
    <row r="801" spans="1:81"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row>
    <row r="802" spans="1:81"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row>
    <row r="803" spans="1:81"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row>
    <row r="804" spans="1:81"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row>
    <row r="805" spans="1:81"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row>
    <row r="806" spans="1:81"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row>
    <row r="807" spans="1:81"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row>
    <row r="808" spans="1:81"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row>
    <row r="809" spans="1:81"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row>
    <row r="810" spans="1:81"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row>
    <row r="811" spans="1:81"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row>
    <row r="812" spans="1:81"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row>
    <row r="813" spans="1:81"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row>
    <row r="814" spans="1:81"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row>
    <row r="815" spans="1:81"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row>
    <row r="816" spans="1:81"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row>
    <row r="817" spans="1:81"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row>
    <row r="818" spans="1:81"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row>
    <row r="819" spans="1:81"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row>
    <row r="820" spans="1:81"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row>
    <row r="821" spans="1:81"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row>
    <row r="822" spans="1:81"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row>
    <row r="823" spans="1:81"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row>
    <row r="824" spans="1:81"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row>
    <row r="825" spans="1:81"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row>
    <row r="826" spans="1:81"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row>
    <row r="827" spans="1:81"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row>
    <row r="828" spans="1:81"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row>
    <row r="829" spans="1:81"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row>
    <row r="830" spans="1:81"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row>
    <row r="831" spans="1:81"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row>
    <row r="832" spans="1:81"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row>
    <row r="833" spans="1:81"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row>
    <row r="834" spans="1:81"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row>
    <row r="835" spans="1:81"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row>
    <row r="836" spans="1:81"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row>
    <row r="837" spans="1:81"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row>
    <row r="838" spans="1:81"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row>
    <row r="839" spans="1:81"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row>
    <row r="840" spans="1:81"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row>
    <row r="841" spans="1:81"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row>
    <row r="842" spans="1:81"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row>
    <row r="843" spans="1:81"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row>
    <row r="844" spans="1:81"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row>
    <row r="845" spans="1:81"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row>
    <row r="846" spans="1:81"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row>
    <row r="847" spans="1:81"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row>
    <row r="848" spans="1:81"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row>
    <row r="849" spans="1:81"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row>
    <row r="850" spans="1:81"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row>
    <row r="851" spans="1:81"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row>
    <row r="852" spans="1:81"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row>
    <row r="853" spans="1:81"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row>
    <row r="854" spans="1:81"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row>
    <row r="855" spans="1:81"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row>
    <row r="856" spans="1:81"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row>
    <row r="857" spans="1:81"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row>
    <row r="858" spans="1:81"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row>
    <row r="859" spans="1:81"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row>
    <row r="860" spans="1:81"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row>
    <row r="861" spans="1:81"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row>
    <row r="862" spans="1:81"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row>
    <row r="863" spans="1:81"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row>
    <row r="864" spans="1:81"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row>
    <row r="865" spans="1:81"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row>
    <row r="866" spans="1:81"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row>
    <row r="867" spans="1:81"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row>
    <row r="868" spans="1:81"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row>
    <row r="869" spans="1:81"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row>
    <row r="870" spans="1:81"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row>
    <row r="871" spans="1:81"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row>
    <row r="872" spans="1:81"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row>
    <row r="873" spans="1:81"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row>
    <row r="874" spans="1:81"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row>
    <row r="875" spans="1:81"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row>
    <row r="876" spans="1:81"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row>
    <row r="877" spans="1:81"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row>
    <row r="878" spans="1:81"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row>
    <row r="879" spans="1:81"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row>
    <row r="880" spans="1:81"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row>
    <row r="881" spans="1:81"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row>
    <row r="882" spans="1:81"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row>
    <row r="883" spans="1:81"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row>
    <row r="884" spans="1:81"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row>
    <row r="885" spans="1:81"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row>
    <row r="886" spans="1:81"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row>
    <row r="887" spans="1:81"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row>
    <row r="888" spans="1:81"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row>
    <row r="889" spans="1:81"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row>
    <row r="890" spans="1:81"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row>
    <row r="891" spans="1:81"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row>
    <row r="892" spans="1:81"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row>
    <row r="893" spans="1:81"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row>
    <row r="894" spans="1:81"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row>
    <row r="895" spans="1:81"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row>
    <row r="896" spans="1:81"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row>
    <row r="897" spans="1:81"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row>
    <row r="898" spans="1:81"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row>
    <row r="899" spans="1:81"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row>
    <row r="900" spans="1:81"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row>
    <row r="901" spans="1:81"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row>
    <row r="902" spans="1:81"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row>
    <row r="903" spans="1:81"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row>
    <row r="904" spans="1:81"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row>
    <row r="905" spans="1:81"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row>
    <row r="906" spans="1:81"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row>
    <row r="907" spans="1:81"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row>
    <row r="908" spans="1:81"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row>
    <row r="909" spans="1:81"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row>
    <row r="910" spans="1:81"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row>
    <row r="911" spans="1:81"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row>
    <row r="912" spans="1:81"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row>
    <row r="913" spans="1:81"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row>
    <row r="914" spans="1:81"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row>
    <row r="915" spans="1:81"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row>
    <row r="916" spans="1:81"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row>
    <row r="917" spans="1:81"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row>
    <row r="918" spans="1:81"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row>
    <row r="919" spans="1:81"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row>
    <row r="920" spans="1:81"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row>
    <row r="921" spans="1:81"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row>
    <row r="922" spans="1:81"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row>
    <row r="923" spans="1:81"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row>
    <row r="924" spans="1:81"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row>
    <row r="925" spans="1:81"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row>
    <row r="926" spans="1:81"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row>
    <row r="927" spans="1:81"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row>
    <row r="928" spans="1:81"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row>
    <row r="929" spans="1:81"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row>
    <row r="930" spans="1:81"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row>
    <row r="931" spans="1:81"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row>
    <row r="932" spans="1:81"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row>
    <row r="933" spans="1:81"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row>
    <row r="934" spans="1:81"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row>
    <row r="935" spans="1:81"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row>
    <row r="936" spans="1:81"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row>
    <row r="937" spans="1:81"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row>
    <row r="938" spans="1:81"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row>
    <row r="939" spans="1:81"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row>
    <row r="940" spans="1:81"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row>
    <row r="941" spans="1:81"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row>
    <row r="942" spans="1:81"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row>
    <row r="943" spans="1:81"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row>
    <row r="944" spans="1:81"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row>
    <row r="945" spans="1:81"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row>
    <row r="946" spans="1:81"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row>
    <row r="947" spans="1:81"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row>
    <row r="948" spans="1:81"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row>
    <row r="949" spans="1:81"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row>
    <row r="950" spans="1:81"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row>
    <row r="951" spans="1:81"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row>
    <row r="952" spans="1:81"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row>
    <row r="953" spans="1:81"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row>
    <row r="954" spans="1:81"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row>
    <row r="955" spans="1:81"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row>
    <row r="956" spans="1:81"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row>
    <row r="957" spans="1:81"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row>
    <row r="958" spans="1:81"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row>
    <row r="959" spans="1:81"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row>
    <row r="960" spans="1:81"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row>
    <row r="961" spans="1:81"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row>
    <row r="962" spans="1:81"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row>
    <row r="963" spans="1:81"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row>
    <row r="964" spans="1:81"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row>
    <row r="965" spans="1:81"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row>
    <row r="966" spans="1:81"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row>
    <row r="967" spans="1:81"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row>
    <row r="968" spans="1:81"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row>
    <row r="969" spans="1:81"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row>
    <row r="970" spans="1:81"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row>
    <row r="971" spans="1:81"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row>
    <row r="972" spans="1:81"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row>
    <row r="973" spans="1:81"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row>
    <row r="974" spans="1:81"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row>
    <row r="975" spans="1:81"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row>
    <row r="976" spans="1:81"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row>
    <row r="977" spans="1:81"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row>
    <row r="978" spans="1:81"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row>
    <row r="979" spans="1:81"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row>
    <row r="980" spans="1:81"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row>
    <row r="981" spans="1:81"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row>
    <row r="982" spans="1:81"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row>
    <row r="983" spans="1:81"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row>
    <row r="984" spans="1:81"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row>
    <row r="985" spans="1:81"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row>
    <row r="986" spans="1:81"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row>
    <row r="987" spans="1:81"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row>
    <row r="988" spans="1:81"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row>
    <row r="989" spans="1:81"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row>
    <row r="990" spans="1:81"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row>
    <row r="991" spans="1:81"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row>
    <row r="992" spans="1:81"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row>
    <row r="993" spans="1:81"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row>
    <row r="994" spans="1:81"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row>
    <row r="995" spans="1:81"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row>
    <row r="996" spans="1:81"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row>
    <row r="997" spans="1:81"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row>
    <row r="998" spans="1:81"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row>
    <row r="999" spans="1:81"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row>
    <row r="1000" spans="1:81"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row>
  </sheetData>
  <sheetProtection algorithmName="SHA-512" hashValue="OrYnOn+fvJNrqmO/PevhIpiAlhcCLkKAZNzB3wdJ4R+jHhzOiOEOfWKz5yxh/MBDz6tgOXYGy+50e96v2wNF2Q==" saltValue="lTbHZUnKckvL8+9WBjQvPg==" spinCount="100000" sheet="1" objects="1" scenarios="1"/>
  <mergeCells count="15">
    <mergeCell ref="AU155:AV155"/>
    <mergeCell ref="AX155:AY155"/>
    <mergeCell ref="BA155:BF155"/>
    <mergeCell ref="BH155:BL155"/>
    <mergeCell ref="AF4:AG4"/>
    <mergeCell ref="C189:E189"/>
    <mergeCell ref="C192:E192"/>
    <mergeCell ref="B2:S2"/>
    <mergeCell ref="AH155:AN155"/>
    <mergeCell ref="AP155:AS155"/>
    <mergeCell ref="BN155:BO155"/>
    <mergeCell ref="BQ155:BS155"/>
    <mergeCell ref="BU155:BW155"/>
    <mergeCell ref="BY155:BZ155"/>
    <mergeCell ref="CB155:CC155"/>
  </mergeCells>
  <pageMargins left="0.7" right="0.7" top="0.75" bottom="0.75" header="0" footer="0"/>
  <pageSetup orientation="landscape"/>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defaultColWidth="16.83203125" defaultRowHeight="15" customHeight="1" x14ac:dyDescent="0.2"/>
  <cols>
    <col min="1" max="2" width="3.83203125" customWidth="1"/>
    <col min="3" max="3" width="49.5" customWidth="1"/>
    <col min="4" max="13" width="10.1640625" customWidth="1"/>
    <col min="14" max="14" width="11.5" customWidth="1"/>
    <col min="15" max="16" width="10.1640625" customWidth="1"/>
    <col min="17" max="19" width="10.33203125" customWidth="1"/>
    <col min="20" max="20" width="11.33203125" customWidth="1"/>
    <col min="21" max="21" width="10.1640625" customWidth="1"/>
    <col min="22" max="22" width="11.5" customWidth="1"/>
    <col min="23" max="23" width="11.83203125" customWidth="1"/>
    <col min="24" max="24" width="10.5" customWidth="1"/>
    <col min="25" max="25" width="16.5" customWidth="1"/>
    <col min="26" max="26" width="11.33203125" customWidth="1"/>
  </cols>
  <sheetData>
    <row r="1" spans="1:26" x14ac:dyDescent="0.25">
      <c r="A1" s="1902" t="s">
        <v>1690</v>
      </c>
      <c r="B1" s="4"/>
      <c r="C1" s="4"/>
      <c r="D1" s="4"/>
      <c r="E1" s="4"/>
      <c r="F1" s="4"/>
      <c r="G1" s="4"/>
      <c r="H1" s="4"/>
      <c r="I1" s="4"/>
      <c r="J1" s="4"/>
      <c r="K1" s="3" t="s">
        <v>268</v>
      </c>
      <c r="L1" s="4"/>
      <c r="M1" s="4"/>
      <c r="N1" s="4"/>
      <c r="O1" s="4"/>
      <c r="P1" s="4"/>
      <c r="Q1" s="4"/>
      <c r="R1" s="4"/>
      <c r="S1" s="4"/>
      <c r="T1" s="4"/>
      <c r="U1" s="4"/>
      <c r="V1" s="4"/>
      <c r="W1" s="4"/>
      <c r="X1" s="4"/>
      <c r="Y1" s="4"/>
      <c r="Z1" s="4"/>
    </row>
    <row r="2" spans="1:26" ht="263.25" customHeight="1" x14ac:dyDescent="0.25">
      <c r="A2" s="4"/>
      <c r="B2" s="4"/>
      <c r="C2" s="4"/>
      <c r="D2" s="4"/>
      <c r="E2" s="4"/>
      <c r="F2" s="4"/>
      <c r="G2" s="4"/>
      <c r="H2" s="4"/>
      <c r="I2" s="4"/>
      <c r="J2" s="4"/>
      <c r="K2" s="4"/>
      <c r="L2" s="4"/>
      <c r="M2" s="4"/>
      <c r="N2" s="4"/>
      <c r="O2" s="4"/>
      <c r="P2" s="4"/>
      <c r="Q2" s="4"/>
      <c r="R2" s="4"/>
      <c r="S2" s="4"/>
      <c r="T2" s="4"/>
      <c r="U2" s="4"/>
      <c r="V2" s="4"/>
      <c r="W2" s="4"/>
      <c r="X2" s="4"/>
      <c r="Y2" s="4"/>
      <c r="Z2" s="4"/>
    </row>
    <row r="3" spans="1:26" ht="16.5" customHeight="1" x14ac:dyDescent="0.25">
      <c r="A3" s="4"/>
      <c r="B3" s="4"/>
      <c r="C3" s="1903" t="s">
        <v>1691</v>
      </c>
      <c r="D3" s="1904"/>
      <c r="E3" s="1904"/>
      <c r="F3" s="1904"/>
      <c r="G3" s="1904"/>
      <c r="H3" s="1904"/>
      <c r="I3" s="1904"/>
      <c r="J3" s="1904"/>
      <c r="K3" s="1904"/>
      <c r="L3" s="1904"/>
      <c r="M3" s="1904"/>
      <c r="N3" s="1904"/>
      <c r="O3" s="1904"/>
      <c r="P3" s="1904"/>
      <c r="Q3" s="1904"/>
      <c r="R3" s="1904"/>
      <c r="S3" s="1904"/>
      <c r="T3" s="1904"/>
      <c r="U3" s="1904"/>
      <c r="V3" s="908"/>
      <c r="W3" s="908"/>
      <c r="X3" s="908"/>
      <c r="Y3" s="909"/>
      <c r="Z3" s="4"/>
    </row>
    <row r="4" spans="1:26" ht="15.75" customHeight="1" x14ac:dyDescent="0.25">
      <c r="A4" s="4"/>
      <c r="B4" s="4"/>
      <c r="C4" s="1905"/>
      <c r="D4" s="1588">
        <v>1990</v>
      </c>
      <c r="E4" s="1906">
        <v>1991</v>
      </c>
      <c r="F4" s="1906">
        <v>1992</v>
      </c>
      <c r="G4" s="1588">
        <v>1993</v>
      </c>
      <c r="H4" s="1588">
        <v>1994</v>
      </c>
      <c r="I4" s="1588">
        <v>1995</v>
      </c>
      <c r="J4" s="1588">
        <v>1996</v>
      </c>
      <c r="K4" s="1588">
        <v>1997</v>
      </c>
      <c r="L4" s="1588">
        <v>1998</v>
      </c>
      <c r="M4" s="1588">
        <v>1999</v>
      </c>
      <c r="N4" s="1588">
        <v>2000</v>
      </c>
      <c r="O4" s="1588">
        <v>2001</v>
      </c>
      <c r="P4" s="1588">
        <v>2002</v>
      </c>
      <c r="Q4" s="1588">
        <v>2003</v>
      </c>
      <c r="R4" s="1588">
        <v>2004</v>
      </c>
      <c r="S4" s="1588">
        <v>2005</v>
      </c>
      <c r="T4" s="1588">
        <v>2006</v>
      </c>
      <c r="U4" s="1588">
        <v>2007</v>
      </c>
      <c r="V4" s="1488">
        <v>2008</v>
      </c>
      <c r="W4" s="1488">
        <v>2009</v>
      </c>
      <c r="X4" s="1488">
        <v>2010</v>
      </c>
      <c r="Y4" s="1907">
        <v>2011</v>
      </c>
      <c r="Z4" s="4"/>
    </row>
    <row r="5" spans="1:26" x14ac:dyDescent="0.25">
      <c r="A5" s="4"/>
      <c r="B5" s="4"/>
      <c r="C5" s="1908" t="s">
        <v>1692</v>
      </c>
      <c r="D5" s="1909">
        <v>-1.3786016094899192</v>
      </c>
      <c r="E5" s="1909">
        <v>-1.3786016094898481</v>
      </c>
      <c r="F5" s="1909">
        <v>-1.378601609489861</v>
      </c>
      <c r="G5" s="1909">
        <v>-1.4529442632555916</v>
      </c>
      <c r="H5" s="1909">
        <v>-1.452944263255572</v>
      </c>
      <c r="I5" s="1909">
        <v>-1.4529442632555851</v>
      </c>
      <c r="J5" s="1909">
        <v>-1.4529442632555787</v>
      </c>
      <c r="K5" s="1909">
        <v>-1.4529442632555851</v>
      </c>
      <c r="L5" s="1909">
        <v>-1.4529442632555851</v>
      </c>
      <c r="M5" s="1909">
        <v>-4.8763551966630923</v>
      </c>
      <c r="N5" s="1909">
        <v>-10.497998270281999</v>
      </c>
      <c r="O5" s="1909">
        <v>-10.497998270282093</v>
      </c>
      <c r="P5" s="1909">
        <v>-10.497998270282045</v>
      </c>
      <c r="Q5" s="1909">
        <v>-10.497998270282059</v>
      </c>
      <c r="R5" s="1909">
        <v>-10.497998270282098</v>
      </c>
      <c r="S5" s="1909">
        <v>-10.497998270282032</v>
      </c>
      <c r="T5" s="1909">
        <v>-10.497998270282098</v>
      </c>
      <c r="U5" s="1909">
        <v>-10.497998270282098</v>
      </c>
      <c r="V5" s="1909">
        <v>-10.497998270282098</v>
      </c>
      <c r="W5" s="1909">
        <v>-10.497998270282098</v>
      </c>
      <c r="X5" s="1909">
        <v>-10.497998270282098</v>
      </c>
      <c r="Y5" s="1910">
        <v>-10.497998270282098</v>
      </c>
      <c r="Z5" s="4"/>
    </row>
    <row r="6" spans="1:26" x14ac:dyDescent="0.25">
      <c r="A6" s="4"/>
      <c r="B6" s="4"/>
      <c r="C6" s="1911" t="s">
        <v>1693</v>
      </c>
      <c r="D6" s="65">
        <v>-1.1893409441380904</v>
      </c>
      <c r="E6" s="65">
        <v>-1.1893409441380385</v>
      </c>
      <c r="F6" s="65">
        <v>-1.1893409441380385</v>
      </c>
      <c r="G6" s="65">
        <v>-1.1893409441380385</v>
      </c>
      <c r="H6" s="65">
        <v>-1.1893409441380904</v>
      </c>
      <c r="I6" s="65">
        <v>-1.1893409441380385</v>
      </c>
      <c r="J6" s="65">
        <v>-1.1893409441380385</v>
      </c>
      <c r="K6" s="65">
        <v>-1.1893409441380385</v>
      </c>
      <c r="L6" s="65">
        <v>-1.1893409441380385</v>
      </c>
      <c r="M6" s="65">
        <v>-3.5713489374136125</v>
      </c>
      <c r="N6" s="65">
        <v>-7.4828859971418584</v>
      </c>
      <c r="O6" s="65">
        <v>-7.4828859971419632</v>
      </c>
      <c r="P6" s="65">
        <v>-7.4828859971419108</v>
      </c>
      <c r="Q6" s="65">
        <v>-7.4828859971419108</v>
      </c>
      <c r="R6" s="65">
        <v>-7.4828859971419632</v>
      </c>
      <c r="S6" s="65">
        <v>-7.4828859971419108</v>
      </c>
      <c r="T6" s="65">
        <v>-7.4828859971419632</v>
      </c>
      <c r="U6" s="65">
        <v>-7.4828859971419632</v>
      </c>
      <c r="V6" s="65">
        <v>-7.4828859971419632</v>
      </c>
      <c r="W6" s="65">
        <v>-7.4828859971419632</v>
      </c>
      <c r="X6" s="65">
        <v>-7.4828859971419632</v>
      </c>
      <c r="Y6" s="1912">
        <v>-7.4828859971419632</v>
      </c>
      <c r="Z6" s="4"/>
    </row>
    <row r="7" spans="1:26" x14ac:dyDescent="0.25">
      <c r="A7" s="4"/>
      <c r="B7" s="4"/>
      <c r="C7" s="1911" t="s">
        <v>1694</v>
      </c>
      <c r="D7" s="65">
        <v>-0.22520706970959853</v>
      </c>
      <c r="E7" s="65">
        <v>-0.22520706970959203</v>
      </c>
      <c r="F7" s="65">
        <v>-0.22520706970959203</v>
      </c>
      <c r="G7" s="65">
        <v>-0.22520706970959853</v>
      </c>
      <c r="H7" s="65">
        <v>-0.22520706970959203</v>
      </c>
      <c r="I7" s="65">
        <v>-0.22520706970959203</v>
      </c>
      <c r="J7" s="65">
        <v>-0.22520706970959203</v>
      </c>
      <c r="K7" s="65">
        <v>-0.22520706970959853</v>
      </c>
      <c r="L7" s="65">
        <v>-0.22520706970959203</v>
      </c>
      <c r="M7" s="65">
        <v>-0.67819876681679081</v>
      </c>
      <c r="N7" s="65">
        <v>-1.4220643692774915</v>
      </c>
      <c r="O7" s="65">
        <v>-1.4220643692774655</v>
      </c>
      <c r="P7" s="65">
        <v>-1.4220643692774786</v>
      </c>
      <c r="Q7" s="65">
        <v>-1.4220643692774915</v>
      </c>
      <c r="R7" s="65">
        <v>-1.4220643692774786</v>
      </c>
      <c r="S7" s="65">
        <v>-1.4220643692774655</v>
      </c>
      <c r="T7" s="65">
        <v>-1.4220643692774786</v>
      </c>
      <c r="U7" s="65">
        <v>-1.4220643692774786</v>
      </c>
      <c r="V7" s="65">
        <v>-1.4220643692774786</v>
      </c>
      <c r="W7" s="65">
        <v>-1.4220643692774786</v>
      </c>
      <c r="X7" s="65">
        <v>-1.4220643692774786</v>
      </c>
      <c r="Y7" s="1912">
        <v>-1.4220643692774786</v>
      </c>
      <c r="Z7" s="4"/>
    </row>
    <row r="8" spans="1:26" x14ac:dyDescent="0.25">
      <c r="A8" s="4"/>
      <c r="B8" s="4"/>
      <c r="C8" s="1911" t="s">
        <v>1695</v>
      </c>
      <c r="D8" s="65">
        <v>-9.9749329396212019E-2</v>
      </c>
      <c r="E8" s="65">
        <v>-9.9749329396198988E-2</v>
      </c>
      <c r="F8" s="65">
        <v>-9.9749329396212019E-2</v>
      </c>
      <c r="G8" s="65">
        <v>-9.9749329396212019E-2</v>
      </c>
      <c r="H8" s="65">
        <v>-9.9749329396198988E-2</v>
      </c>
      <c r="I8" s="65">
        <v>-9.9749329396212019E-2</v>
      </c>
      <c r="J8" s="65">
        <v>-9.9749329396205511E-2</v>
      </c>
      <c r="K8" s="65">
        <v>-9.9749329396205511E-2</v>
      </c>
      <c r="L8" s="65">
        <v>-9.9749329396212019E-2</v>
      </c>
      <c r="M8" s="65">
        <v>-0.28332848191679949</v>
      </c>
      <c r="N8" s="65">
        <v>-0.58478702466936561</v>
      </c>
      <c r="O8" s="65">
        <v>-0.58478702466937205</v>
      </c>
      <c r="P8" s="65">
        <v>-0.58478702466937205</v>
      </c>
      <c r="Q8" s="65">
        <v>-0.58478702466937205</v>
      </c>
      <c r="R8" s="65">
        <v>-0.58478702466937205</v>
      </c>
      <c r="S8" s="65">
        <v>-0.58478702466937205</v>
      </c>
      <c r="T8" s="65">
        <v>-0.58478702466937205</v>
      </c>
      <c r="U8" s="65">
        <v>-0.58478702466937205</v>
      </c>
      <c r="V8" s="65">
        <v>-0.58478702466937205</v>
      </c>
      <c r="W8" s="65">
        <v>-0.58478702466937205</v>
      </c>
      <c r="X8" s="65">
        <v>-0.58478702466937205</v>
      </c>
      <c r="Y8" s="1912">
        <v>-0.58478702466937205</v>
      </c>
      <c r="Z8" s="4"/>
    </row>
    <row r="9" spans="1:26" x14ac:dyDescent="0.25">
      <c r="A9" s="4"/>
      <c r="B9" s="4"/>
      <c r="C9" s="1911" t="s">
        <v>1614</v>
      </c>
      <c r="D9" s="65">
        <v>0.18749263985187525</v>
      </c>
      <c r="E9" s="65">
        <v>0.18749263985187525</v>
      </c>
      <c r="F9" s="65">
        <v>0.18749263985187525</v>
      </c>
      <c r="G9" s="65">
        <v>0.18749263985187525</v>
      </c>
      <c r="H9" s="65">
        <v>0.18749263985187525</v>
      </c>
      <c r="I9" s="65">
        <v>0.18749263985187525</v>
      </c>
      <c r="J9" s="65">
        <v>0.18749263985187525</v>
      </c>
      <c r="K9" s="65">
        <v>0.18749263985187525</v>
      </c>
      <c r="L9" s="65">
        <v>0.18749263985187525</v>
      </c>
      <c r="M9" s="65">
        <v>2.8708282540942893E-2</v>
      </c>
      <c r="N9" s="65">
        <v>-0.23203429258065059</v>
      </c>
      <c r="O9" s="65">
        <v>-0.23203429258065711</v>
      </c>
      <c r="P9" s="65">
        <v>-0.23203429258065059</v>
      </c>
      <c r="Q9" s="65">
        <v>-0.23203429258065059</v>
      </c>
      <c r="R9" s="65">
        <v>-0.23203429258065059</v>
      </c>
      <c r="S9" s="65">
        <v>-0.23203429258065059</v>
      </c>
      <c r="T9" s="65">
        <v>-0.23203429258065059</v>
      </c>
      <c r="U9" s="65">
        <v>-0.23203429258065059</v>
      </c>
      <c r="V9" s="65">
        <v>-0.23203429258065059</v>
      </c>
      <c r="W9" s="65">
        <v>-0.23203429258065059</v>
      </c>
      <c r="X9" s="65">
        <v>-0.23203429258065059</v>
      </c>
      <c r="Y9" s="1912">
        <v>-0.23203429258065059</v>
      </c>
      <c r="Z9" s="4"/>
    </row>
    <row r="10" spans="1:26" x14ac:dyDescent="0.25">
      <c r="A10" s="4"/>
      <c r="B10" s="4"/>
      <c r="C10" s="1913" t="s">
        <v>1696</v>
      </c>
      <c r="D10" s="1914">
        <v>0.59866658180080867</v>
      </c>
      <c r="E10" s="1914">
        <v>0.59866658180080867</v>
      </c>
      <c r="F10" s="1914">
        <v>0.59866658180080867</v>
      </c>
      <c r="G10" s="1914">
        <v>0.59866658180080867</v>
      </c>
      <c r="H10" s="1914">
        <v>0.59866658180086074</v>
      </c>
      <c r="I10" s="1914">
        <v>0.59866658180080867</v>
      </c>
      <c r="J10" s="1914">
        <v>0.59866658180080867</v>
      </c>
      <c r="K10" s="1914">
        <v>0.59866658180080867</v>
      </c>
      <c r="L10" s="1914">
        <v>0.59866658180080867</v>
      </c>
      <c r="M10" s="1914">
        <v>0.35261884860759568</v>
      </c>
      <c r="N10" s="1914">
        <v>-5.1420444948206523E-2</v>
      </c>
      <c r="O10" s="1914">
        <v>-5.1420444948206523E-2</v>
      </c>
      <c r="P10" s="1914">
        <v>-5.1420444948206523E-2</v>
      </c>
      <c r="Q10" s="1914">
        <v>-5.1420444948206523E-2</v>
      </c>
      <c r="R10" s="1914">
        <v>-5.1420444948206523E-2</v>
      </c>
      <c r="S10" s="1914">
        <v>-5.1420444948206523E-2</v>
      </c>
      <c r="T10" s="1914">
        <v>-5.1420444948206523E-2</v>
      </c>
      <c r="U10" s="1914">
        <v>-5.1420444948206523E-2</v>
      </c>
      <c r="V10" s="1914">
        <v>-5.1420444948206523E-2</v>
      </c>
      <c r="W10" s="1914">
        <v>-5.1420444948206523E-2</v>
      </c>
      <c r="X10" s="1914">
        <v>-5.1420444948206523E-2</v>
      </c>
      <c r="Y10" s="1915">
        <v>-5.1420444948206523E-2</v>
      </c>
      <c r="Z10" s="1916"/>
    </row>
    <row r="11" spans="1:26" x14ac:dyDescent="0.25">
      <c r="A11" s="4"/>
      <c r="B11" s="4"/>
      <c r="C11" s="1917" t="s">
        <v>1697</v>
      </c>
      <c r="D11" s="65">
        <v>-0.65046348789870234</v>
      </c>
      <c r="E11" s="65">
        <v>-0.65046348789870234</v>
      </c>
      <c r="F11" s="65">
        <v>-0.65046348789870234</v>
      </c>
      <c r="G11" s="65">
        <v>-0.72480614166442658</v>
      </c>
      <c r="H11" s="65">
        <v>-0.72480614166442658</v>
      </c>
      <c r="I11" s="65">
        <v>-0.72480614166442658</v>
      </c>
      <c r="J11" s="65">
        <v>-0.72480614166442658</v>
      </c>
      <c r="K11" s="65">
        <v>-0.72480614166442658</v>
      </c>
      <c r="L11" s="65">
        <v>-0.72480614166442658</v>
      </c>
      <c r="M11" s="65">
        <v>-0.72480614166442658</v>
      </c>
      <c r="N11" s="65">
        <v>-0.72480614166442658</v>
      </c>
      <c r="O11" s="65">
        <v>-0.72480614166442658</v>
      </c>
      <c r="P11" s="65">
        <v>-0.72480614166442658</v>
      </c>
      <c r="Q11" s="65">
        <v>-0.72480614166442658</v>
      </c>
      <c r="R11" s="65">
        <v>-0.72480614166442658</v>
      </c>
      <c r="S11" s="65">
        <v>-0.72480614166442658</v>
      </c>
      <c r="T11" s="65">
        <v>-0.72480614166442658</v>
      </c>
      <c r="U11" s="65">
        <v>-0.72480614166442658</v>
      </c>
      <c r="V11" s="65">
        <v>-0.72480614166442658</v>
      </c>
      <c r="W11" s="65">
        <v>-0.72480614166442658</v>
      </c>
      <c r="X11" s="65">
        <v>-0.72480614166442658</v>
      </c>
      <c r="Y11" s="1912">
        <v>-0.72480614166442658</v>
      </c>
      <c r="Z11" s="4"/>
    </row>
    <row r="12" spans="1:26" x14ac:dyDescent="0.25">
      <c r="A12" s="4"/>
      <c r="B12" s="4"/>
      <c r="C12" s="1918" t="s">
        <v>1698</v>
      </c>
      <c r="D12" s="1919">
        <v>0</v>
      </c>
      <c r="E12" s="1919">
        <v>0</v>
      </c>
      <c r="F12" s="1919">
        <v>0</v>
      </c>
      <c r="G12" s="1919">
        <v>0</v>
      </c>
      <c r="H12" s="1919">
        <v>0</v>
      </c>
      <c r="I12" s="1919">
        <v>0</v>
      </c>
      <c r="J12" s="1919">
        <v>0</v>
      </c>
      <c r="K12" s="1919">
        <v>0</v>
      </c>
      <c r="L12" s="1919">
        <v>0</v>
      </c>
      <c r="M12" s="1919">
        <v>0</v>
      </c>
      <c r="N12" s="1919">
        <v>0</v>
      </c>
      <c r="O12" s="1919">
        <v>0</v>
      </c>
      <c r="P12" s="1919">
        <v>0</v>
      </c>
      <c r="Q12" s="1919">
        <v>0</v>
      </c>
      <c r="R12" s="1919">
        <v>0</v>
      </c>
      <c r="S12" s="1919">
        <v>0</v>
      </c>
      <c r="T12" s="1919">
        <v>0</v>
      </c>
      <c r="U12" s="1919">
        <v>0</v>
      </c>
      <c r="V12" s="1919">
        <v>0</v>
      </c>
      <c r="W12" s="1919">
        <v>0</v>
      </c>
      <c r="X12" s="1919">
        <v>0</v>
      </c>
      <c r="Y12" s="1920">
        <v>3.0113599999999994E-2</v>
      </c>
      <c r="Z12" s="4"/>
    </row>
    <row r="13" spans="1:26" x14ac:dyDescent="0.25">
      <c r="A13" s="4"/>
      <c r="B13" s="4"/>
      <c r="C13" s="1921" t="s">
        <v>961</v>
      </c>
      <c r="D13" s="65">
        <v>0</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0</v>
      </c>
      <c r="V13" s="65">
        <v>0</v>
      </c>
      <c r="W13" s="65">
        <v>0</v>
      </c>
      <c r="X13" s="65">
        <v>0</v>
      </c>
      <c r="Y13" s="1922">
        <v>3.0113599999999994E-2</v>
      </c>
      <c r="Z13" s="4"/>
    </row>
    <row r="14" spans="1:26" x14ac:dyDescent="0.25">
      <c r="A14" s="4"/>
      <c r="B14" s="4"/>
      <c r="C14" s="1921" t="s">
        <v>962</v>
      </c>
      <c r="D14" s="65">
        <v>0</v>
      </c>
      <c r="E14" s="65">
        <v>0</v>
      </c>
      <c r="F14" s="65">
        <v>0</v>
      </c>
      <c r="G14" s="65">
        <v>0</v>
      </c>
      <c r="H14" s="65">
        <v>0</v>
      </c>
      <c r="I14" s="65">
        <v>0</v>
      </c>
      <c r="J14" s="65">
        <v>0</v>
      </c>
      <c r="K14" s="65">
        <v>0</v>
      </c>
      <c r="L14" s="65">
        <v>0</v>
      </c>
      <c r="M14" s="65">
        <v>0</v>
      </c>
      <c r="N14" s="65">
        <v>0</v>
      </c>
      <c r="O14" s="65">
        <v>0</v>
      </c>
      <c r="P14" s="65">
        <v>0</v>
      </c>
      <c r="Q14" s="65">
        <v>0</v>
      </c>
      <c r="R14" s="65">
        <v>0</v>
      </c>
      <c r="S14" s="65">
        <v>0</v>
      </c>
      <c r="T14" s="65">
        <v>0</v>
      </c>
      <c r="U14" s="65">
        <v>0</v>
      </c>
      <c r="V14" s="65">
        <v>0</v>
      </c>
      <c r="W14" s="65">
        <v>0</v>
      </c>
      <c r="X14" s="65">
        <v>0</v>
      </c>
      <c r="Y14" s="1923">
        <v>0</v>
      </c>
      <c r="Z14" s="4"/>
    </row>
    <row r="15" spans="1:26" x14ac:dyDescent="0.25">
      <c r="A15" s="4"/>
      <c r="B15" s="4"/>
      <c r="C15" s="1924" t="s">
        <v>1699</v>
      </c>
      <c r="D15" s="1925">
        <v>4.5533313979860286E-3</v>
      </c>
      <c r="E15" s="1925">
        <v>6.2814607033777857E-3</v>
      </c>
      <c r="F15" s="1925">
        <v>6.6705218784964757E-3</v>
      </c>
      <c r="G15" s="1925">
        <v>6.2737115727720819E-3</v>
      </c>
      <c r="H15" s="1925">
        <v>6.9904755511203849E-3</v>
      </c>
      <c r="I15" s="1925">
        <v>5.7743596722005493E-3</v>
      </c>
      <c r="J15" s="1925">
        <v>6.6635404759744768E-3</v>
      </c>
      <c r="K15" s="1925">
        <v>8.1949637424778479E-3</v>
      </c>
      <c r="L15" s="1925">
        <v>7.6812272521092264E-3</v>
      </c>
      <c r="M15" s="1925">
        <v>7.9880350781698865E-3</v>
      </c>
      <c r="N15" s="1925">
        <v>9.5535736792766637E-3</v>
      </c>
      <c r="O15" s="1925">
        <v>8.213225558680334E-3</v>
      </c>
      <c r="P15" s="1925">
        <v>8.2133998608969125E-3</v>
      </c>
      <c r="Q15" s="1925">
        <v>7.5342492364450083E-3</v>
      </c>
      <c r="R15" s="1925">
        <v>1.0193971997943693E-2</v>
      </c>
      <c r="S15" s="1925">
        <v>6.6942203271946532E-3</v>
      </c>
      <c r="T15" s="1925">
        <v>5.1482567963954153E-3</v>
      </c>
      <c r="U15" s="1925">
        <v>5.1482567963954153E-3</v>
      </c>
      <c r="V15" s="1925">
        <v>5.1482567963954153E-3</v>
      </c>
      <c r="W15" s="1925">
        <v>5.1482567963954153E-3</v>
      </c>
      <c r="X15" s="1925">
        <v>5.1482567963954153E-3</v>
      </c>
      <c r="Y15" s="1926">
        <v>2.4899797999999994E-2</v>
      </c>
      <c r="Z15" s="4"/>
    </row>
    <row r="16" spans="1:26" x14ac:dyDescent="0.25">
      <c r="A16" s="4"/>
      <c r="B16" s="4"/>
      <c r="C16" s="1927" t="s">
        <v>1700</v>
      </c>
      <c r="D16" s="1928">
        <v>-1.269896023</v>
      </c>
      <c r="E16" s="1928">
        <v>-1.2963562886999997</v>
      </c>
      <c r="F16" s="1928">
        <v>-1.3228165543999999</v>
      </c>
      <c r="G16" s="1928">
        <v>-1.3492768200999998</v>
      </c>
      <c r="H16" s="1928">
        <v>-1.3757370857999998</v>
      </c>
      <c r="I16" s="1928">
        <v>-1.4021973514999995</v>
      </c>
      <c r="J16" s="1928">
        <v>-1.4286576171999996</v>
      </c>
      <c r="K16" s="1928">
        <v>-1.4551178828999993</v>
      </c>
      <c r="L16" s="1928">
        <v>-1.4815781485999997</v>
      </c>
      <c r="M16" s="1928">
        <v>-1.5080384142999992</v>
      </c>
      <c r="N16" s="1928">
        <v>-1.5344986799999998</v>
      </c>
      <c r="O16" s="1928">
        <v>-1.5609589457000037</v>
      </c>
      <c r="P16" s="1928">
        <v>-1.5874192114000076</v>
      </c>
      <c r="Q16" s="1928">
        <v>-1.613879477100002</v>
      </c>
      <c r="R16" s="1928">
        <v>-1.6403397428000059</v>
      </c>
      <c r="S16" s="1928">
        <v>-1.6668000084999999</v>
      </c>
      <c r="T16" s="1928">
        <v>-1.1694595733333335</v>
      </c>
      <c r="U16" s="1928">
        <v>-1.1694595733333335</v>
      </c>
      <c r="V16" s="1928">
        <v>-1.1694595733333335</v>
      </c>
      <c r="W16" s="1928">
        <v>-1.1694595733333335</v>
      </c>
      <c r="X16" s="1928">
        <v>-1.1694595733333335</v>
      </c>
      <c r="Y16" s="1929">
        <v>-1.2578329866666667</v>
      </c>
      <c r="Z16" s="4"/>
    </row>
    <row r="17" spans="1:26" x14ac:dyDescent="0.25">
      <c r="A17" s="4"/>
      <c r="B17" s="4"/>
      <c r="C17" s="1930" t="s">
        <v>1701</v>
      </c>
      <c r="D17" s="1931">
        <v>-0.45749848141087734</v>
      </c>
      <c r="E17" s="1931">
        <v>-0.43364243245915407</v>
      </c>
      <c r="F17" s="1931">
        <v>-0.42685899692008078</v>
      </c>
      <c r="G17" s="1931">
        <v>-0.37186678024305642</v>
      </c>
      <c r="H17" s="1931">
        <v>-0.32704599092527553</v>
      </c>
      <c r="I17" s="1931">
        <v>-0.26898025396719133</v>
      </c>
      <c r="J17" s="1931">
        <v>-0.21992671139543396</v>
      </c>
      <c r="K17" s="1931">
        <v>-0.23260303177156461</v>
      </c>
      <c r="L17" s="1931">
        <v>-0.22923912671305591</v>
      </c>
      <c r="M17" s="1931">
        <v>-0.21234060426161178</v>
      </c>
      <c r="N17" s="1931">
        <v>-0.21231676947693673</v>
      </c>
      <c r="O17" s="1931">
        <v>-0.21802405505873565</v>
      </c>
      <c r="P17" s="1931">
        <v>-0.22263432394918187</v>
      </c>
      <c r="Q17" s="1931">
        <v>-0.19197427112010765</v>
      </c>
      <c r="R17" s="1931">
        <v>-0.18744340397737064</v>
      </c>
      <c r="S17" s="1931">
        <v>-0.18674581868934073</v>
      </c>
      <c r="T17" s="1931">
        <v>-0.18467683894012488</v>
      </c>
      <c r="U17" s="1931">
        <v>-0.16284073022072465</v>
      </c>
      <c r="V17" s="1931">
        <v>-0.15954670825419209</v>
      </c>
      <c r="W17" s="1931">
        <v>-0.16778378101204028</v>
      </c>
      <c r="X17" s="1931">
        <v>-0.22455399108837457</v>
      </c>
      <c r="Y17" s="1932">
        <v>-0.21822819744427552</v>
      </c>
      <c r="Z17" s="4"/>
    </row>
    <row r="18" spans="1:26" x14ac:dyDescent="0.25">
      <c r="A18" s="4"/>
      <c r="B18" s="4"/>
      <c r="C18" s="1917" t="s">
        <v>1702</v>
      </c>
      <c r="D18" s="65">
        <v>-3.7476700839395673E-2</v>
      </c>
      <c r="E18" s="65">
        <v>-3.4907486993188359E-2</v>
      </c>
      <c r="F18" s="65">
        <v>-3.3956433101933331E-2</v>
      </c>
      <c r="G18" s="65">
        <v>-2.6768294538661811E-2</v>
      </c>
      <c r="H18" s="65">
        <v>-2.1634723729736641E-2</v>
      </c>
      <c r="I18" s="65">
        <v>-1.5251642043051579E-2</v>
      </c>
      <c r="J18" s="65">
        <v>-9.7205305233770221E-3</v>
      </c>
      <c r="K18" s="65">
        <v>-9.6416153842099929E-3</v>
      </c>
      <c r="L18" s="65">
        <v>-9.8250129492662552E-3</v>
      </c>
      <c r="M18" s="65">
        <v>-8.4139027294219196E-3</v>
      </c>
      <c r="N18" s="65">
        <v>-8.262806853943306E-3</v>
      </c>
      <c r="O18" s="65">
        <v>-9.8924974622418057E-3</v>
      </c>
      <c r="P18" s="65">
        <v>-1.1141026710961115E-2</v>
      </c>
      <c r="Q18" s="65">
        <v>-7.7906107871290632E-3</v>
      </c>
      <c r="R18" s="65">
        <v>-6.5853399756642065E-3</v>
      </c>
      <c r="S18" s="65">
        <v>-7.6898202626143565E-3</v>
      </c>
      <c r="T18" s="65">
        <v>-8.4802520728281365E-3</v>
      </c>
      <c r="U18" s="65">
        <v>-8.376949107391226E-3</v>
      </c>
      <c r="V18" s="65">
        <v>-6.8535664172096247E-3</v>
      </c>
      <c r="W18" s="65">
        <v>-9.1273272629057937E-3</v>
      </c>
      <c r="X18" s="65">
        <v>-1.37427948758193E-2</v>
      </c>
      <c r="Y18" s="1933">
        <v>-1.2684842167839765E-2</v>
      </c>
      <c r="Z18" s="4"/>
    </row>
    <row r="19" spans="1:26" x14ac:dyDescent="0.25">
      <c r="A19" s="4"/>
      <c r="B19" s="4"/>
      <c r="C19" s="1917" t="s">
        <v>1703</v>
      </c>
      <c r="D19" s="65">
        <v>-0.18775413189431356</v>
      </c>
      <c r="E19" s="65">
        <v>-0.18022086497482728</v>
      </c>
      <c r="F19" s="65">
        <v>-0.17725456687430405</v>
      </c>
      <c r="G19" s="65">
        <v>-0.15457553207368552</v>
      </c>
      <c r="H19" s="65">
        <v>-0.1370890806126181</v>
      </c>
      <c r="I19" s="65">
        <v>-0.11490029065098975</v>
      </c>
      <c r="J19" s="65">
        <v>-9.4437431702286481E-2</v>
      </c>
      <c r="K19" s="65">
        <v>-9.0327202862476114E-2</v>
      </c>
      <c r="L19" s="65">
        <v>-8.7314694700182285E-2</v>
      </c>
      <c r="M19" s="65">
        <v>-7.9610900883203689E-2</v>
      </c>
      <c r="N19" s="65">
        <v>-7.5857996251008739E-2</v>
      </c>
      <c r="O19" s="65">
        <v>-7.7904726685860848E-2</v>
      </c>
      <c r="P19" s="65">
        <v>-7.9271780263166489E-2</v>
      </c>
      <c r="Q19" s="65">
        <v>-6.6647250455588614E-2</v>
      </c>
      <c r="R19" s="65">
        <v>-6.0326814607326244E-2</v>
      </c>
      <c r="S19" s="65">
        <v>-6.1632909805335728E-2</v>
      </c>
      <c r="T19" s="65">
        <v>-6.1942198859260007E-2</v>
      </c>
      <c r="U19" s="65">
        <v>-5.8310081401474693E-2</v>
      </c>
      <c r="V19" s="65">
        <v>-4.8065668290086475E-2</v>
      </c>
      <c r="W19" s="65">
        <v>-5.6998121726323757E-2</v>
      </c>
      <c r="X19" s="65">
        <v>-7.7849555573600127E-2</v>
      </c>
      <c r="Y19" s="1933">
        <v>-7.0873721137987705E-2</v>
      </c>
      <c r="Z19" s="4"/>
    </row>
    <row r="20" spans="1:26" x14ac:dyDescent="0.25">
      <c r="A20" s="4"/>
      <c r="B20" s="4"/>
      <c r="C20" s="1917" t="s">
        <v>1704</v>
      </c>
      <c r="D20" s="65">
        <v>-0.18694640365122364</v>
      </c>
      <c r="E20" s="65">
        <v>-0.17896310951941205</v>
      </c>
      <c r="F20" s="65">
        <v>-0.17570136813684348</v>
      </c>
      <c r="G20" s="65">
        <v>-0.15213572116687116</v>
      </c>
      <c r="H20" s="65">
        <v>-0.13396072119164659</v>
      </c>
      <c r="I20" s="65">
        <v>-0.11097178454709297</v>
      </c>
      <c r="J20" s="65">
        <v>-8.9799974989547685E-2</v>
      </c>
      <c r="K20" s="65">
        <v>-8.5513503357103518E-2</v>
      </c>
      <c r="L20" s="65">
        <v>-8.236667140618352E-2</v>
      </c>
      <c r="M20" s="65">
        <v>-7.4392552342463808E-2</v>
      </c>
      <c r="N20" s="65">
        <v>-7.0503599926044672E-2</v>
      </c>
      <c r="O20" s="65">
        <v>-7.259815664929449E-2</v>
      </c>
      <c r="P20" s="65">
        <v>-7.3990353815439516E-2</v>
      </c>
      <c r="Q20" s="65">
        <v>-6.0964628330083773E-2</v>
      </c>
      <c r="R20" s="65">
        <v>-5.4456453367069189E-2</v>
      </c>
      <c r="S20" s="65">
        <v>-5.5714975515899441E-2</v>
      </c>
      <c r="T20" s="65">
        <v>-5.6039595623909609E-2</v>
      </c>
      <c r="U20" s="65">
        <v>-5.2671991717843709E-2</v>
      </c>
      <c r="V20" s="65">
        <v>-4.3110237235093864E-2</v>
      </c>
      <c r="W20" s="65">
        <v>-5.1511806251379008E-2</v>
      </c>
      <c r="X20" s="65">
        <v>-7.1077995322108178E-2</v>
      </c>
      <c r="Y20" s="1933">
        <v>-6.4577261430635649E-2</v>
      </c>
      <c r="Z20" s="4"/>
    </row>
    <row r="21" spans="1:26" ht="15.75" customHeight="1" x14ac:dyDescent="0.25">
      <c r="A21" s="4"/>
      <c r="B21" s="4"/>
      <c r="C21" s="1917" t="s">
        <v>1705</v>
      </c>
      <c r="D21" s="65">
        <v>-4.5321245025944507E-2</v>
      </c>
      <c r="E21" s="65">
        <v>-3.9550970971726385E-2</v>
      </c>
      <c r="F21" s="65">
        <v>-3.9946628806999944E-2</v>
      </c>
      <c r="G21" s="65">
        <v>-3.8387232463837885E-2</v>
      </c>
      <c r="H21" s="65">
        <v>-3.4361465391274236E-2</v>
      </c>
      <c r="I21" s="65">
        <v>-2.7856536726057032E-2</v>
      </c>
      <c r="J21" s="65">
        <v>-2.596877418022274E-2</v>
      </c>
      <c r="K21" s="65">
        <v>-4.7120710167774971E-2</v>
      </c>
      <c r="L21" s="65">
        <v>-4.9732747657423845E-2</v>
      </c>
      <c r="M21" s="65">
        <v>-4.9923248306522353E-2</v>
      </c>
      <c r="N21" s="65">
        <v>-5.7692366445940002E-2</v>
      </c>
      <c r="O21" s="65">
        <v>-5.7628674261338532E-2</v>
      </c>
      <c r="P21" s="65">
        <v>-5.8231163159614727E-2</v>
      </c>
      <c r="Q21" s="65">
        <v>-5.6571781547306216E-2</v>
      </c>
      <c r="R21" s="65">
        <v>-6.6074796027310992E-2</v>
      </c>
      <c r="S21" s="65">
        <v>-6.1708113105491215E-2</v>
      </c>
      <c r="T21" s="65">
        <v>-5.821479238412712E-2</v>
      </c>
      <c r="U21" s="65">
        <v>-4.3481707994015018E-2</v>
      </c>
      <c r="V21" s="65">
        <v>-6.1517236311802129E-2</v>
      </c>
      <c r="W21" s="65">
        <v>-5.0146525771431735E-2</v>
      </c>
      <c r="X21" s="65">
        <v>-6.1883645316846959E-2</v>
      </c>
      <c r="Y21" s="1933">
        <v>-7.0092372707812392E-2</v>
      </c>
      <c r="Z21" s="4"/>
    </row>
    <row r="22" spans="1:26" ht="15.75" customHeight="1" x14ac:dyDescent="0.25">
      <c r="A22" s="4"/>
      <c r="B22" s="4"/>
      <c r="C22" s="1934" t="s">
        <v>175</v>
      </c>
      <c r="D22" s="1935">
        <v>5.6030846399999991E-4</v>
      </c>
      <c r="E22" s="1935">
        <v>5.6030846399999991E-4</v>
      </c>
      <c r="F22" s="1935">
        <v>5.6030846399999991E-4</v>
      </c>
      <c r="G22" s="1935">
        <v>5.6030846399999991E-4</v>
      </c>
      <c r="H22" s="1935">
        <v>5.6030846399999991E-4</v>
      </c>
      <c r="I22" s="1935">
        <v>5.6030846399999991E-4</v>
      </c>
      <c r="J22" s="1935">
        <v>5.6030846399999991E-4</v>
      </c>
      <c r="K22" s="1935">
        <v>5.6030846399999991E-4</v>
      </c>
      <c r="L22" s="1935">
        <v>5.6030846399999991E-4</v>
      </c>
      <c r="M22" s="1935">
        <v>5.6030846399999991E-4</v>
      </c>
      <c r="N22" s="1935">
        <v>5.6030846399999991E-4</v>
      </c>
      <c r="O22" s="1935">
        <v>5.6030846399999991E-4</v>
      </c>
      <c r="P22" s="1935">
        <v>5.6030846399999991E-4</v>
      </c>
      <c r="Q22" s="1935">
        <v>5.6030846399999991E-4</v>
      </c>
      <c r="R22" s="1935">
        <v>5.6030846399999991E-4</v>
      </c>
      <c r="S22" s="1935">
        <v>5.6030846399999991E-4</v>
      </c>
      <c r="T22" s="1935">
        <v>3.8958247501919986E-2</v>
      </c>
      <c r="U22" s="1935">
        <v>3.8958247501919986E-2</v>
      </c>
      <c r="V22" s="1935">
        <v>3.8958247501919986E-2</v>
      </c>
      <c r="W22" s="1935">
        <v>3.8958247501919986E-2</v>
      </c>
      <c r="X22" s="1935">
        <v>3.8958247501919986E-2</v>
      </c>
      <c r="Y22" s="1936">
        <v>5.3720414448695991E-2</v>
      </c>
      <c r="Z22" s="4"/>
    </row>
    <row r="23" spans="1:26" ht="15.75" customHeight="1" x14ac:dyDescent="0.25">
      <c r="A23" s="4"/>
      <c r="B23" s="4"/>
      <c r="C23" s="1917" t="s">
        <v>1706</v>
      </c>
      <c r="D23" s="65">
        <v>4.6674079199999997E-4</v>
      </c>
      <c r="E23" s="65">
        <v>4.6674079199999997E-4</v>
      </c>
      <c r="F23" s="65">
        <v>4.6674079199999997E-4</v>
      </c>
      <c r="G23" s="65">
        <v>4.6674079199999997E-4</v>
      </c>
      <c r="H23" s="65">
        <v>4.6674079199999997E-4</v>
      </c>
      <c r="I23" s="65">
        <v>4.6674079199999997E-4</v>
      </c>
      <c r="J23" s="65">
        <v>4.6674079199999997E-4</v>
      </c>
      <c r="K23" s="65">
        <v>4.6674079199999997E-4</v>
      </c>
      <c r="L23" s="65">
        <v>4.6674079199999997E-4</v>
      </c>
      <c r="M23" s="65">
        <v>4.6674079199999997E-4</v>
      </c>
      <c r="N23" s="65">
        <v>4.6674079199999997E-4</v>
      </c>
      <c r="O23" s="65">
        <v>4.6674079199999997E-4</v>
      </c>
      <c r="P23" s="65">
        <v>4.6674079199999997E-4</v>
      </c>
      <c r="Q23" s="65">
        <v>4.6674079199999997E-4</v>
      </c>
      <c r="R23" s="65">
        <v>4.6674079199999997E-4</v>
      </c>
      <c r="S23" s="65">
        <v>4.6674079199999997E-4</v>
      </c>
      <c r="T23" s="65">
        <v>3.245248726775999E-2</v>
      </c>
      <c r="U23" s="65">
        <v>3.245248726775999E-2</v>
      </c>
      <c r="V23" s="65">
        <v>3.245248726775999E-2</v>
      </c>
      <c r="W23" s="65">
        <v>3.245248726775999E-2</v>
      </c>
      <c r="X23" s="65">
        <v>3.245248726775999E-2</v>
      </c>
      <c r="Y23" s="1923">
        <v>4.4749473544187991E-2</v>
      </c>
      <c r="Z23" s="4"/>
    </row>
    <row r="24" spans="1:26" ht="15.75" customHeight="1" x14ac:dyDescent="0.25">
      <c r="A24" s="4"/>
      <c r="B24" s="4"/>
      <c r="C24" s="1917" t="s">
        <v>1707</v>
      </c>
      <c r="D24" s="65">
        <v>9.3567671999999992E-5</v>
      </c>
      <c r="E24" s="65">
        <v>9.3567671999999992E-5</v>
      </c>
      <c r="F24" s="65">
        <v>9.3567671999999992E-5</v>
      </c>
      <c r="G24" s="65">
        <v>9.3567671999999992E-5</v>
      </c>
      <c r="H24" s="65">
        <v>9.3567671999999992E-5</v>
      </c>
      <c r="I24" s="65">
        <v>9.3567671999999992E-5</v>
      </c>
      <c r="J24" s="65">
        <v>9.3567671999999992E-5</v>
      </c>
      <c r="K24" s="65">
        <v>9.3567671999999992E-5</v>
      </c>
      <c r="L24" s="65">
        <v>9.3567671999999992E-5</v>
      </c>
      <c r="M24" s="65">
        <v>9.3567671999999992E-5</v>
      </c>
      <c r="N24" s="65">
        <v>9.3567671999999992E-5</v>
      </c>
      <c r="O24" s="65">
        <v>9.3567671999999992E-5</v>
      </c>
      <c r="P24" s="65">
        <v>9.3567671999999992E-5</v>
      </c>
      <c r="Q24" s="65">
        <v>9.3567671999999992E-5</v>
      </c>
      <c r="R24" s="65">
        <v>9.3567671999999992E-5</v>
      </c>
      <c r="S24" s="65">
        <v>9.3567671999999992E-5</v>
      </c>
      <c r="T24" s="65">
        <v>6.505760234159998E-3</v>
      </c>
      <c r="U24" s="65">
        <v>6.505760234159998E-3</v>
      </c>
      <c r="V24" s="65">
        <v>6.505760234159998E-3</v>
      </c>
      <c r="W24" s="65">
        <v>6.505760234159998E-3</v>
      </c>
      <c r="X24" s="65">
        <v>6.505760234159998E-3</v>
      </c>
      <c r="Y24" s="1923">
        <v>8.9709409045079999E-3</v>
      </c>
      <c r="Z24" s="4"/>
    </row>
    <row r="25" spans="1:26" ht="15.75" customHeight="1" x14ac:dyDescent="0.25">
      <c r="A25" s="4"/>
      <c r="B25" s="4"/>
      <c r="C25" s="1937" t="s">
        <v>1708</v>
      </c>
      <c r="D25" s="1938">
        <v>1.9783789823906425E-2</v>
      </c>
      <c r="E25" s="1938">
        <v>2.5933501356201878E-2</v>
      </c>
      <c r="F25" s="1938">
        <v>2.8432903490202228E-2</v>
      </c>
      <c r="G25" s="1938">
        <v>2.4807276177968685E-2</v>
      </c>
      <c r="H25" s="1938">
        <v>2.5803540784425909E-2</v>
      </c>
      <c r="I25" s="1938">
        <v>2.8939266253370604E-2</v>
      </c>
      <c r="J25" s="1938">
        <v>2.8793086704347243E-2</v>
      </c>
      <c r="K25" s="1938">
        <v>2.8052291604399277E-2</v>
      </c>
      <c r="L25" s="1938">
        <v>2.4168959729723268E-2</v>
      </c>
      <c r="M25" s="1938">
        <v>2.8899390906263811E-2</v>
      </c>
      <c r="N25" s="1938">
        <v>3.6480713801147209E-2</v>
      </c>
      <c r="O25" s="1938">
        <v>2.7940909919462423E-2</v>
      </c>
      <c r="P25" s="1938">
        <v>2.632568221373403E-2</v>
      </c>
      <c r="Q25" s="1938">
        <v>2.561344176463216E-2</v>
      </c>
      <c r="R25" s="1938">
        <v>3.4700340638404853E-2</v>
      </c>
      <c r="S25" s="1938">
        <v>2.8962586863582555E-2</v>
      </c>
      <c r="T25" s="1938">
        <v>2.2827269974381791E-2</v>
      </c>
      <c r="U25" s="1938">
        <v>2.2827269974381791E-2</v>
      </c>
      <c r="V25" s="1938">
        <v>2.2827269974381791E-2</v>
      </c>
      <c r="W25" s="1938">
        <v>2.2827269974381791E-2</v>
      </c>
      <c r="X25" s="1938">
        <v>2.2827269974381791E-2</v>
      </c>
      <c r="Y25" s="1939">
        <v>4.2341482857142849E-2</v>
      </c>
      <c r="Z25" s="4"/>
    </row>
    <row r="26" spans="1:26" ht="15.75" customHeight="1" x14ac:dyDescent="0.25">
      <c r="A26" s="4"/>
      <c r="B26" s="4"/>
      <c r="C26" s="1940" t="s">
        <v>222</v>
      </c>
      <c r="D26" s="1941">
        <v>-3.0810986842149042</v>
      </c>
      <c r="E26" s="1941">
        <v>-3.075825060125422</v>
      </c>
      <c r="F26" s="1941">
        <v>-3.092613426977243</v>
      </c>
      <c r="G26" s="1941">
        <v>-3.142446567383907</v>
      </c>
      <c r="H26" s="1941">
        <v>-3.1223730151813012</v>
      </c>
      <c r="I26" s="1941">
        <v>-3.0888479343332049</v>
      </c>
      <c r="J26" s="1941">
        <v>-3.0655116562066906</v>
      </c>
      <c r="K26" s="1941">
        <v>-3.1038576141162721</v>
      </c>
      <c r="L26" s="1941">
        <v>-3.1313510431228084</v>
      </c>
      <c r="M26" s="1941">
        <v>-6.5592864807762696</v>
      </c>
      <c r="N26" s="1941">
        <v>-12.198219123814511</v>
      </c>
      <c r="O26" s="1941">
        <v>-12.24026682709869</v>
      </c>
      <c r="P26" s="1941">
        <v>-12.272952415092604</v>
      </c>
      <c r="Q26" s="1941">
        <v>-12.270144019037092</v>
      </c>
      <c r="R26" s="1941">
        <v>-12.280326795959127</v>
      </c>
      <c r="S26" s="1941">
        <v>-12.315326981816595</v>
      </c>
      <c r="T26" s="1941">
        <v>-11.78520090828286</v>
      </c>
      <c r="U26" s="1941">
        <v>-11.78520090828286</v>
      </c>
      <c r="V26" s="1941">
        <v>-11.78520090828286</v>
      </c>
      <c r="W26" s="1941">
        <v>-11.78520090828286</v>
      </c>
      <c r="X26" s="1941">
        <v>-11.78520090828286</v>
      </c>
      <c r="Y26" s="1942">
        <f>Y5+Y16+Y17-Y12-Y15-Y22-Y25</f>
        <v>-12.12513474969888</v>
      </c>
      <c r="Z26" s="4"/>
    </row>
    <row r="27" spans="1:26" ht="15.75" customHeight="1" x14ac:dyDescent="0.25">
      <c r="A27" s="4"/>
      <c r="B27" s="4"/>
      <c r="C27" s="1943" t="s">
        <v>1709</v>
      </c>
      <c r="D27" s="65"/>
      <c r="E27" s="4"/>
      <c r="F27" s="4"/>
      <c r="G27" s="4"/>
      <c r="H27" s="4"/>
      <c r="I27" s="4"/>
      <c r="J27" s="4"/>
      <c r="K27" s="4"/>
      <c r="L27" s="4"/>
      <c r="M27" s="4"/>
      <c r="N27" s="4"/>
      <c r="O27" s="4"/>
      <c r="P27" s="4"/>
      <c r="Q27" s="4"/>
      <c r="R27" s="4"/>
      <c r="S27" s="4"/>
      <c r="T27" s="4"/>
      <c r="U27" s="4"/>
      <c r="V27" s="4"/>
      <c r="W27" s="4"/>
      <c r="X27" s="4"/>
      <c r="Y27" s="912"/>
      <c r="Z27" s="4"/>
    </row>
    <row r="28" spans="1:26" ht="15.75" customHeight="1" x14ac:dyDescent="0.25">
      <c r="A28" s="4"/>
      <c r="B28" s="4"/>
      <c r="C28" s="959"/>
      <c r="D28" s="4"/>
      <c r="E28" s="4"/>
      <c r="F28" s="4"/>
      <c r="G28" s="4"/>
      <c r="H28" s="4"/>
      <c r="I28" s="4"/>
      <c r="J28" s="4"/>
      <c r="K28" s="4"/>
      <c r="L28" s="4"/>
      <c r="M28" s="4"/>
      <c r="N28" s="4"/>
      <c r="O28" s="4"/>
      <c r="P28" s="4"/>
      <c r="Q28" s="4"/>
      <c r="R28" s="4"/>
      <c r="S28" s="4"/>
      <c r="T28" s="4"/>
      <c r="U28" s="4"/>
      <c r="V28" s="4"/>
      <c r="W28" s="4"/>
      <c r="X28" s="4"/>
      <c r="Y28" s="912"/>
      <c r="Z28" s="4"/>
    </row>
    <row r="29" spans="1:26" ht="15.75" customHeight="1" x14ac:dyDescent="0.25">
      <c r="A29" s="4"/>
      <c r="B29" s="4"/>
      <c r="C29" s="959"/>
      <c r="D29" s="4"/>
      <c r="E29" s="4"/>
      <c r="F29" s="4"/>
      <c r="G29" s="4"/>
      <c r="H29" s="4"/>
      <c r="I29" s="4"/>
      <c r="J29" s="4"/>
      <c r="K29" s="4"/>
      <c r="L29" s="4"/>
      <c r="M29" s="4"/>
      <c r="N29" s="4"/>
      <c r="O29" s="4"/>
      <c r="P29" s="4"/>
      <c r="Q29" s="4"/>
      <c r="R29" s="4"/>
      <c r="S29" s="4"/>
      <c r="T29" s="4"/>
      <c r="U29" s="4"/>
      <c r="V29" s="4"/>
      <c r="W29" s="4"/>
      <c r="X29" s="4"/>
      <c r="Y29" s="912"/>
      <c r="Z29" s="4"/>
    </row>
    <row r="30" spans="1:26" ht="15.75" customHeight="1" x14ac:dyDescent="0.25">
      <c r="A30" s="4"/>
      <c r="B30" s="4"/>
      <c r="C30" s="1944" t="s">
        <v>1710</v>
      </c>
      <c r="D30" s="39"/>
      <c r="E30" s="39"/>
      <c r="F30" s="39"/>
      <c r="G30" s="39"/>
      <c r="H30" s="39"/>
      <c r="I30" s="39"/>
      <c r="J30" s="39"/>
      <c r="K30" s="39"/>
      <c r="L30" s="39"/>
      <c r="M30" s="39"/>
      <c r="N30" s="39"/>
      <c r="O30" s="39"/>
      <c r="P30" s="39"/>
      <c r="Q30" s="39"/>
      <c r="R30" s="39"/>
      <c r="S30" s="39"/>
      <c r="T30" s="39"/>
      <c r="U30" s="39"/>
      <c r="V30" s="39"/>
      <c r="W30" s="39"/>
      <c r="X30" s="39"/>
      <c r="Y30" s="1945"/>
      <c r="Z30" s="4"/>
    </row>
    <row r="31" spans="1:26" ht="15.75" customHeight="1" x14ac:dyDescent="0.25">
      <c r="A31" s="4"/>
      <c r="B31" s="4"/>
      <c r="C31" s="1905"/>
      <c r="D31" s="1588">
        <v>1990</v>
      </c>
      <c r="E31" s="1906">
        <v>1991</v>
      </c>
      <c r="F31" s="1906">
        <v>1992</v>
      </c>
      <c r="G31" s="1588">
        <v>1993</v>
      </c>
      <c r="H31" s="1588">
        <v>1994</v>
      </c>
      <c r="I31" s="1588">
        <v>1995</v>
      </c>
      <c r="J31" s="1588">
        <v>1996</v>
      </c>
      <c r="K31" s="1588">
        <v>1997</v>
      </c>
      <c r="L31" s="1588">
        <v>1998</v>
      </c>
      <c r="M31" s="1588">
        <v>1999</v>
      </c>
      <c r="N31" s="1588">
        <v>2000</v>
      </c>
      <c r="O31" s="1588">
        <v>2001</v>
      </c>
      <c r="P31" s="1588">
        <v>2002</v>
      </c>
      <c r="Q31" s="1588">
        <v>2003</v>
      </c>
      <c r="R31" s="1588">
        <v>2004</v>
      </c>
      <c r="S31" s="1588">
        <v>2005</v>
      </c>
      <c r="T31" s="1588">
        <v>2006</v>
      </c>
      <c r="U31" s="1588">
        <v>2007</v>
      </c>
      <c r="V31" s="1588">
        <v>2008</v>
      </c>
      <c r="W31" s="1588">
        <v>2009</v>
      </c>
      <c r="X31" s="1588">
        <v>2010</v>
      </c>
      <c r="Y31" s="1946">
        <v>2011</v>
      </c>
      <c r="Z31" s="4"/>
    </row>
    <row r="32" spans="1:26" ht="15.75" customHeight="1" x14ac:dyDescent="0.25">
      <c r="A32" s="4"/>
      <c r="B32" s="4"/>
      <c r="C32" s="1905" t="s">
        <v>1711</v>
      </c>
      <c r="D32" s="1947">
        <v>-0.36620723287968282</v>
      </c>
      <c r="E32" s="1947">
        <v>-0.3662072328796544</v>
      </c>
      <c r="F32" s="1947">
        <v>-0.36620723287968104</v>
      </c>
      <c r="G32" s="1947">
        <v>-0.38648250208848828</v>
      </c>
      <c r="H32" s="1947">
        <v>-0.38648250208848473</v>
      </c>
      <c r="I32" s="1947">
        <v>-0.38648250208851853</v>
      </c>
      <c r="J32" s="1947">
        <v>-0.38648250208850254</v>
      </c>
      <c r="K32" s="1947">
        <v>-0.38648250208846879</v>
      </c>
      <c r="L32" s="1947">
        <v>-0.38648250208851842</v>
      </c>
      <c r="M32" s="1947">
        <v>-0.58552050905330444</v>
      </c>
      <c r="N32" s="1947">
        <v>-0.91250264139428972</v>
      </c>
      <c r="O32" s="1947">
        <v>-0.91250264139433224</v>
      </c>
      <c r="P32" s="1947">
        <v>-0.91250264139428605</v>
      </c>
      <c r="Q32" s="1947">
        <v>-0.91250264139432002</v>
      </c>
      <c r="R32" s="1947">
        <v>-0.9125026413943288</v>
      </c>
      <c r="S32" s="1947">
        <v>-0.91250264139429138</v>
      </c>
      <c r="T32" s="1947">
        <v>-0.9125026413943218</v>
      </c>
      <c r="U32" s="1947">
        <v>-0.9125026413943218</v>
      </c>
      <c r="V32" s="1947">
        <v>-0.9125026413943218</v>
      </c>
      <c r="W32" s="1947">
        <v>-0.9125026413943218</v>
      </c>
      <c r="X32" s="1947">
        <v>-0.9125026413943218</v>
      </c>
      <c r="Y32" s="1948">
        <v>-0.9125026413943218</v>
      </c>
      <c r="Z32" s="4"/>
    </row>
    <row r="33" spans="1:26" ht="15.75" customHeight="1" x14ac:dyDescent="0.25">
      <c r="A33" s="4"/>
      <c r="B33" s="4"/>
      <c r="C33" s="1911" t="s">
        <v>1693</v>
      </c>
      <c r="D33" s="65">
        <v>-0.30523743937362718</v>
      </c>
      <c r="E33" s="65">
        <v>-0.30523743937359882</v>
      </c>
      <c r="F33" s="65">
        <v>-0.30523743937362718</v>
      </c>
      <c r="G33" s="65">
        <v>-0.30523743937361303</v>
      </c>
      <c r="H33" s="65">
        <v>-0.30523743937359882</v>
      </c>
      <c r="I33" s="65">
        <v>-0.30523743937362718</v>
      </c>
      <c r="J33" s="65">
        <v>-0.30523743937361303</v>
      </c>
      <c r="K33" s="65">
        <v>-0.30523743937359882</v>
      </c>
      <c r="L33" s="65">
        <v>-0.30523743937362718</v>
      </c>
      <c r="M33" s="65">
        <v>-0.59375366257511075</v>
      </c>
      <c r="N33" s="65">
        <v>-1.0677398193655563</v>
      </c>
      <c r="O33" s="65">
        <v>-1.0677398193655847</v>
      </c>
      <c r="P33" s="65">
        <v>-1.0677398193655563</v>
      </c>
      <c r="Q33" s="65">
        <v>-1.0677398193655847</v>
      </c>
      <c r="R33" s="65">
        <v>-1.0677398193655847</v>
      </c>
      <c r="S33" s="65">
        <v>-1.0677398193655563</v>
      </c>
      <c r="T33" s="65">
        <v>-1.0677398193655847</v>
      </c>
      <c r="U33" s="65">
        <v>-1.0677398193655847</v>
      </c>
      <c r="V33" s="65">
        <v>-1.0677398193655847</v>
      </c>
      <c r="W33" s="65">
        <v>-1.0677398193655847</v>
      </c>
      <c r="X33" s="65">
        <v>-1.0677398193655847</v>
      </c>
      <c r="Y33" s="1923">
        <v>-1.0677398193655847</v>
      </c>
      <c r="Z33" s="4"/>
    </row>
    <row r="34" spans="1:26" ht="15.75" customHeight="1" x14ac:dyDescent="0.25">
      <c r="A34" s="4"/>
      <c r="B34" s="4"/>
      <c r="C34" s="1911" t="s">
        <v>1694</v>
      </c>
      <c r="D34" s="65">
        <v>-5.9861432353049082E-2</v>
      </c>
      <c r="E34" s="65">
        <v>-5.9861432353049082E-2</v>
      </c>
      <c r="F34" s="65">
        <v>-5.9861432353049082E-2</v>
      </c>
      <c r="G34" s="65">
        <v>-5.9861432353049082E-2</v>
      </c>
      <c r="H34" s="65">
        <v>-5.9861432353047306E-2</v>
      </c>
      <c r="I34" s="65">
        <v>-5.9861432353050859E-2</v>
      </c>
      <c r="J34" s="65">
        <v>-5.9861432353049082E-2</v>
      </c>
      <c r="K34" s="65">
        <v>-5.9861432353047306E-2</v>
      </c>
      <c r="L34" s="65">
        <v>-5.9861432353049082E-2</v>
      </c>
      <c r="M34" s="65">
        <v>-0.11266246133426705</v>
      </c>
      <c r="N34" s="65">
        <v>-0.19940682228889095</v>
      </c>
      <c r="O34" s="65">
        <v>-0.1994068222888874</v>
      </c>
      <c r="P34" s="65">
        <v>-0.19940682228888562</v>
      </c>
      <c r="Q34" s="65">
        <v>-0.19940682228889095</v>
      </c>
      <c r="R34" s="65">
        <v>-0.19940682228888562</v>
      </c>
      <c r="S34" s="65">
        <v>-0.19940682228888917</v>
      </c>
      <c r="T34" s="65">
        <v>-0.19940682228888562</v>
      </c>
      <c r="U34" s="65">
        <v>-0.19940682228888562</v>
      </c>
      <c r="V34" s="65">
        <v>-0.19940682228888562</v>
      </c>
      <c r="W34" s="65">
        <v>-0.19940682228888562</v>
      </c>
      <c r="X34" s="65">
        <v>-0.19940682228888562</v>
      </c>
      <c r="Y34" s="1923">
        <v>-0.19940682228888562</v>
      </c>
      <c r="Z34" s="4"/>
    </row>
    <row r="35" spans="1:26" ht="15.75" customHeight="1" x14ac:dyDescent="0.25">
      <c r="A35" s="4"/>
      <c r="B35" s="4"/>
      <c r="C35" s="1911" t="s">
        <v>1695</v>
      </c>
      <c r="D35" s="65">
        <v>-0.11339587033969067</v>
      </c>
      <c r="E35" s="65">
        <v>-0.1133958703396889</v>
      </c>
      <c r="F35" s="65">
        <v>-0.1133958703396889</v>
      </c>
      <c r="G35" s="65">
        <v>-0.11339587033969067</v>
      </c>
      <c r="H35" s="65">
        <v>-0.11339587033968712</v>
      </c>
      <c r="I35" s="65">
        <v>-0.11339587033969067</v>
      </c>
      <c r="J35" s="65">
        <v>-0.11339587033969067</v>
      </c>
      <c r="K35" s="65">
        <v>-0.11339587033968712</v>
      </c>
      <c r="L35" s="65">
        <v>-0.11339587033969067</v>
      </c>
      <c r="M35" s="65">
        <v>-5.1751643877953057E-2</v>
      </c>
      <c r="N35" s="65">
        <v>4.9523585461091812E-2</v>
      </c>
      <c r="O35" s="65">
        <v>4.952358546108826E-2</v>
      </c>
      <c r="P35" s="65">
        <v>4.9523585461090036E-2</v>
      </c>
      <c r="Q35" s="65">
        <v>4.9523585461090036E-2</v>
      </c>
      <c r="R35" s="65">
        <v>4.9523585461090036E-2</v>
      </c>
      <c r="S35" s="65">
        <v>4.952358546108826E-2</v>
      </c>
      <c r="T35" s="65">
        <v>4.9523585461090036E-2</v>
      </c>
      <c r="U35" s="65">
        <v>4.9523585461090036E-2</v>
      </c>
      <c r="V35" s="65">
        <v>4.9523585461090036E-2</v>
      </c>
      <c r="W35" s="65">
        <v>4.9523585461090036E-2</v>
      </c>
      <c r="X35" s="65">
        <v>4.9523585461090036E-2</v>
      </c>
      <c r="Y35" s="1923">
        <v>4.9523585461090036E-2</v>
      </c>
      <c r="Z35" s="4"/>
    </row>
    <row r="36" spans="1:26" ht="15.75" customHeight="1" x14ac:dyDescent="0.25">
      <c r="A36" s="4"/>
      <c r="B36" s="4"/>
      <c r="C36" s="1911" t="s">
        <v>1614</v>
      </c>
      <c r="D36" s="65">
        <v>6.5711582371752897E-2</v>
      </c>
      <c r="E36" s="65">
        <v>6.571158237175112E-2</v>
      </c>
      <c r="F36" s="65">
        <v>6.5711582371752897E-2</v>
      </c>
      <c r="G36" s="65">
        <v>6.5711582371752897E-2</v>
      </c>
      <c r="H36" s="65">
        <v>6.571158237175112E-2</v>
      </c>
      <c r="I36" s="65">
        <v>6.5711582371752897E-2</v>
      </c>
      <c r="J36" s="65">
        <v>6.5711582371752897E-2</v>
      </c>
      <c r="K36" s="65">
        <v>6.5711582371752897E-2</v>
      </c>
      <c r="L36" s="65">
        <v>6.571158237175112E-2</v>
      </c>
      <c r="M36" s="65">
        <v>6.1184558453659221E-2</v>
      </c>
      <c r="N36" s="65">
        <v>5.3747229669431462E-2</v>
      </c>
      <c r="O36" s="65">
        <v>5.3747229669431462E-2</v>
      </c>
      <c r="P36" s="65">
        <v>5.3747229669431462E-2</v>
      </c>
      <c r="Q36" s="65">
        <v>5.3747229669431462E-2</v>
      </c>
      <c r="R36" s="65">
        <v>5.3747229669431462E-2</v>
      </c>
      <c r="S36" s="65">
        <v>5.3747229669431462E-2</v>
      </c>
      <c r="T36" s="65">
        <v>5.3747229669431462E-2</v>
      </c>
      <c r="U36" s="65">
        <v>5.3747229669431462E-2</v>
      </c>
      <c r="V36" s="65">
        <v>5.3747229669431462E-2</v>
      </c>
      <c r="W36" s="65">
        <v>5.3747229669431462E-2</v>
      </c>
      <c r="X36" s="65">
        <v>5.3747229669431462E-2</v>
      </c>
      <c r="Y36" s="1923">
        <v>5.3747229669431462E-2</v>
      </c>
      <c r="Z36" s="4"/>
    </row>
    <row r="37" spans="1:26" ht="15.75" customHeight="1" x14ac:dyDescent="0.25">
      <c r="A37" s="4"/>
      <c r="B37" s="4"/>
      <c r="C37" s="1911" t="s">
        <v>1696</v>
      </c>
      <c r="D37" s="65">
        <v>0.22397505987821376</v>
      </c>
      <c r="E37" s="65">
        <v>0.22397505987821376</v>
      </c>
      <c r="F37" s="65">
        <v>0.22397505987821376</v>
      </c>
      <c r="G37" s="65">
        <v>0.22397505987822797</v>
      </c>
      <c r="H37" s="65">
        <v>0.22397505987821376</v>
      </c>
      <c r="I37" s="65">
        <v>0.22397505987821376</v>
      </c>
      <c r="J37" s="65">
        <v>0.22397505987821376</v>
      </c>
      <c r="K37" s="65">
        <v>0.22397505987822797</v>
      </c>
      <c r="L37" s="65">
        <v>0.22397505987821376</v>
      </c>
      <c r="M37" s="65">
        <v>0.30913710255248361</v>
      </c>
      <c r="N37" s="65">
        <v>0.44904758740175055</v>
      </c>
      <c r="O37" s="65">
        <v>0.44904758740173634</v>
      </c>
      <c r="P37" s="65">
        <v>0.44904758740175055</v>
      </c>
      <c r="Q37" s="65">
        <v>0.44904758740175055</v>
      </c>
      <c r="R37" s="65">
        <v>0.44904758740173634</v>
      </c>
      <c r="S37" s="65">
        <v>0.44904758740175055</v>
      </c>
      <c r="T37" s="65">
        <v>0.44904758740174344</v>
      </c>
      <c r="U37" s="65">
        <v>0.44904758740174344</v>
      </c>
      <c r="V37" s="65">
        <v>0.44904758740174344</v>
      </c>
      <c r="W37" s="65">
        <v>0.44904758740174344</v>
      </c>
      <c r="X37" s="65">
        <v>0.44904758740174344</v>
      </c>
      <c r="Y37" s="1923">
        <v>0.44904758740174344</v>
      </c>
      <c r="Z37" s="4"/>
    </row>
    <row r="38" spans="1:26" ht="15.75" customHeight="1" x14ac:dyDescent="0.25">
      <c r="A38" s="4"/>
      <c r="B38" s="4"/>
      <c r="C38" s="1917" t="s">
        <v>1712</v>
      </c>
      <c r="D38" s="65">
        <v>-0.17739913306328248</v>
      </c>
      <c r="E38" s="65">
        <v>-0.17739913306328248</v>
      </c>
      <c r="F38" s="65">
        <v>-0.17739913306328248</v>
      </c>
      <c r="G38" s="65">
        <v>-0.19767440227211636</v>
      </c>
      <c r="H38" s="65">
        <v>-0.19767440227211636</v>
      </c>
      <c r="I38" s="65">
        <v>-0.19767440227211636</v>
      </c>
      <c r="J38" s="65">
        <v>-0.19767440227211636</v>
      </c>
      <c r="K38" s="65">
        <v>-0.19767440227211636</v>
      </c>
      <c r="L38" s="65">
        <v>-0.19767440227211636</v>
      </c>
      <c r="M38" s="65">
        <v>-0.19767440227211636</v>
      </c>
      <c r="N38" s="65">
        <v>-0.19767440227211636</v>
      </c>
      <c r="O38" s="65">
        <v>-0.19767440227211636</v>
      </c>
      <c r="P38" s="65">
        <v>-0.19767440227211636</v>
      </c>
      <c r="Q38" s="65">
        <v>-0.19767440227211636</v>
      </c>
      <c r="R38" s="65">
        <v>-0.19767440227211636</v>
      </c>
      <c r="S38" s="65">
        <v>-0.19767440227211636</v>
      </c>
      <c r="T38" s="65">
        <v>-0.19767440227211636</v>
      </c>
      <c r="U38" s="65">
        <v>-0.19767440227211636</v>
      </c>
      <c r="V38" s="65">
        <v>-0.19767440227211636</v>
      </c>
      <c r="W38" s="65">
        <v>-0.19767440227211636</v>
      </c>
      <c r="X38" s="65">
        <v>-0.19767440227211636</v>
      </c>
      <c r="Y38" s="1923">
        <v>-0.19767440227211636</v>
      </c>
      <c r="Z38" s="4"/>
    </row>
    <row r="39" spans="1:26" ht="15.75" customHeight="1" x14ac:dyDescent="0.25">
      <c r="A39" s="4"/>
      <c r="B39" s="4"/>
      <c r="C39" s="1905" t="s">
        <v>1698</v>
      </c>
      <c r="D39" s="1947">
        <v>0</v>
      </c>
      <c r="E39" s="1947">
        <v>0</v>
      </c>
      <c r="F39" s="1947">
        <v>0</v>
      </c>
      <c r="G39" s="1947">
        <v>0</v>
      </c>
      <c r="H39" s="1947">
        <v>0</v>
      </c>
      <c r="I39" s="1947">
        <v>0</v>
      </c>
      <c r="J39" s="1947">
        <v>0</v>
      </c>
      <c r="K39" s="1947">
        <v>0</v>
      </c>
      <c r="L39" s="1947">
        <v>0</v>
      </c>
      <c r="M39" s="1947">
        <v>0</v>
      </c>
      <c r="N39" s="1947">
        <v>0</v>
      </c>
      <c r="O39" s="1947">
        <v>0</v>
      </c>
      <c r="P39" s="1947">
        <v>0</v>
      </c>
      <c r="Q39" s="1947">
        <v>0</v>
      </c>
      <c r="R39" s="1947">
        <v>0</v>
      </c>
      <c r="S39" s="1947">
        <v>0</v>
      </c>
      <c r="T39" s="1947">
        <v>0</v>
      </c>
      <c r="U39" s="1947">
        <v>0</v>
      </c>
      <c r="V39" s="1947">
        <v>0</v>
      </c>
      <c r="W39" s="1947">
        <v>0</v>
      </c>
      <c r="X39" s="1947">
        <v>0</v>
      </c>
      <c r="Y39" s="1948">
        <v>0</v>
      </c>
      <c r="Z39" s="4"/>
    </row>
    <row r="40" spans="1:26" ht="15.75" customHeight="1" x14ac:dyDescent="0.25">
      <c r="A40" s="4"/>
      <c r="B40" s="4"/>
      <c r="C40" s="1921" t="s">
        <v>961</v>
      </c>
      <c r="D40" s="65">
        <v>0</v>
      </c>
      <c r="E40" s="65">
        <v>0</v>
      </c>
      <c r="F40" s="65">
        <v>0</v>
      </c>
      <c r="G40" s="65">
        <v>0</v>
      </c>
      <c r="H40" s="65">
        <v>0</v>
      </c>
      <c r="I40" s="65">
        <v>0</v>
      </c>
      <c r="J40" s="65">
        <v>0</v>
      </c>
      <c r="K40" s="65">
        <v>0</v>
      </c>
      <c r="L40" s="65">
        <v>0</v>
      </c>
      <c r="M40" s="65">
        <v>0</v>
      </c>
      <c r="N40" s="65">
        <v>0</v>
      </c>
      <c r="O40" s="65">
        <v>0</v>
      </c>
      <c r="P40" s="65">
        <v>0</v>
      </c>
      <c r="Q40" s="65">
        <v>0</v>
      </c>
      <c r="R40" s="65">
        <v>0</v>
      </c>
      <c r="S40" s="65">
        <v>0</v>
      </c>
      <c r="T40" s="65">
        <v>0</v>
      </c>
      <c r="U40" s="65">
        <v>0</v>
      </c>
      <c r="V40" s="65">
        <v>0</v>
      </c>
      <c r="W40" s="65">
        <v>0</v>
      </c>
      <c r="X40" s="65">
        <v>0</v>
      </c>
      <c r="Y40" s="1923">
        <v>0</v>
      </c>
      <c r="Z40" s="4"/>
    </row>
    <row r="41" spans="1:26" ht="15.75" customHeight="1" x14ac:dyDescent="0.25">
      <c r="A41" s="4"/>
      <c r="B41" s="4"/>
      <c r="C41" s="1921" t="s">
        <v>962</v>
      </c>
      <c r="D41" s="65">
        <v>0</v>
      </c>
      <c r="E41" s="65">
        <v>0</v>
      </c>
      <c r="F41" s="65">
        <v>0</v>
      </c>
      <c r="G41" s="65">
        <v>0</v>
      </c>
      <c r="H41" s="65">
        <v>0</v>
      </c>
      <c r="I41" s="65">
        <v>0</v>
      </c>
      <c r="J41" s="65">
        <v>0</v>
      </c>
      <c r="K41" s="65">
        <v>0</v>
      </c>
      <c r="L41" s="65">
        <v>0</v>
      </c>
      <c r="M41" s="65">
        <v>0</v>
      </c>
      <c r="N41" s="65">
        <v>0</v>
      </c>
      <c r="O41" s="65">
        <v>0</v>
      </c>
      <c r="P41" s="65">
        <v>0</v>
      </c>
      <c r="Q41" s="65">
        <v>0</v>
      </c>
      <c r="R41" s="65">
        <v>0</v>
      </c>
      <c r="S41" s="65">
        <v>0</v>
      </c>
      <c r="T41" s="65">
        <v>0</v>
      </c>
      <c r="U41" s="65">
        <v>0</v>
      </c>
      <c r="V41" s="65">
        <v>0</v>
      </c>
      <c r="W41" s="65">
        <v>0</v>
      </c>
      <c r="X41" s="65">
        <v>0</v>
      </c>
      <c r="Y41" s="1923">
        <v>0</v>
      </c>
      <c r="Z41" s="4"/>
    </row>
    <row r="42" spans="1:26" ht="15.75" customHeight="1" x14ac:dyDescent="0.25">
      <c r="A42" s="4"/>
      <c r="B42" s="4"/>
      <c r="C42" s="959" t="s">
        <v>1699</v>
      </c>
      <c r="D42" s="65">
        <v>1.2418176539961898E-3</v>
      </c>
      <c r="E42" s="65">
        <v>1.7131256463757598E-3</v>
      </c>
      <c r="F42" s="65">
        <v>1.8192332395899479E-3</v>
      </c>
      <c r="G42" s="65">
        <v>1.7110122471196588E-3</v>
      </c>
      <c r="H42" s="65">
        <v>1.9064933321237415E-3</v>
      </c>
      <c r="I42" s="65">
        <v>1.5748253651456045E-3</v>
      </c>
      <c r="J42" s="65">
        <v>1.8173292207203119E-3</v>
      </c>
      <c r="K42" s="65">
        <v>2.2349901115848677E-3</v>
      </c>
      <c r="L42" s="65">
        <v>2.0948801596661526E-3</v>
      </c>
      <c r="M42" s="65">
        <v>2.1785550213190602E-3</v>
      </c>
      <c r="N42" s="65">
        <v>2.6055200943481812E-3</v>
      </c>
      <c r="O42" s="65">
        <v>2.2399706069128186E-3</v>
      </c>
      <c r="P42" s="65">
        <v>2.240018143880976E-3</v>
      </c>
      <c r="Q42" s="65">
        <v>2.0547952463031843E-3</v>
      </c>
      <c r="R42" s="65">
        <v>2.7801741812573709E-3</v>
      </c>
      <c r="S42" s="65">
        <v>1.825696452871269E-3</v>
      </c>
      <c r="T42" s="65">
        <v>1.4040700353805679E-3</v>
      </c>
      <c r="U42" s="65">
        <v>1.4040700353805679E-3</v>
      </c>
      <c r="V42" s="65">
        <v>1.4040700353805679E-3</v>
      </c>
      <c r="W42" s="65">
        <v>1.4040700353805679E-3</v>
      </c>
      <c r="X42" s="65">
        <v>1.4040700353805679E-3</v>
      </c>
      <c r="Y42" s="1923">
        <v>1.4040700353805679E-3</v>
      </c>
      <c r="Z42" s="4"/>
    </row>
    <row r="43" spans="1:26" ht="15.75" customHeight="1" x14ac:dyDescent="0.25">
      <c r="A43" s="4"/>
      <c r="B43" s="4"/>
      <c r="C43" s="959" t="s">
        <v>1700</v>
      </c>
      <c r="D43" s="65">
        <v>-0.34633527900000005</v>
      </c>
      <c r="E43" s="65">
        <v>-0.35355171509999994</v>
      </c>
      <c r="F43" s="65">
        <v>-0.3607681512</v>
      </c>
      <c r="G43" s="65">
        <v>-0.36798458729999994</v>
      </c>
      <c r="H43" s="65">
        <v>-0.37520102339999994</v>
      </c>
      <c r="I43" s="65">
        <v>-0.38241745949999989</v>
      </c>
      <c r="J43" s="65">
        <v>-0.38963389559999989</v>
      </c>
      <c r="K43" s="65">
        <v>-0.39685033169999984</v>
      </c>
      <c r="L43" s="65">
        <v>-0.40406676779999995</v>
      </c>
      <c r="M43" s="65">
        <v>-0.41128320389999978</v>
      </c>
      <c r="N43" s="65">
        <v>-0.41849963999999995</v>
      </c>
      <c r="O43" s="65">
        <v>-0.42571607610000101</v>
      </c>
      <c r="P43" s="65">
        <v>-0.43293251220000212</v>
      </c>
      <c r="Q43" s="65">
        <v>-0.44014894830000056</v>
      </c>
      <c r="R43" s="65">
        <v>-0.44736538440000162</v>
      </c>
      <c r="S43" s="65">
        <v>-0.45458182050000001</v>
      </c>
      <c r="T43" s="65">
        <v>-0.31894352000000004</v>
      </c>
      <c r="U43" s="65">
        <v>-0.31894352000000004</v>
      </c>
      <c r="V43" s="65">
        <v>-0.31894352000000004</v>
      </c>
      <c r="W43" s="65">
        <v>-0.31894352000000004</v>
      </c>
      <c r="X43" s="65">
        <v>-0.31894352000000004</v>
      </c>
      <c r="Y43" s="1923">
        <v>-0.31894352000000004</v>
      </c>
      <c r="Z43" s="4"/>
    </row>
    <row r="44" spans="1:26" ht="15.75" customHeight="1" x14ac:dyDescent="0.25">
      <c r="A44" s="4"/>
      <c r="B44" s="4"/>
      <c r="C44" s="1949" t="s">
        <v>1701</v>
      </c>
      <c r="D44" s="1947">
        <v>-6.31767181016063E-2</v>
      </c>
      <c r="E44" s="1947">
        <v>-5.5002223310792082E-2</v>
      </c>
      <c r="F44" s="1947">
        <v>-5.1689569108443752E-2</v>
      </c>
      <c r="G44" s="1947">
        <v>-3.5333582262007238E-2</v>
      </c>
      <c r="H44" s="1947">
        <v>-2.2251410255082704E-2</v>
      </c>
      <c r="I44" s="1947">
        <v>-5.9273497922593642E-3</v>
      </c>
      <c r="J44" s="1947">
        <v>7.4867629221338902E-3</v>
      </c>
      <c r="K44" s="1947">
        <v>3.6681334574599463E-3</v>
      </c>
      <c r="L44" s="1947">
        <v>4.1903435142972107E-3</v>
      </c>
      <c r="M44" s="1947">
        <v>8.4017742247940105E-3</v>
      </c>
      <c r="N44" s="1947">
        <v>7.6949102215832987E-3</v>
      </c>
      <c r="O44" s="1947">
        <v>5.8924721932691309E-3</v>
      </c>
      <c r="P44" s="1947">
        <v>4.2086470283262834E-3</v>
      </c>
      <c r="Q44" s="1947">
        <v>1.2227123482065193E-2</v>
      </c>
      <c r="R44" s="1947">
        <v>1.2890835097078081E-2</v>
      </c>
      <c r="S44" s="1947">
        <v>1.332600666794575E-2</v>
      </c>
      <c r="T44" s="1947">
        <v>1.3619092357102205E-2</v>
      </c>
      <c r="U44" s="1947">
        <v>1.3619092357102205E-2</v>
      </c>
      <c r="V44" s="1947">
        <v>1.3619092357102205E-2</v>
      </c>
      <c r="W44" s="1947">
        <v>1.3619092357102205E-2</v>
      </c>
      <c r="X44" s="1947">
        <v>1.3619092357102205E-2</v>
      </c>
      <c r="Y44" s="1948">
        <v>1.3619092357102205E-2</v>
      </c>
      <c r="Z44" s="4"/>
    </row>
    <row r="45" spans="1:26" ht="15.75" customHeight="1" x14ac:dyDescent="0.25">
      <c r="A45" s="4"/>
      <c r="B45" s="4"/>
      <c r="C45" s="1917" t="s">
        <v>1702</v>
      </c>
      <c r="D45" s="65">
        <v>-1.4463294553620472E-3</v>
      </c>
      <c r="E45" s="65">
        <v>-6.4549131563467203E-4</v>
      </c>
      <c r="F45" s="65">
        <v>-3.4141934018188638E-4</v>
      </c>
      <c r="G45" s="65">
        <v>1.6426218675418625E-3</v>
      </c>
      <c r="H45" s="65">
        <v>2.9289519464877002E-3</v>
      </c>
      <c r="I45" s="65">
        <v>4.4669925778645595E-3</v>
      </c>
      <c r="J45" s="65">
        <v>5.6661841981021999E-3</v>
      </c>
      <c r="K45" s="65">
        <v>5.2953814705645787E-3</v>
      </c>
      <c r="L45" s="65">
        <v>4.8787131936527143E-3</v>
      </c>
      <c r="M45" s="65">
        <v>4.9257606733558107E-3</v>
      </c>
      <c r="N45" s="65">
        <v>4.6104788260472422E-3</v>
      </c>
      <c r="O45" s="65">
        <v>3.865358824117635E-3</v>
      </c>
      <c r="P45" s="65">
        <v>3.256120528539924E-3</v>
      </c>
      <c r="Q45" s="65">
        <v>3.943536447782634E-3</v>
      </c>
      <c r="R45" s="65">
        <v>3.9974919456038831E-3</v>
      </c>
      <c r="S45" s="65">
        <v>3.4800188650171864E-3</v>
      </c>
      <c r="T45" s="65">
        <v>3.0295323832218628E-3</v>
      </c>
      <c r="U45" s="65">
        <v>3.0295323832218628E-3</v>
      </c>
      <c r="V45" s="65">
        <v>3.0295323832218628E-3</v>
      </c>
      <c r="W45" s="65">
        <v>3.0295323832218628E-3</v>
      </c>
      <c r="X45" s="65">
        <v>3.0295323832218628E-3</v>
      </c>
      <c r="Y45" s="1923">
        <v>3.0295323832218628E-3</v>
      </c>
      <c r="Z45" s="4"/>
    </row>
    <row r="46" spans="1:26" ht="15.75" customHeight="1" x14ac:dyDescent="0.25">
      <c r="A46" s="4"/>
      <c r="B46" s="4"/>
      <c r="C46" s="1917" t="s">
        <v>1703</v>
      </c>
      <c r="D46" s="65">
        <v>-2.5395108342147296E-2</v>
      </c>
      <c r="E46" s="65">
        <v>-2.2608615093366553E-2</v>
      </c>
      <c r="F46" s="65">
        <v>-2.1147974186309624E-2</v>
      </c>
      <c r="G46" s="65">
        <v>-1.4353232569168654E-2</v>
      </c>
      <c r="H46" s="65">
        <v>-9.1704956045053892E-3</v>
      </c>
      <c r="I46" s="65">
        <v>-2.8546852635705591E-3</v>
      </c>
      <c r="J46" s="65">
        <v>2.8083753465007249E-3</v>
      </c>
      <c r="K46" s="65">
        <v>3.8484007471404312E-3</v>
      </c>
      <c r="L46" s="65">
        <v>4.5590710185136911E-3</v>
      </c>
      <c r="M46" s="65">
        <v>6.5286991073011226E-3</v>
      </c>
      <c r="N46" s="65">
        <v>7.315719497263444E-3</v>
      </c>
      <c r="O46" s="65">
        <v>6.6021497957980272E-3</v>
      </c>
      <c r="P46" s="65">
        <v>6.0363452112757159E-3</v>
      </c>
      <c r="Q46" s="65">
        <v>9.3031562327923895E-3</v>
      </c>
      <c r="R46" s="65">
        <v>1.0753737648278274E-2</v>
      </c>
      <c r="S46" s="65">
        <v>1.0387425866198669E-2</v>
      </c>
      <c r="T46" s="65">
        <v>1.0033592008174878E-2</v>
      </c>
      <c r="U46" s="65">
        <v>1.0033592008174878E-2</v>
      </c>
      <c r="V46" s="65">
        <v>1.0033592008174878E-2</v>
      </c>
      <c r="W46" s="65">
        <v>1.0033592008174878E-2</v>
      </c>
      <c r="X46" s="65">
        <v>1.0033592008174878E-2</v>
      </c>
      <c r="Y46" s="1923">
        <v>1.0033592008174878E-2</v>
      </c>
      <c r="Z46" s="4"/>
    </row>
    <row r="47" spans="1:26" ht="15.75" customHeight="1" x14ac:dyDescent="0.25">
      <c r="A47" s="4"/>
      <c r="B47" s="4"/>
      <c r="C47" s="1917" t="s">
        <v>1704</v>
      </c>
      <c r="D47" s="65">
        <v>-2.8943269211634402E-2</v>
      </c>
      <c r="E47" s="65">
        <v>-2.6108004961137226E-2</v>
      </c>
      <c r="F47" s="65">
        <v>-2.4624894393575229E-2</v>
      </c>
      <c r="G47" s="65">
        <v>-1.7638072369072232E-2</v>
      </c>
      <c r="H47" s="65">
        <v>-1.2280266641626668E-2</v>
      </c>
      <c r="I47" s="65">
        <v>-5.7313745488297629E-3</v>
      </c>
      <c r="J47" s="65">
        <v>1.7305357421219016E-4</v>
      </c>
      <c r="K47" s="65">
        <v>1.3381570567250944E-3</v>
      </c>
      <c r="L47" s="65">
        <v>2.1659620156317489E-3</v>
      </c>
      <c r="M47" s="65">
        <v>4.2914803358769411E-3</v>
      </c>
      <c r="N47" s="65">
        <v>5.2047495099729977E-3</v>
      </c>
      <c r="O47" s="65">
        <v>4.5724379816392685E-3</v>
      </c>
      <c r="P47" s="65">
        <v>4.0860259715620939E-3</v>
      </c>
      <c r="Q47" s="65">
        <v>7.543271100075799E-3</v>
      </c>
      <c r="R47" s="65">
        <v>9.141552573954867E-3</v>
      </c>
      <c r="S47" s="65">
        <v>8.8713788650932202E-3</v>
      </c>
      <c r="T47" s="65">
        <v>8.6091899960465523E-3</v>
      </c>
      <c r="U47" s="65">
        <v>8.6091899960465523E-3</v>
      </c>
      <c r="V47" s="65">
        <v>8.6091899960465523E-3</v>
      </c>
      <c r="W47" s="65">
        <v>8.6091899960465523E-3</v>
      </c>
      <c r="X47" s="65">
        <v>8.6091899960465523E-3</v>
      </c>
      <c r="Y47" s="1923">
        <v>8.6091899960465523E-3</v>
      </c>
      <c r="Z47" s="4"/>
    </row>
    <row r="48" spans="1:26" ht="15.75" customHeight="1" x14ac:dyDescent="0.25">
      <c r="A48" s="4"/>
      <c r="B48" s="4"/>
      <c r="C48" s="1917" t="s">
        <v>1705</v>
      </c>
      <c r="D48" s="65">
        <v>-7.3920110924625528E-3</v>
      </c>
      <c r="E48" s="65">
        <v>-5.6401119406536398E-3</v>
      </c>
      <c r="F48" s="65">
        <v>-5.5752811883770046E-3</v>
      </c>
      <c r="G48" s="65">
        <v>-4.984899191308215E-3</v>
      </c>
      <c r="H48" s="65">
        <v>-3.7295999554383457E-3</v>
      </c>
      <c r="I48" s="65">
        <v>-1.8082825577236011E-3</v>
      </c>
      <c r="J48" s="65">
        <v>-1.1608501966812242E-3</v>
      </c>
      <c r="K48" s="65">
        <v>-6.8138058169701582E-3</v>
      </c>
      <c r="L48" s="65">
        <v>-7.4134027135009427E-3</v>
      </c>
      <c r="M48" s="65">
        <v>-7.3441658917398622E-3</v>
      </c>
      <c r="N48" s="65">
        <v>-9.4360376117003843E-3</v>
      </c>
      <c r="O48" s="65">
        <v>-9.1474744082858019E-3</v>
      </c>
      <c r="P48" s="65">
        <v>-9.1698446830514504E-3</v>
      </c>
      <c r="Q48" s="65">
        <v>-8.5628402985856271E-3</v>
      </c>
      <c r="R48" s="65">
        <v>-1.1001947070758945E-2</v>
      </c>
      <c r="S48" s="65">
        <v>-9.4128169283633264E-3</v>
      </c>
      <c r="T48" s="65">
        <v>-8.0532220303410895E-3</v>
      </c>
      <c r="U48" s="65">
        <v>-8.0532220303410895E-3</v>
      </c>
      <c r="V48" s="65">
        <v>-8.0532220303410895E-3</v>
      </c>
      <c r="W48" s="65">
        <v>-8.0532220303410895E-3</v>
      </c>
      <c r="X48" s="65">
        <v>-8.0532220303410895E-3</v>
      </c>
      <c r="Y48" s="1923">
        <v>-8.0532220303410895E-3</v>
      </c>
      <c r="Z48" s="4"/>
    </row>
    <row r="49" spans="1:26" ht="15.75" customHeight="1" x14ac:dyDescent="0.25">
      <c r="A49" s="4"/>
      <c r="B49" s="4"/>
      <c r="C49" s="1949" t="s">
        <v>175</v>
      </c>
      <c r="D49" s="1947">
        <v>0</v>
      </c>
      <c r="E49" s="1947">
        <v>0</v>
      </c>
      <c r="F49" s="1947">
        <v>0</v>
      </c>
      <c r="G49" s="1947">
        <v>0</v>
      </c>
      <c r="H49" s="1947">
        <v>0</v>
      </c>
      <c r="I49" s="1947">
        <v>0</v>
      </c>
      <c r="J49" s="1947">
        <v>0</v>
      </c>
      <c r="K49" s="1947">
        <v>0</v>
      </c>
      <c r="L49" s="1947">
        <v>0</v>
      </c>
      <c r="M49" s="1947">
        <v>0</v>
      </c>
      <c r="N49" s="1947">
        <v>0</v>
      </c>
      <c r="O49" s="1947">
        <v>0</v>
      </c>
      <c r="P49" s="1947">
        <v>0</v>
      </c>
      <c r="Q49" s="1947">
        <v>0</v>
      </c>
      <c r="R49" s="1947">
        <v>0</v>
      </c>
      <c r="S49" s="1947">
        <v>0</v>
      </c>
      <c r="T49" s="1947">
        <v>1.0624976591432723E-2</v>
      </c>
      <c r="U49" s="1947">
        <v>1.0624976591432723E-2</v>
      </c>
      <c r="V49" s="1947">
        <v>1.0624976591432723E-2</v>
      </c>
      <c r="W49" s="1947">
        <v>1.0624976591432723E-2</v>
      </c>
      <c r="X49" s="1947">
        <v>1.0624976591432723E-2</v>
      </c>
      <c r="Y49" s="1948">
        <v>1.0624976591432723E-2</v>
      </c>
      <c r="Z49" s="4"/>
    </row>
    <row r="50" spans="1:26" ht="15.75" customHeight="1" x14ac:dyDescent="0.25">
      <c r="A50" s="4"/>
      <c r="B50" s="4"/>
      <c r="C50" s="1917" t="s">
        <v>1713</v>
      </c>
      <c r="D50" s="65">
        <v>0</v>
      </c>
      <c r="E50" s="65">
        <v>0</v>
      </c>
      <c r="F50" s="65">
        <v>0</v>
      </c>
      <c r="G50" s="65">
        <v>0</v>
      </c>
      <c r="H50" s="65">
        <v>0</v>
      </c>
      <c r="I50" s="65">
        <v>0</v>
      </c>
      <c r="J50" s="65">
        <v>0</v>
      </c>
      <c r="K50" s="65">
        <v>0</v>
      </c>
      <c r="L50" s="65">
        <v>0</v>
      </c>
      <c r="M50" s="65">
        <v>0</v>
      </c>
      <c r="N50" s="65">
        <v>0</v>
      </c>
      <c r="O50" s="65">
        <v>0</v>
      </c>
      <c r="P50" s="65">
        <v>0</v>
      </c>
      <c r="Q50" s="65">
        <v>0</v>
      </c>
      <c r="R50" s="65">
        <v>0</v>
      </c>
      <c r="S50" s="65">
        <v>0</v>
      </c>
      <c r="T50" s="65">
        <v>8.850678345752724E-3</v>
      </c>
      <c r="U50" s="65">
        <v>8.850678345752724E-3</v>
      </c>
      <c r="V50" s="65">
        <v>8.850678345752724E-3</v>
      </c>
      <c r="W50" s="65">
        <v>8.850678345752724E-3</v>
      </c>
      <c r="X50" s="65">
        <v>8.850678345752724E-3</v>
      </c>
      <c r="Y50" s="1923">
        <v>8.850678345752724E-3</v>
      </c>
      <c r="Z50" s="4"/>
    </row>
    <row r="51" spans="1:26" ht="15.75" customHeight="1" x14ac:dyDescent="0.25">
      <c r="A51" s="4"/>
      <c r="B51" s="4"/>
      <c r="C51" s="1917" t="s">
        <v>1714</v>
      </c>
      <c r="D51" s="65">
        <v>0</v>
      </c>
      <c r="E51" s="65">
        <v>0</v>
      </c>
      <c r="F51" s="65">
        <v>0</v>
      </c>
      <c r="G51" s="65">
        <v>0</v>
      </c>
      <c r="H51" s="65">
        <v>0</v>
      </c>
      <c r="I51" s="65">
        <v>0</v>
      </c>
      <c r="J51" s="65">
        <v>0</v>
      </c>
      <c r="K51" s="65">
        <v>0</v>
      </c>
      <c r="L51" s="65">
        <v>0</v>
      </c>
      <c r="M51" s="65">
        <v>0</v>
      </c>
      <c r="N51" s="65">
        <v>0</v>
      </c>
      <c r="O51" s="65">
        <v>0</v>
      </c>
      <c r="P51" s="65">
        <v>0</v>
      </c>
      <c r="Q51" s="65">
        <v>0</v>
      </c>
      <c r="R51" s="65">
        <v>0</v>
      </c>
      <c r="S51" s="65">
        <v>0</v>
      </c>
      <c r="T51" s="65">
        <v>1.7742982456799995E-3</v>
      </c>
      <c r="U51" s="65">
        <v>1.7742982456799995E-3</v>
      </c>
      <c r="V51" s="65">
        <v>1.7742982456799995E-3</v>
      </c>
      <c r="W51" s="65">
        <v>1.7742982456799995E-3</v>
      </c>
      <c r="X51" s="65">
        <v>1.7742982456799995E-3</v>
      </c>
      <c r="Y51" s="1923">
        <v>1.7742982456799995E-3</v>
      </c>
      <c r="Z51" s="4"/>
    </row>
    <row r="52" spans="1:26" ht="15.75" customHeight="1" x14ac:dyDescent="0.25">
      <c r="A52" s="4"/>
      <c r="B52" s="4"/>
      <c r="C52" s="1949" t="s">
        <v>1715</v>
      </c>
      <c r="D52" s="1947">
        <v>5.395579042883571E-3</v>
      </c>
      <c r="E52" s="1947">
        <v>7.0727730971459667E-3</v>
      </c>
      <c r="F52" s="1947">
        <v>7.7544282246006079E-3</v>
      </c>
      <c r="G52" s="1947">
        <v>6.7656207758096413E-3</v>
      </c>
      <c r="H52" s="1947">
        <v>7.0373293048434302E-3</v>
      </c>
      <c r="I52" s="1947">
        <v>7.8925271600101647E-3</v>
      </c>
      <c r="J52" s="1947">
        <v>7.8526600102765218E-3</v>
      </c>
      <c r="K52" s="1947">
        <v>7.6506249830179847E-3</v>
      </c>
      <c r="L52" s="1947">
        <v>6.5915344717427096E-3</v>
      </c>
      <c r="M52" s="1947">
        <v>7.8816520653446753E-3</v>
      </c>
      <c r="N52" s="1947">
        <v>9.9492855821310573E-3</v>
      </c>
      <c r="O52" s="1947">
        <v>7.6202481598533879E-3</v>
      </c>
      <c r="P52" s="1947">
        <v>7.1797315128365536E-3</v>
      </c>
      <c r="Q52" s="1947">
        <v>6.9854841176269535E-3</v>
      </c>
      <c r="R52" s="1947">
        <v>9.4637292650195052E-3</v>
      </c>
      <c r="S52" s="1947">
        <v>7.898887326431606E-3</v>
      </c>
      <c r="T52" s="1947">
        <v>6.2256190839223065E-3</v>
      </c>
      <c r="U52" s="1947">
        <v>6.2256190839223065E-3</v>
      </c>
      <c r="V52" s="1947">
        <v>6.2256190839223065E-3</v>
      </c>
      <c r="W52" s="1947">
        <v>6.2256190839223065E-3</v>
      </c>
      <c r="X52" s="1947">
        <v>6.2256190839223065E-3</v>
      </c>
      <c r="Y52" s="1948">
        <v>6.2256190839223065E-3</v>
      </c>
      <c r="Z52" s="4"/>
    </row>
    <row r="53" spans="1:26" ht="15.75" customHeight="1" x14ac:dyDescent="0.25">
      <c r="A53" s="4"/>
      <c r="B53" s="4"/>
      <c r="C53" s="1940" t="s">
        <v>222</v>
      </c>
      <c r="D53" s="1941">
        <f t="shared" ref="D53:Y53" si="0">SUM(D39,D42,D52,D43,D44,D49,D32)</f>
        <v>-0.76908183328440938</v>
      </c>
      <c r="E53" s="1941">
        <f t="shared" si="0"/>
        <v>-0.76597527254692466</v>
      </c>
      <c r="F53" s="1941">
        <f t="shared" si="0"/>
        <v>-0.76909129172393431</v>
      </c>
      <c r="G53" s="1941">
        <f t="shared" si="0"/>
        <v>-0.78132403862756616</v>
      </c>
      <c r="H53" s="1941">
        <f t="shared" si="0"/>
        <v>-0.77499111310660018</v>
      </c>
      <c r="I53" s="1941">
        <f t="shared" si="0"/>
        <v>-0.76535995885562191</v>
      </c>
      <c r="J53" s="1941">
        <f t="shared" si="0"/>
        <v>-0.75895964553537176</v>
      </c>
      <c r="K53" s="1941">
        <f t="shared" si="0"/>
        <v>-0.76977908523640592</v>
      </c>
      <c r="L53" s="1941">
        <f t="shared" si="0"/>
        <v>-0.77767251174281227</v>
      </c>
      <c r="M53" s="1941">
        <f t="shared" si="0"/>
        <v>-0.97834173164184657</v>
      </c>
      <c r="N53" s="1941">
        <f t="shared" si="0"/>
        <v>-1.3107525654962271</v>
      </c>
      <c r="O53" s="1941">
        <f t="shared" si="0"/>
        <v>-1.322466026534298</v>
      </c>
      <c r="P53" s="1941">
        <f t="shared" si="0"/>
        <v>-1.3318067569092444</v>
      </c>
      <c r="Q53" s="1941">
        <f t="shared" si="0"/>
        <v>-1.3313841868483252</v>
      </c>
      <c r="R53" s="1941">
        <f t="shared" si="0"/>
        <v>-1.3347332872509754</v>
      </c>
      <c r="S53" s="1941">
        <f t="shared" si="0"/>
        <v>-1.3440338714470428</v>
      </c>
      <c r="T53" s="1941">
        <f t="shared" si="0"/>
        <v>-1.1995724033264841</v>
      </c>
      <c r="U53" s="1941">
        <f t="shared" si="0"/>
        <v>-1.1995724033264841</v>
      </c>
      <c r="V53" s="1941">
        <f t="shared" si="0"/>
        <v>-1.1995724033264841</v>
      </c>
      <c r="W53" s="1941">
        <f t="shared" si="0"/>
        <v>-1.1995724033264841</v>
      </c>
      <c r="X53" s="1941">
        <f t="shared" si="0"/>
        <v>-1.1995724033264841</v>
      </c>
      <c r="Y53" s="1950">
        <f t="shared" si="0"/>
        <v>-1.1995724033264841</v>
      </c>
      <c r="Z53" s="4"/>
    </row>
    <row r="54" spans="1:26" ht="15.75" customHeight="1" x14ac:dyDescent="0.25">
      <c r="A54" s="4"/>
      <c r="B54" s="4"/>
      <c r="C54" s="1943" t="s">
        <v>1709</v>
      </c>
      <c r="D54" s="4"/>
      <c r="E54" s="4"/>
      <c r="F54" s="4"/>
      <c r="G54" s="4"/>
      <c r="H54" s="4"/>
      <c r="I54" s="4"/>
      <c r="J54" s="4"/>
      <c r="K54" s="4"/>
      <c r="L54" s="4"/>
      <c r="M54" s="4"/>
      <c r="N54" s="4"/>
      <c r="O54" s="4"/>
      <c r="P54" s="4"/>
      <c r="Q54" s="4"/>
      <c r="R54" s="4"/>
      <c r="S54" s="4"/>
      <c r="T54" s="4"/>
      <c r="U54" s="4"/>
      <c r="V54" s="4"/>
      <c r="W54" s="4"/>
      <c r="X54" s="4"/>
      <c r="Y54" s="912"/>
      <c r="Z54" s="4"/>
    </row>
    <row r="55" spans="1:26" ht="15.75" customHeight="1" x14ac:dyDescent="0.25">
      <c r="A55" s="4"/>
      <c r="B55" s="4"/>
      <c r="C55" s="1951" t="s">
        <v>1716</v>
      </c>
      <c r="D55" s="520"/>
      <c r="E55" s="520"/>
      <c r="F55" s="520"/>
      <c r="G55" s="520"/>
      <c r="H55" s="520"/>
      <c r="I55" s="520"/>
      <c r="J55" s="520"/>
      <c r="K55" s="520"/>
      <c r="L55" s="520"/>
      <c r="M55" s="520"/>
      <c r="N55" s="520"/>
      <c r="O55" s="520"/>
      <c r="P55" s="520"/>
      <c r="Q55" s="520"/>
      <c r="R55" s="520"/>
      <c r="S55" s="520"/>
      <c r="T55" s="520"/>
      <c r="U55" s="520"/>
      <c r="V55" s="520"/>
      <c r="W55" s="520"/>
      <c r="X55" s="520"/>
      <c r="Y55" s="979"/>
      <c r="Z55" s="4"/>
    </row>
    <row r="56" spans="1:26"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1917" t="s">
        <v>1717</v>
      </c>
      <c r="D58" s="65">
        <f t="shared" ref="D58:Y58" si="1">(D23/25)*$D$67</f>
        <v>5.2274968703999996E-4</v>
      </c>
      <c r="E58" s="65">
        <f t="shared" si="1"/>
        <v>5.2274968703999996E-4</v>
      </c>
      <c r="F58" s="65">
        <f t="shared" si="1"/>
        <v>5.2274968703999996E-4</v>
      </c>
      <c r="G58" s="65">
        <f t="shared" si="1"/>
        <v>5.2274968703999996E-4</v>
      </c>
      <c r="H58" s="65">
        <f t="shared" si="1"/>
        <v>5.2274968703999996E-4</v>
      </c>
      <c r="I58" s="65">
        <f t="shared" si="1"/>
        <v>5.2274968703999996E-4</v>
      </c>
      <c r="J58" s="65">
        <f t="shared" si="1"/>
        <v>5.2274968703999996E-4</v>
      </c>
      <c r="K58" s="65">
        <f t="shared" si="1"/>
        <v>5.2274968703999996E-4</v>
      </c>
      <c r="L58" s="65">
        <f t="shared" si="1"/>
        <v>5.2274968703999996E-4</v>
      </c>
      <c r="M58" s="65">
        <f t="shared" si="1"/>
        <v>5.2274968703999996E-4</v>
      </c>
      <c r="N58" s="65">
        <f t="shared" si="1"/>
        <v>5.2274968703999996E-4</v>
      </c>
      <c r="O58" s="65">
        <f t="shared" si="1"/>
        <v>5.2274968703999996E-4</v>
      </c>
      <c r="P58" s="65">
        <f t="shared" si="1"/>
        <v>5.2274968703999996E-4</v>
      </c>
      <c r="Q58" s="65">
        <f t="shared" si="1"/>
        <v>5.2274968703999996E-4</v>
      </c>
      <c r="R58" s="65">
        <f t="shared" si="1"/>
        <v>5.2274968703999996E-4</v>
      </c>
      <c r="S58" s="65">
        <f t="shared" si="1"/>
        <v>5.2274968703999996E-4</v>
      </c>
      <c r="T58" s="65">
        <f t="shared" si="1"/>
        <v>3.6346785739891189E-2</v>
      </c>
      <c r="U58" s="65">
        <f t="shared" si="1"/>
        <v>3.6346785739891189E-2</v>
      </c>
      <c r="V58" s="65">
        <f t="shared" si="1"/>
        <v>3.6346785739891189E-2</v>
      </c>
      <c r="W58" s="65">
        <f t="shared" si="1"/>
        <v>3.6346785739891189E-2</v>
      </c>
      <c r="X58" s="65">
        <f t="shared" si="1"/>
        <v>3.6346785739891189E-2</v>
      </c>
      <c r="Y58" s="65">
        <f t="shared" si="1"/>
        <v>5.0119410369490552E-2</v>
      </c>
      <c r="Z58" s="4"/>
    </row>
    <row r="59" spans="1:26" ht="15.75" customHeight="1" x14ac:dyDescent="0.25">
      <c r="A59" s="4"/>
      <c r="B59" s="4"/>
      <c r="C59" s="1917" t="s">
        <v>1718</v>
      </c>
      <c r="D59" s="65">
        <f t="shared" ref="D59:Y59" si="2">(D24/298)*$D$68</f>
        <v>8.3206151275167769E-5</v>
      </c>
      <c r="E59" s="65">
        <f t="shared" si="2"/>
        <v>8.3206151275167769E-5</v>
      </c>
      <c r="F59" s="65">
        <f t="shared" si="2"/>
        <v>8.3206151275167769E-5</v>
      </c>
      <c r="G59" s="65">
        <f t="shared" si="2"/>
        <v>8.3206151275167769E-5</v>
      </c>
      <c r="H59" s="65">
        <f t="shared" si="2"/>
        <v>8.3206151275167769E-5</v>
      </c>
      <c r="I59" s="65">
        <f t="shared" si="2"/>
        <v>8.3206151275167769E-5</v>
      </c>
      <c r="J59" s="65">
        <f t="shared" si="2"/>
        <v>8.3206151275167769E-5</v>
      </c>
      <c r="K59" s="65">
        <f t="shared" si="2"/>
        <v>8.3206151275167769E-5</v>
      </c>
      <c r="L59" s="65">
        <f t="shared" si="2"/>
        <v>8.3206151275167769E-5</v>
      </c>
      <c r="M59" s="65">
        <f t="shared" si="2"/>
        <v>8.3206151275167769E-5</v>
      </c>
      <c r="N59" s="65">
        <f t="shared" si="2"/>
        <v>8.3206151275167769E-5</v>
      </c>
      <c r="O59" s="65">
        <f t="shared" si="2"/>
        <v>8.3206151275167769E-5</v>
      </c>
      <c r="P59" s="65">
        <f t="shared" si="2"/>
        <v>8.3206151275167769E-5</v>
      </c>
      <c r="Q59" s="65">
        <f t="shared" si="2"/>
        <v>8.3206151275167769E-5</v>
      </c>
      <c r="R59" s="65">
        <f t="shared" si="2"/>
        <v>8.3206151275167769E-5</v>
      </c>
      <c r="S59" s="65">
        <f t="shared" si="2"/>
        <v>8.3206151275167769E-5</v>
      </c>
      <c r="T59" s="65">
        <f t="shared" si="2"/>
        <v>5.7853236981624144E-3</v>
      </c>
      <c r="U59" s="65">
        <f t="shared" si="2"/>
        <v>5.7853236981624144E-3</v>
      </c>
      <c r="V59" s="65">
        <f t="shared" si="2"/>
        <v>5.7853236981624144E-3</v>
      </c>
      <c r="W59" s="65">
        <f t="shared" si="2"/>
        <v>5.7853236981624144E-3</v>
      </c>
      <c r="X59" s="65">
        <f t="shared" si="2"/>
        <v>5.7853236981624144E-3</v>
      </c>
      <c r="Y59" s="65">
        <f t="shared" si="2"/>
        <v>7.9775145627336234E-3</v>
      </c>
      <c r="Z59" s="4"/>
    </row>
    <row r="60" spans="1:26" ht="15.75" customHeight="1" x14ac:dyDescent="0.25">
      <c r="A60" s="4"/>
      <c r="B60" s="4"/>
      <c r="C60" s="1937" t="s">
        <v>1719</v>
      </c>
      <c r="D60" s="1938">
        <f t="shared" ref="D60:Y60" si="3">(D25/298)*$D$68</f>
        <v>1.7592967460856385E-2</v>
      </c>
      <c r="E60" s="1938">
        <f t="shared" si="3"/>
        <v>2.3061670669105694E-2</v>
      </c>
      <c r="F60" s="1938">
        <f t="shared" si="3"/>
        <v>2.5284293372159698E-2</v>
      </c>
      <c r="G60" s="1938">
        <f t="shared" si="3"/>
        <v>2.2060161701884903E-2</v>
      </c>
      <c r="H60" s="1938">
        <f t="shared" si="3"/>
        <v>2.294610170427136E-2</v>
      </c>
      <c r="I60" s="1938">
        <f t="shared" si="3"/>
        <v>2.573458240652084E-2</v>
      </c>
      <c r="J60" s="1938">
        <f t="shared" si="3"/>
        <v>2.5604590525677918E-2</v>
      </c>
      <c r="K60" s="1938">
        <f t="shared" si="3"/>
        <v>2.4945829782435602E-2</v>
      </c>
      <c r="L60" s="1938">
        <f t="shared" si="3"/>
        <v>2.1492531303277402E-2</v>
      </c>
      <c r="M60" s="1938">
        <f t="shared" si="3"/>
        <v>2.5699122785771508E-2</v>
      </c>
      <c r="N60" s="1938">
        <f t="shared" si="3"/>
        <v>3.244090321242956E-2</v>
      </c>
      <c r="O60" s="1938">
        <f t="shared" si="3"/>
        <v>2.4846782310931348E-2</v>
      </c>
      <c r="P60" s="1938">
        <f t="shared" si="3"/>
        <v>2.3410422102817175E-2</v>
      </c>
      <c r="Q60" s="1938">
        <f t="shared" si="3"/>
        <v>2.2777053918213164E-2</v>
      </c>
      <c r="R60" s="1938">
        <f t="shared" si="3"/>
        <v>3.0857685467037873E-2</v>
      </c>
      <c r="S60" s="1938">
        <f t="shared" si="3"/>
        <v>2.5755320533051598E-2</v>
      </c>
      <c r="T60" s="1938">
        <f t="shared" si="3"/>
        <v>2.0299417930238841E-2</v>
      </c>
      <c r="U60" s="1938">
        <f t="shared" si="3"/>
        <v>2.0299417930238841E-2</v>
      </c>
      <c r="V60" s="1938">
        <f t="shared" si="3"/>
        <v>2.0299417930238841E-2</v>
      </c>
      <c r="W60" s="1938">
        <f t="shared" si="3"/>
        <v>2.0299417930238841E-2</v>
      </c>
      <c r="X60" s="1938">
        <f t="shared" si="3"/>
        <v>2.0299417930238841E-2</v>
      </c>
      <c r="Y60" s="1938">
        <f t="shared" si="3"/>
        <v>3.7652660930009581E-2</v>
      </c>
      <c r="Z60" s="4"/>
    </row>
    <row r="61" spans="1:2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2146" t="s">
        <v>0</v>
      </c>
      <c r="D64" s="2147"/>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1599"/>
      <c r="D65" s="1599"/>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1601" t="s">
        <v>4</v>
      </c>
      <c r="D66" s="125">
        <f>'Summ GHG Rpt Expanded'!G4</f>
        <v>1</v>
      </c>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1601" t="s">
        <v>5</v>
      </c>
      <c r="D67" s="125">
        <f>'Summ GHG Rpt Expanded'!G5</f>
        <v>28</v>
      </c>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1601" t="s">
        <v>6</v>
      </c>
      <c r="D68" s="125">
        <f>'Summ GHG Rpt Expanded'!G6</f>
        <v>265</v>
      </c>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1601" t="s">
        <v>7</v>
      </c>
      <c r="D69" s="129">
        <f>'Summ GHG Rpt Expanded'!G7</f>
        <v>23500</v>
      </c>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1601" t="s">
        <v>8</v>
      </c>
      <c r="D70" s="129">
        <f>'Summ GHG Rpt Expanded'!G8</f>
        <v>11100</v>
      </c>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WH5XMFTosCvFTBOyWhfpLgHii4JYoW/VC/to2sV6yp9gIQ+XLdgyxlh10B/8VUC2FqtfPkOmac/1TUMokNzwug==" saltValue="nd91VSpKOxbAnQGZKsYcLA==" spinCount="100000" sheet="1" objects="1" scenarios="1"/>
  <mergeCells count="1">
    <mergeCell ref="C64:D64"/>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AB1000"/>
  <sheetViews>
    <sheetView workbookViewId="0"/>
  </sheetViews>
  <sheetFormatPr defaultColWidth="16.83203125" defaultRowHeight="15" customHeight="1" x14ac:dyDescent="0.2"/>
  <cols>
    <col min="1" max="2" width="8" customWidth="1"/>
    <col min="3" max="3" width="62" customWidth="1"/>
    <col min="4" max="4" width="14.5" customWidth="1"/>
    <col min="5" max="5" width="16.6640625" customWidth="1"/>
    <col min="6" max="6" width="15.1640625" customWidth="1"/>
    <col min="7" max="7" width="12" customWidth="1"/>
    <col min="8" max="8" width="36.1640625" customWidth="1"/>
    <col min="9" max="15" width="11.1640625" customWidth="1"/>
    <col min="16" max="16" width="11.5" customWidth="1"/>
    <col min="17" max="23" width="11.1640625" customWidth="1"/>
    <col min="24" max="24" width="13.1640625" customWidth="1"/>
    <col min="25" max="36" width="8" customWidth="1"/>
  </cols>
  <sheetData>
    <row r="1" spans="2:9" ht="15.75" customHeight="1" x14ac:dyDescent="0.25">
      <c r="I1" s="1952" t="s">
        <v>1720</v>
      </c>
    </row>
    <row r="2" spans="2:9" ht="12" customHeight="1" x14ac:dyDescent="0.2"/>
    <row r="3" spans="2:9" ht="18.75" customHeight="1" x14ac:dyDescent="0.35">
      <c r="B3" s="2214" t="s">
        <v>1721</v>
      </c>
      <c r="C3" s="2200"/>
      <c r="D3" s="6">
        <v>2006</v>
      </c>
      <c r="E3" s="6">
        <v>2011</v>
      </c>
      <c r="F3" s="1953">
        <v>2020</v>
      </c>
    </row>
    <row r="4" spans="2:9" ht="18" customHeight="1" x14ac:dyDescent="0.35">
      <c r="B4" s="2215" t="s">
        <v>1722</v>
      </c>
      <c r="C4" s="2144"/>
      <c r="D4" s="1954">
        <v>95.759950025284567</v>
      </c>
      <c r="E4" s="7">
        <v>90.966191245433336</v>
      </c>
      <c r="F4" s="1955">
        <v>125.34260748462694</v>
      </c>
    </row>
    <row r="5" spans="2:9" ht="17.25" customHeight="1" x14ac:dyDescent="0.25">
      <c r="B5" s="8" t="s">
        <v>1723</v>
      </c>
      <c r="C5" s="9"/>
      <c r="D5" s="54">
        <v>42.475674553317035</v>
      </c>
      <c r="E5" s="10">
        <v>37.860129294372811</v>
      </c>
      <c r="F5" s="172">
        <v>58.792780404291136</v>
      </c>
      <c r="G5" s="1956"/>
    </row>
    <row r="6" spans="2:9" ht="15" customHeight="1" x14ac:dyDescent="0.25">
      <c r="B6" s="11"/>
      <c r="C6" s="12" t="s">
        <v>12</v>
      </c>
      <c r="D6" s="1954">
        <v>32.164847642882265</v>
      </c>
      <c r="E6" s="13">
        <v>24.55109638553953</v>
      </c>
      <c r="F6" s="1955">
        <v>42.876074662365383</v>
      </c>
    </row>
    <row r="7" spans="2:9" ht="15" customHeight="1" x14ac:dyDescent="0.25">
      <c r="B7" s="14"/>
      <c r="C7" s="15" t="s">
        <v>13</v>
      </c>
      <c r="D7" s="1954">
        <v>28.277691054483199</v>
      </c>
      <c r="E7" s="16">
        <v>21.931503322661907</v>
      </c>
      <c r="F7" s="1955">
        <v>33.788987335979449</v>
      </c>
    </row>
    <row r="8" spans="2:9" ht="18" customHeight="1" x14ac:dyDescent="0.35">
      <c r="B8" s="14"/>
      <c r="C8" s="17" t="s">
        <v>1724</v>
      </c>
      <c r="D8" s="86">
        <v>28.130573867498466</v>
      </c>
      <c r="E8" s="18">
        <v>21.847712881476784</v>
      </c>
      <c r="F8" s="48">
        <v>33.613197142984042</v>
      </c>
    </row>
    <row r="9" spans="2:9" ht="18" customHeight="1" x14ac:dyDescent="0.35">
      <c r="B9" s="14"/>
      <c r="C9" s="17" t="s">
        <v>1725</v>
      </c>
      <c r="D9" s="86">
        <v>6.3569154869947851E-3</v>
      </c>
      <c r="E9" s="18">
        <v>8.7823035842036039E-3</v>
      </c>
      <c r="F9" s="48">
        <v>7.5958725368387037E-3</v>
      </c>
    </row>
    <row r="10" spans="2:9" ht="18" customHeight="1" x14ac:dyDescent="0.35">
      <c r="B10" s="14"/>
      <c r="C10" s="17" t="s">
        <v>1726</v>
      </c>
      <c r="D10" s="86">
        <v>0.14076027149774165</v>
      </c>
      <c r="E10" s="18">
        <v>7.5008137600917041E-2</v>
      </c>
      <c r="F10" s="48">
        <v>0.16819432045857127</v>
      </c>
    </row>
    <row r="11" spans="2:9" ht="15" customHeight="1" x14ac:dyDescent="0.25">
      <c r="B11" s="14"/>
      <c r="C11" s="15" t="s">
        <v>17</v>
      </c>
      <c r="D11" s="1954">
        <v>3.6498808125927029</v>
      </c>
      <c r="E11" s="16">
        <v>2.4188260648040507</v>
      </c>
      <c r="F11" s="1955">
        <v>8.4483296990229935</v>
      </c>
    </row>
    <row r="12" spans="2:9" ht="18" customHeight="1" x14ac:dyDescent="0.35">
      <c r="B12" s="14"/>
      <c r="C12" s="17" t="s">
        <v>1727</v>
      </c>
      <c r="D12" s="86">
        <v>3.6484130104806791</v>
      </c>
      <c r="E12" s="18">
        <v>2.4133302497043454</v>
      </c>
      <c r="F12" s="48">
        <v>8.4449321973477289</v>
      </c>
    </row>
    <row r="13" spans="2:9" ht="18" customHeight="1" x14ac:dyDescent="0.35">
      <c r="B13" s="14"/>
      <c r="C13" s="17" t="s">
        <v>1728</v>
      </c>
      <c r="D13" s="86">
        <v>5.9276623754803105E-4</v>
      </c>
      <c r="E13" s="18">
        <v>8.7859147150217472E-4</v>
      </c>
      <c r="F13" s="48">
        <v>1.3720679842413213E-3</v>
      </c>
    </row>
    <row r="14" spans="2:9" ht="18" customHeight="1" x14ac:dyDescent="0.35">
      <c r="B14" s="14"/>
      <c r="C14" s="17" t="s">
        <v>1729</v>
      </c>
      <c r="D14" s="86">
        <v>8.7503587447566498E-4</v>
      </c>
      <c r="E14" s="18">
        <v>4.6172236282033714E-3</v>
      </c>
      <c r="F14" s="48">
        <v>2.0254336910229031E-3</v>
      </c>
    </row>
    <row r="15" spans="2:9" ht="15" customHeight="1" x14ac:dyDescent="0.25">
      <c r="B15" s="14"/>
      <c r="C15" s="15" t="s">
        <v>21</v>
      </c>
      <c r="D15" s="1954">
        <v>0.23727577580636292</v>
      </c>
      <c r="E15" s="16">
        <v>0.19606179478813007</v>
      </c>
      <c r="F15" s="1955">
        <v>0.63875762736294017</v>
      </c>
    </row>
    <row r="16" spans="2:9" ht="18" customHeight="1" x14ac:dyDescent="0.35">
      <c r="B16" s="14"/>
      <c r="C16" s="17" t="s">
        <v>1730</v>
      </c>
      <c r="D16" s="86">
        <v>0.23657260855402951</v>
      </c>
      <c r="E16" s="18">
        <v>0.1946277957923413</v>
      </c>
      <c r="F16" s="48">
        <v>0.63687802594508114</v>
      </c>
    </row>
    <row r="17" spans="2:9" ht="18" customHeight="1" x14ac:dyDescent="0.35">
      <c r="B17" s="14"/>
      <c r="C17" s="17" t="s">
        <v>1731</v>
      </c>
      <c r="D17" s="86">
        <v>1.7790978673495471E-4</v>
      </c>
      <c r="E17" s="18">
        <v>1.0093170237830259E-4</v>
      </c>
      <c r="F17" s="48">
        <v>4.7556180451855236E-4</v>
      </c>
    </row>
    <row r="18" spans="2:9" ht="18" customHeight="1" x14ac:dyDescent="0.35">
      <c r="B18" s="14"/>
      <c r="C18" s="17" t="s">
        <v>1732</v>
      </c>
      <c r="D18" s="86">
        <v>5.2525746559843763E-4</v>
      </c>
      <c r="E18" s="18">
        <v>1.3330672934104781E-3</v>
      </c>
      <c r="F18" s="48">
        <v>1.4040396133404858E-3</v>
      </c>
    </row>
    <row r="19" spans="2:9" ht="15" customHeight="1" x14ac:dyDescent="0.25">
      <c r="B19" s="14"/>
      <c r="C19" s="15" t="s">
        <v>25</v>
      </c>
      <c r="D19" s="1954">
        <v>0</v>
      </c>
      <c r="E19" s="19">
        <v>4.7052032854445229E-3</v>
      </c>
      <c r="F19" s="1955">
        <v>0</v>
      </c>
    </row>
    <row r="20" spans="2:9" ht="18" customHeight="1" x14ac:dyDescent="0.35">
      <c r="B20" s="14"/>
      <c r="C20" s="17" t="s">
        <v>1733</v>
      </c>
      <c r="D20" s="86">
        <v>0</v>
      </c>
      <c r="E20" s="20">
        <v>4.6682246945562601E-3</v>
      </c>
      <c r="F20" s="48">
        <v>0</v>
      </c>
    </row>
    <row r="21" spans="2:9" ht="18" customHeight="1" x14ac:dyDescent="0.35">
      <c r="B21" s="14"/>
      <c r="C21" s="17" t="s">
        <v>1734</v>
      </c>
      <c r="D21" s="86">
        <v>0</v>
      </c>
      <c r="E21" s="20">
        <v>1.165272220521636E-5</v>
      </c>
      <c r="F21" s="48">
        <v>0</v>
      </c>
    </row>
    <row r="22" spans="2:9" ht="18" customHeight="1" x14ac:dyDescent="0.35">
      <c r="B22" s="14"/>
      <c r="C22" s="17" t="s">
        <v>1735</v>
      </c>
      <c r="D22" s="86">
        <v>0</v>
      </c>
      <c r="E22" s="20">
        <v>2.5325868683045963E-5</v>
      </c>
      <c r="F22" s="48">
        <v>0</v>
      </c>
      <c r="I22" s="1952" t="s">
        <v>1736</v>
      </c>
    </row>
    <row r="23" spans="2:9" ht="15" customHeight="1" x14ac:dyDescent="0.25">
      <c r="B23" s="14"/>
      <c r="C23" s="15" t="s">
        <v>29</v>
      </c>
      <c r="D23" s="86"/>
      <c r="E23" s="18"/>
      <c r="F23" s="48"/>
    </row>
    <row r="24" spans="2:9" ht="15" customHeight="1" x14ac:dyDescent="0.25">
      <c r="B24" s="21"/>
      <c r="C24" s="22" t="s">
        <v>30</v>
      </c>
      <c r="D24" s="86">
        <v>10.310826910434773</v>
      </c>
      <c r="E24" s="18">
        <v>13.309032908833277</v>
      </c>
      <c r="F24" s="48">
        <v>15.916705741925753</v>
      </c>
    </row>
    <row r="25" spans="2:9" ht="15" customHeight="1" x14ac:dyDescent="0.25">
      <c r="B25" s="8" t="s">
        <v>31</v>
      </c>
      <c r="C25" s="9"/>
      <c r="D25" s="1957">
        <v>16.870796954329833</v>
      </c>
      <c r="E25" s="23">
        <v>17.000425590955349</v>
      </c>
      <c r="F25" s="1958">
        <v>18.84224894318902</v>
      </c>
    </row>
    <row r="26" spans="2:9" ht="15" customHeight="1" x14ac:dyDescent="0.25">
      <c r="B26" s="11"/>
      <c r="C26" s="24" t="s">
        <v>32</v>
      </c>
      <c r="D26" s="1954">
        <v>2.9977886922530943</v>
      </c>
      <c r="E26" s="19">
        <v>2.9565234962334581</v>
      </c>
      <c r="F26" s="1955">
        <v>4.197594934024055</v>
      </c>
    </row>
    <row r="27" spans="2:9" ht="18" customHeight="1" x14ac:dyDescent="0.35">
      <c r="B27" s="14"/>
      <c r="C27" s="17" t="s">
        <v>1737</v>
      </c>
      <c r="D27" s="86">
        <v>2.9761269853411139</v>
      </c>
      <c r="E27" s="18">
        <v>2.9357259289580111</v>
      </c>
      <c r="F27" s="48">
        <v>4.1674057464580709</v>
      </c>
    </row>
    <row r="28" spans="2:9" ht="18" customHeight="1" x14ac:dyDescent="0.35">
      <c r="B28" s="14"/>
      <c r="C28" s="17" t="s">
        <v>1738</v>
      </c>
      <c r="D28" s="86">
        <v>7.1348289907982405E-3</v>
      </c>
      <c r="E28" s="18">
        <v>6.4703542634723527E-3</v>
      </c>
      <c r="F28" s="48">
        <v>9.8491359212319104E-3</v>
      </c>
    </row>
    <row r="29" spans="2:9" ht="18" customHeight="1" x14ac:dyDescent="0.35">
      <c r="B29" s="14"/>
      <c r="C29" s="17" t="s">
        <v>1739</v>
      </c>
      <c r="D29" s="86">
        <v>1.4526877921181814E-2</v>
      </c>
      <c r="E29" s="18">
        <v>1.4327213011974494E-2</v>
      </c>
      <c r="F29" s="48">
        <v>2.0340051644752919E-2</v>
      </c>
    </row>
    <row r="30" spans="2:9" ht="15" customHeight="1" x14ac:dyDescent="0.25">
      <c r="B30" s="14"/>
      <c r="C30" s="17" t="s">
        <v>36</v>
      </c>
      <c r="D30" s="1954">
        <v>9.2104147103389131</v>
      </c>
      <c r="E30" s="19">
        <v>9.9817454474748253</v>
      </c>
      <c r="F30" s="1955">
        <v>9.9965876161581342</v>
      </c>
    </row>
    <row r="31" spans="2:9" ht="18" customHeight="1" x14ac:dyDescent="0.35">
      <c r="B31" s="14"/>
      <c r="C31" s="17" t="s">
        <v>1740</v>
      </c>
      <c r="D31" s="86">
        <v>9.1880239703649558</v>
      </c>
      <c r="E31" s="18">
        <v>9.956569199153952</v>
      </c>
      <c r="F31" s="48">
        <v>9.9716848670661307</v>
      </c>
    </row>
    <row r="32" spans="2:9" ht="18" customHeight="1" x14ac:dyDescent="0.35">
      <c r="B32" s="14"/>
      <c r="C32" s="17" t="s">
        <v>1741</v>
      </c>
      <c r="D32" s="86">
        <v>1.6000535456314961E-2</v>
      </c>
      <c r="E32" s="18">
        <v>1.7805969765862278E-2</v>
      </c>
      <c r="F32" s="48">
        <v>1.7922089094710016E-2</v>
      </c>
    </row>
    <row r="33" spans="2:9" ht="18" customHeight="1" x14ac:dyDescent="0.35">
      <c r="B33" s="14"/>
      <c r="C33" s="17" t="s">
        <v>1742</v>
      </c>
      <c r="D33" s="86">
        <v>6.3902045176420985E-3</v>
      </c>
      <c r="E33" s="18">
        <v>7.3702785550122255E-3</v>
      </c>
      <c r="F33" s="48">
        <v>6.9806599972935838E-3</v>
      </c>
    </row>
    <row r="34" spans="2:9" ht="15" customHeight="1" x14ac:dyDescent="0.25">
      <c r="B34" s="14"/>
      <c r="C34" s="17" t="s">
        <v>40</v>
      </c>
      <c r="D34" s="1954">
        <v>4.5765247180938387</v>
      </c>
      <c r="E34" s="19">
        <v>3.9512819473900591</v>
      </c>
      <c r="F34" s="1955">
        <v>4.5565816085388926</v>
      </c>
    </row>
    <row r="35" spans="2:9" ht="18" customHeight="1" x14ac:dyDescent="0.35">
      <c r="B35" s="14"/>
      <c r="C35" s="17" t="s">
        <v>1743</v>
      </c>
      <c r="D35" s="86">
        <v>4.5574772247834741</v>
      </c>
      <c r="E35" s="18">
        <v>3.9357243119608962</v>
      </c>
      <c r="F35" s="48">
        <v>4.5275020179792955</v>
      </c>
    </row>
    <row r="36" spans="2:9" ht="18" customHeight="1" x14ac:dyDescent="0.35">
      <c r="B36" s="14"/>
      <c r="C36" s="17" t="s">
        <v>1744</v>
      </c>
      <c r="D36" s="86">
        <v>8.5088482807772082E-3</v>
      </c>
      <c r="E36" s="18">
        <v>6.6581660710486584E-3</v>
      </c>
      <c r="F36" s="48">
        <v>9.2149143569085455E-3</v>
      </c>
    </row>
    <row r="37" spans="2:9" ht="18" customHeight="1" x14ac:dyDescent="0.35">
      <c r="B37" s="14"/>
      <c r="C37" s="17" t="s">
        <v>1745</v>
      </c>
      <c r="D37" s="86">
        <v>1.0538645029587863E-2</v>
      </c>
      <c r="E37" s="18">
        <v>8.8994693581140073E-3</v>
      </c>
      <c r="F37" s="48">
        <v>1.9864676202688399E-2</v>
      </c>
    </row>
    <row r="38" spans="2:9" ht="15" customHeight="1" x14ac:dyDescent="0.25">
      <c r="B38" s="14"/>
      <c r="C38" s="17" t="s">
        <v>44</v>
      </c>
      <c r="D38" s="1954">
        <v>8.6068833643987333E-2</v>
      </c>
      <c r="E38" s="19">
        <v>0.11087469985700518</v>
      </c>
      <c r="F38" s="1955">
        <v>9.1484784467937327E-2</v>
      </c>
    </row>
    <row r="39" spans="2:9" ht="18" customHeight="1" x14ac:dyDescent="0.35">
      <c r="B39" s="14"/>
      <c r="C39" s="17" t="s">
        <v>1746</v>
      </c>
      <c r="D39" s="86">
        <v>0</v>
      </c>
      <c r="E39" s="20">
        <v>0</v>
      </c>
      <c r="F39" s="48">
        <v>0</v>
      </c>
    </row>
    <row r="40" spans="2:9" ht="18" customHeight="1" x14ac:dyDescent="0.35">
      <c r="B40" s="14"/>
      <c r="C40" s="17" t="s">
        <v>1747</v>
      </c>
      <c r="D40" s="86">
        <v>6.1142771997801576E-2</v>
      </c>
      <c r="E40" s="18">
        <v>8.1869158886662644E-2</v>
      </c>
      <c r="F40" s="48">
        <v>6.7513097504323313E-2</v>
      </c>
    </row>
    <row r="41" spans="2:9" ht="18" customHeight="1" x14ac:dyDescent="0.35">
      <c r="B41" s="21"/>
      <c r="C41" s="25" t="s">
        <v>1748</v>
      </c>
      <c r="D41" s="86">
        <v>2.4926061646185754E-2</v>
      </c>
      <c r="E41" s="18">
        <v>2.9005540970342532E-2</v>
      </c>
      <c r="F41" s="48">
        <v>2.3971686963614021E-2</v>
      </c>
    </row>
    <row r="42" spans="2:9" ht="15" customHeight="1" x14ac:dyDescent="0.25">
      <c r="B42" s="8" t="s">
        <v>48</v>
      </c>
      <c r="C42" s="9"/>
      <c r="D42" s="1959">
        <v>35.471593879185441</v>
      </c>
      <c r="E42" s="23">
        <v>35.269544157212074</v>
      </c>
      <c r="F42" s="1960">
        <v>46.78388945370331</v>
      </c>
    </row>
    <row r="43" spans="2:9" ht="15" customHeight="1" x14ac:dyDescent="0.25">
      <c r="B43" s="11"/>
      <c r="C43" s="24" t="s">
        <v>49</v>
      </c>
      <c r="D43" s="1954">
        <v>23.759499999999999</v>
      </c>
      <c r="E43" s="19">
        <v>22.526256286619397</v>
      </c>
      <c r="F43" s="1955">
        <v>30.709353745791244</v>
      </c>
    </row>
    <row r="44" spans="2:9" ht="18" customHeight="1" x14ac:dyDescent="0.35">
      <c r="B44" s="14"/>
      <c r="C44" s="17" t="s">
        <v>1749</v>
      </c>
      <c r="D44" s="86">
        <v>23.195</v>
      </c>
      <c r="E44" s="18">
        <v>22.519055143367485</v>
      </c>
      <c r="F44" s="48">
        <v>29.979732744107743</v>
      </c>
    </row>
    <row r="45" spans="2:9" ht="19.5" customHeight="1" x14ac:dyDescent="0.35">
      <c r="B45" s="14"/>
      <c r="C45" s="17" t="s">
        <v>1750</v>
      </c>
      <c r="D45" s="86">
        <v>4.6199999999999998E-2</v>
      </c>
      <c r="E45" s="18">
        <v>6.3658375800336757E-3</v>
      </c>
      <c r="F45" s="48">
        <v>5.9713888888888879E-2</v>
      </c>
      <c r="I45" s="1961" t="s">
        <v>1751</v>
      </c>
    </row>
    <row r="46" spans="2:9" ht="18" customHeight="1" x14ac:dyDescent="0.35">
      <c r="B46" s="14"/>
      <c r="C46" s="17" t="s">
        <v>1752</v>
      </c>
      <c r="D46" s="86">
        <v>0.51829999999999998</v>
      </c>
      <c r="E46" s="18">
        <v>8.3530567187743471E-4</v>
      </c>
      <c r="F46" s="48">
        <v>0.66990711279461268</v>
      </c>
    </row>
    <row r="47" spans="2:9" ht="15" customHeight="1" x14ac:dyDescent="0.25">
      <c r="B47" s="14"/>
      <c r="C47" s="17" t="s">
        <v>53</v>
      </c>
      <c r="D47" s="1954">
        <v>1.0441175460536907</v>
      </c>
      <c r="E47" s="19">
        <v>2.7366303275114334</v>
      </c>
      <c r="F47" s="1955">
        <v>1.0638304392432043</v>
      </c>
    </row>
    <row r="48" spans="2:9" ht="18" customHeight="1" x14ac:dyDescent="0.35">
      <c r="B48" s="14"/>
      <c r="C48" s="17" t="s">
        <v>1753</v>
      </c>
      <c r="D48" s="86">
        <v>1.0395505155055149</v>
      </c>
      <c r="E48" s="18">
        <v>2.7318932899032262</v>
      </c>
      <c r="F48" s="48">
        <v>1.0590100762313017</v>
      </c>
    </row>
    <row r="49" spans="2:6" ht="18" customHeight="1" x14ac:dyDescent="0.35">
      <c r="B49" s="14"/>
      <c r="C49" s="17" t="s">
        <v>1754</v>
      </c>
      <c r="D49" s="86">
        <v>9.2045473829539511E-4</v>
      </c>
      <c r="E49" s="18">
        <v>9.4504836825138586E-4</v>
      </c>
      <c r="F49" s="48">
        <v>9.9654921398846237E-4</v>
      </c>
    </row>
    <row r="50" spans="2:6" ht="18" customHeight="1" x14ac:dyDescent="0.35">
      <c r="B50" s="14"/>
      <c r="C50" s="17" t="s">
        <v>1755</v>
      </c>
      <c r="D50" s="86">
        <v>3.6465758098802653E-3</v>
      </c>
      <c r="E50" s="18">
        <v>3.7919892399557601E-3</v>
      </c>
      <c r="F50" s="48">
        <v>3.8238137979139937E-3</v>
      </c>
    </row>
    <row r="51" spans="2:6" ht="15" customHeight="1" x14ac:dyDescent="0.25">
      <c r="B51" s="14"/>
      <c r="C51" s="17" t="s">
        <v>57</v>
      </c>
      <c r="D51" s="1954">
        <v>5.9103000000000003</v>
      </c>
      <c r="E51" s="19">
        <v>5.7208194133124737</v>
      </c>
      <c r="F51" s="1955">
        <v>7.880399999999999</v>
      </c>
    </row>
    <row r="52" spans="2:6" ht="18" customHeight="1" x14ac:dyDescent="0.35">
      <c r="B52" s="14"/>
      <c r="C52" s="17" t="s">
        <v>1756</v>
      </c>
      <c r="D52" s="86">
        <v>5.907</v>
      </c>
      <c r="E52" s="18">
        <v>5.720528738777328</v>
      </c>
      <c r="F52" s="48">
        <v>7.8759999999999994</v>
      </c>
    </row>
    <row r="53" spans="2:6" ht="18" customHeight="1" x14ac:dyDescent="0.35">
      <c r="B53" s="14"/>
      <c r="C53" s="17" t="s">
        <v>1757</v>
      </c>
      <c r="D53" s="86">
        <v>2.9999999999999997E-4</v>
      </c>
      <c r="E53" s="18">
        <v>8.1483343282146977E-5</v>
      </c>
      <c r="F53" s="48">
        <v>3.9999999999999996E-4</v>
      </c>
    </row>
    <row r="54" spans="2:6" ht="18" customHeight="1" x14ac:dyDescent="0.35">
      <c r="B54" s="14"/>
      <c r="C54" s="17" t="s">
        <v>1758</v>
      </c>
      <c r="D54" s="86">
        <v>3.0000000000000001E-3</v>
      </c>
      <c r="E54" s="18">
        <v>2.0919119186306885E-4</v>
      </c>
      <c r="F54" s="48">
        <v>4.0000000000000001E-3</v>
      </c>
    </row>
    <row r="55" spans="2:6" ht="15" customHeight="1" x14ac:dyDescent="0.25">
      <c r="B55" s="14"/>
      <c r="C55" s="17" t="s">
        <v>61</v>
      </c>
      <c r="D55" s="1954">
        <v>1.5039261744604842</v>
      </c>
      <c r="E55" s="19">
        <v>2.1557779984574936</v>
      </c>
      <c r="F55" s="1955">
        <v>1.8498913711038303</v>
      </c>
    </row>
    <row r="56" spans="2:6" ht="18" customHeight="1" x14ac:dyDescent="0.35">
      <c r="B56" s="14"/>
      <c r="C56" s="17" t="s">
        <v>1759</v>
      </c>
      <c r="D56" s="86">
        <v>1.4880829330956415</v>
      </c>
      <c r="E56" s="18">
        <v>2.133145964549084</v>
      </c>
      <c r="F56" s="48">
        <v>1.8303526648197068</v>
      </c>
    </row>
    <row r="57" spans="2:6" ht="18" customHeight="1" x14ac:dyDescent="0.35">
      <c r="B57" s="14"/>
      <c r="C57" s="17" t="s">
        <v>1760</v>
      </c>
      <c r="D57" s="86">
        <v>4.2214091255211575E-3</v>
      </c>
      <c r="E57" s="18">
        <v>6.1550960045122817E-3</v>
      </c>
      <c r="F57" s="48">
        <v>5.2437693983964466E-3</v>
      </c>
    </row>
    <row r="58" spans="2:6" ht="18" customHeight="1" x14ac:dyDescent="0.35">
      <c r="B58" s="14"/>
      <c r="C58" s="17" t="s">
        <v>1761</v>
      </c>
      <c r="D58" s="86">
        <v>1.1621832239321506E-2</v>
      </c>
      <c r="E58" s="18">
        <v>1.6476937903896961E-2</v>
      </c>
      <c r="F58" s="48">
        <v>1.4294936885726995E-2</v>
      </c>
    </row>
    <row r="59" spans="2:6" ht="15" customHeight="1" x14ac:dyDescent="0.25">
      <c r="B59" s="14"/>
      <c r="C59" s="17" t="s">
        <v>65</v>
      </c>
      <c r="D59" s="1954">
        <v>0.23883958927046617</v>
      </c>
      <c r="E59" s="19">
        <v>0.1870394264761171</v>
      </c>
      <c r="F59" s="1955">
        <v>0.29730034118358406</v>
      </c>
    </row>
    <row r="60" spans="2:6" ht="18" customHeight="1" x14ac:dyDescent="0.35">
      <c r="B60" s="14"/>
      <c r="C60" s="17" t="s">
        <v>1762</v>
      </c>
      <c r="D60" s="86">
        <v>0.23660057910605095</v>
      </c>
      <c r="E60" s="18">
        <v>0.18530507924942111</v>
      </c>
      <c r="F60" s="48">
        <v>0.29451328863577403</v>
      </c>
    </row>
    <row r="61" spans="2:6" ht="18" customHeight="1" x14ac:dyDescent="0.35">
      <c r="B61" s="14"/>
      <c r="C61" s="17" t="s">
        <v>1763</v>
      </c>
      <c r="D61" s="86">
        <v>3.9117482073809992E-4</v>
      </c>
      <c r="E61" s="18">
        <v>3.0300575507999995E-4</v>
      </c>
      <c r="F61" s="48">
        <v>4.8692265810325243E-4</v>
      </c>
    </row>
    <row r="62" spans="2:6" ht="18" customHeight="1" x14ac:dyDescent="0.35">
      <c r="B62" s="14"/>
      <c r="C62" s="17" t="s">
        <v>1764</v>
      </c>
      <c r="D62" s="86">
        <v>1.8478353436771201E-3</v>
      </c>
      <c r="E62" s="18">
        <v>1.4313414716159998E-3</v>
      </c>
      <c r="F62" s="48">
        <v>2.3001298897067932E-3</v>
      </c>
    </row>
    <row r="63" spans="2:6" ht="15" customHeight="1" x14ac:dyDescent="0.25">
      <c r="B63" s="14"/>
      <c r="C63" s="17" t="s">
        <v>69</v>
      </c>
      <c r="D63" s="1954">
        <v>0.99763614870009376</v>
      </c>
      <c r="E63" s="19">
        <v>0.35394885750021793</v>
      </c>
      <c r="F63" s="1955">
        <v>1.7459706655385421</v>
      </c>
    </row>
    <row r="64" spans="2:6" ht="18" customHeight="1" x14ac:dyDescent="0.35">
      <c r="B64" s="14"/>
      <c r="C64" s="17" t="s">
        <v>1765</v>
      </c>
      <c r="D64" s="86">
        <v>0.98859813830762433</v>
      </c>
      <c r="E64" s="18">
        <v>0.35066338940802455</v>
      </c>
      <c r="F64" s="48">
        <v>1.7301531743212828</v>
      </c>
    </row>
    <row r="65" spans="2:6" ht="18" customHeight="1" x14ac:dyDescent="0.35">
      <c r="B65" s="14"/>
      <c r="C65" s="17" t="s">
        <v>1766</v>
      </c>
      <c r="D65" s="86">
        <v>1.4732902529742519E-3</v>
      </c>
      <c r="E65" s="18">
        <v>5.3556567280776003E-4</v>
      </c>
      <c r="F65" s="48">
        <v>2.578416556846503E-3</v>
      </c>
    </row>
    <row r="66" spans="2:6" ht="18" customHeight="1" x14ac:dyDescent="0.35">
      <c r="B66" s="14"/>
      <c r="C66" s="17" t="s">
        <v>1767</v>
      </c>
      <c r="D66" s="86">
        <v>7.5647201394951225E-3</v>
      </c>
      <c r="E66" s="18">
        <v>2.7499024193855998E-3</v>
      </c>
      <c r="F66" s="48">
        <v>1.3239074660412685E-2</v>
      </c>
    </row>
    <row r="67" spans="2:6" ht="15" customHeight="1" x14ac:dyDescent="0.25">
      <c r="B67" s="14"/>
      <c r="C67" s="17" t="s">
        <v>73</v>
      </c>
      <c r="D67" s="1954">
        <v>0.29595514575746695</v>
      </c>
      <c r="E67" s="19">
        <v>0.45504484889968855</v>
      </c>
      <c r="F67" s="1955">
        <v>0.47492254215189089</v>
      </c>
    </row>
    <row r="68" spans="2:6" ht="18" customHeight="1" x14ac:dyDescent="0.35">
      <c r="B68" s="14"/>
      <c r="C68" s="17" t="s">
        <v>1768</v>
      </c>
      <c r="D68" s="86">
        <v>0.29595514575746695</v>
      </c>
      <c r="E68" s="18">
        <v>0.45504484889968855</v>
      </c>
      <c r="F68" s="48">
        <v>0.47492254215189089</v>
      </c>
    </row>
    <row r="69" spans="2:6" ht="18" customHeight="1" x14ac:dyDescent="0.35">
      <c r="B69" s="14"/>
      <c r="C69" s="17" t="s">
        <v>1769</v>
      </c>
      <c r="D69" s="86">
        <v>0</v>
      </c>
      <c r="E69" s="26">
        <v>0</v>
      </c>
      <c r="F69" s="48">
        <v>0</v>
      </c>
    </row>
    <row r="70" spans="2:6" ht="18" customHeight="1" x14ac:dyDescent="0.35">
      <c r="B70" s="14"/>
      <c r="C70" s="17" t="s">
        <v>1770</v>
      </c>
      <c r="D70" s="86">
        <v>0</v>
      </c>
      <c r="E70" s="26">
        <v>0</v>
      </c>
      <c r="F70" s="48">
        <v>0</v>
      </c>
    </row>
    <row r="71" spans="2:6" ht="15" customHeight="1" x14ac:dyDescent="0.25">
      <c r="B71" s="14"/>
      <c r="C71" s="17" t="s">
        <v>77</v>
      </c>
      <c r="D71" s="1954">
        <v>1.7213192749432313</v>
      </c>
      <c r="E71" s="19">
        <v>1.1340269984352445</v>
      </c>
      <c r="F71" s="1955">
        <v>2.76222034869101</v>
      </c>
    </row>
    <row r="72" spans="2:6" ht="18" customHeight="1" x14ac:dyDescent="0.35">
      <c r="B72" s="14"/>
      <c r="C72" s="17" t="s">
        <v>1771</v>
      </c>
      <c r="D72" s="86">
        <v>1.7033436072509349</v>
      </c>
      <c r="E72" s="18">
        <v>1.1225113202933246</v>
      </c>
      <c r="F72" s="48">
        <v>2.7333745931105375</v>
      </c>
    </row>
    <row r="73" spans="2:6" ht="18" customHeight="1" x14ac:dyDescent="0.35">
      <c r="B73" s="14"/>
      <c r="C73" s="17" t="s">
        <v>1772</v>
      </c>
      <c r="D73" s="86">
        <v>1.6260244486223973E-3</v>
      </c>
      <c r="E73" s="18">
        <v>8.8239814992000019E-4</v>
      </c>
      <c r="F73" s="48">
        <v>2.6092996719635246E-3</v>
      </c>
    </row>
    <row r="74" spans="2:6" ht="18" customHeight="1" x14ac:dyDescent="0.35">
      <c r="B74" s="21"/>
      <c r="C74" s="25" t="s">
        <v>1773</v>
      </c>
      <c r="D74" s="86">
        <v>1.6349643243674026E-2</v>
      </c>
      <c r="E74" s="18">
        <v>1.0633279991999998E-2</v>
      </c>
      <c r="F74" s="48">
        <v>2.6236455908509065E-2</v>
      </c>
    </row>
    <row r="75" spans="2:6" ht="15" customHeight="1" x14ac:dyDescent="0.25">
      <c r="B75" s="8" t="s">
        <v>81</v>
      </c>
      <c r="C75" s="9"/>
      <c r="D75" s="1959">
        <v>0.94188463845227166</v>
      </c>
      <c r="E75" s="23">
        <v>0.83609220289311492</v>
      </c>
      <c r="F75" s="1960">
        <v>0.92368868344346611</v>
      </c>
    </row>
    <row r="76" spans="2:6" ht="15" customHeight="1" x14ac:dyDescent="0.25">
      <c r="B76" s="11"/>
      <c r="C76" s="24" t="s">
        <v>82</v>
      </c>
      <c r="D76" s="1954">
        <v>0.81153636654107164</v>
      </c>
      <c r="E76" s="19">
        <v>0.69429473534991493</v>
      </c>
      <c r="F76" s="1955">
        <v>0.79334041153255652</v>
      </c>
    </row>
    <row r="77" spans="2:6" ht="18" customHeight="1" x14ac:dyDescent="0.35">
      <c r="B77" s="14"/>
      <c r="C77" s="17" t="s">
        <v>1774</v>
      </c>
      <c r="D77" s="86">
        <v>1.286356102429063E-4</v>
      </c>
      <c r="E77" s="18">
        <v>3.271486645917849E-4</v>
      </c>
      <c r="F77" s="48">
        <v>1.2575139226700816E-4</v>
      </c>
    </row>
    <row r="78" spans="2:6" ht="18" customHeight="1" x14ac:dyDescent="0.35">
      <c r="B78" s="14"/>
      <c r="C78" s="17" t="s">
        <v>1775</v>
      </c>
      <c r="D78" s="86">
        <v>0.81133629419025521</v>
      </c>
      <c r="E78" s="18">
        <v>0.69378590733356893</v>
      </c>
      <c r="F78" s="48">
        <v>0.79314482512672535</v>
      </c>
    </row>
    <row r="79" spans="2:6" ht="18" customHeight="1" x14ac:dyDescent="0.35">
      <c r="B79" s="14"/>
      <c r="C79" s="17" t="s">
        <v>1776</v>
      </c>
      <c r="D79" s="86">
        <v>7.1436740573558788E-5</v>
      </c>
      <c r="E79" s="18">
        <v>1.8167935175414089E-4</v>
      </c>
      <c r="F79" s="48">
        <v>6.9835013564119024E-5</v>
      </c>
    </row>
    <row r="80" spans="2:6" ht="15" customHeight="1" x14ac:dyDescent="0.25">
      <c r="B80" s="14"/>
      <c r="C80" s="17" t="s">
        <v>86</v>
      </c>
      <c r="D80" s="1954">
        <v>0</v>
      </c>
      <c r="E80" s="19">
        <v>0</v>
      </c>
      <c r="F80" s="1955">
        <v>0</v>
      </c>
    </row>
    <row r="81" spans="2:6" ht="18" customHeight="1" x14ac:dyDescent="0.35">
      <c r="B81" s="14"/>
      <c r="C81" s="17" t="s">
        <v>1777</v>
      </c>
      <c r="D81" s="86">
        <v>0</v>
      </c>
      <c r="E81" s="18">
        <v>0</v>
      </c>
      <c r="F81" s="48">
        <v>0</v>
      </c>
    </row>
    <row r="82" spans="2:6" ht="18" customHeight="1" x14ac:dyDescent="0.35">
      <c r="B82" s="14"/>
      <c r="C82" s="17" t="s">
        <v>1778</v>
      </c>
      <c r="D82" s="86">
        <v>0</v>
      </c>
      <c r="E82" s="18">
        <v>0</v>
      </c>
      <c r="F82" s="48">
        <v>0</v>
      </c>
    </row>
    <row r="83" spans="2:6" ht="18" customHeight="1" x14ac:dyDescent="0.35">
      <c r="B83" s="14"/>
      <c r="C83" s="17" t="s">
        <v>1779</v>
      </c>
      <c r="D83" s="86">
        <v>0</v>
      </c>
      <c r="E83" s="18">
        <v>0</v>
      </c>
      <c r="F83" s="48">
        <v>0</v>
      </c>
    </row>
    <row r="84" spans="2:6" ht="15" customHeight="1" x14ac:dyDescent="0.25">
      <c r="B84" s="14"/>
      <c r="C84" s="17" t="s">
        <v>90</v>
      </c>
      <c r="D84" s="1954">
        <v>0.13034827191119999</v>
      </c>
      <c r="E84" s="19">
        <v>0.14179746754319997</v>
      </c>
      <c r="F84" s="1955">
        <v>0.13034827191090953</v>
      </c>
    </row>
    <row r="85" spans="2:6" ht="18" customHeight="1" x14ac:dyDescent="0.35">
      <c r="B85" s="14"/>
      <c r="C85" s="17" t="s">
        <v>1780</v>
      </c>
      <c r="D85" s="86">
        <v>0</v>
      </c>
      <c r="E85" s="18">
        <v>0</v>
      </c>
      <c r="F85" s="48">
        <v>0</v>
      </c>
    </row>
    <row r="86" spans="2:6" ht="18" customHeight="1" x14ac:dyDescent="0.35">
      <c r="B86" s="14"/>
      <c r="C86" s="17" t="s">
        <v>1781</v>
      </c>
      <c r="D86" s="86">
        <v>0.13034827191119999</v>
      </c>
      <c r="E86" s="18">
        <v>0.14179746754319997</v>
      </c>
      <c r="F86" s="48">
        <v>0.13034827191090953</v>
      </c>
    </row>
    <row r="87" spans="2:6" ht="18" customHeight="1" x14ac:dyDescent="0.35">
      <c r="B87" s="21"/>
      <c r="C87" s="25" t="s">
        <v>1782</v>
      </c>
      <c r="D87" s="86">
        <v>0</v>
      </c>
      <c r="E87" s="18">
        <v>0</v>
      </c>
      <c r="F87" s="48">
        <v>0</v>
      </c>
    </row>
    <row r="88" spans="2:6" ht="15" customHeight="1" x14ac:dyDescent="0.25">
      <c r="B88" s="27" t="s">
        <v>94</v>
      </c>
      <c r="C88" s="28"/>
      <c r="D88" s="1959">
        <v>7.4410423344781096</v>
      </c>
      <c r="E88" s="29">
        <v>4.3985727448193961</v>
      </c>
      <c r="F88" s="1960">
        <v>10.244740524234293</v>
      </c>
    </row>
    <row r="89" spans="2:6" ht="15" customHeight="1" x14ac:dyDescent="0.25">
      <c r="B89" s="11"/>
      <c r="C89" s="12" t="s">
        <v>95</v>
      </c>
      <c r="D89" s="1954">
        <v>1.4832417277099998</v>
      </c>
      <c r="E89" s="19">
        <v>0.91825561308231174</v>
      </c>
      <c r="F89" s="1955">
        <v>2.0921304477375937</v>
      </c>
    </row>
    <row r="90" spans="2:6" ht="18" customHeight="1" x14ac:dyDescent="0.35">
      <c r="B90" s="14"/>
      <c r="C90" s="17" t="s">
        <v>1783</v>
      </c>
      <c r="D90" s="86">
        <v>1.4832417277099998</v>
      </c>
      <c r="E90" s="18">
        <v>0.91825561308231174</v>
      </c>
      <c r="F90" s="48">
        <v>2.0921304477375937</v>
      </c>
    </row>
    <row r="91" spans="2:6" ht="18" customHeight="1" x14ac:dyDescent="0.35">
      <c r="B91" s="14"/>
      <c r="C91" s="17" t="s">
        <v>1784</v>
      </c>
      <c r="D91" s="86">
        <v>0</v>
      </c>
      <c r="E91" s="18">
        <v>0</v>
      </c>
      <c r="F91" s="48">
        <v>0</v>
      </c>
    </row>
    <row r="92" spans="2:6" ht="18" customHeight="1" x14ac:dyDescent="0.35">
      <c r="B92" s="14"/>
      <c r="C92" s="17" t="s">
        <v>1785</v>
      </c>
      <c r="D92" s="86">
        <v>0</v>
      </c>
      <c r="E92" s="18">
        <v>0</v>
      </c>
      <c r="F92" s="48">
        <v>0</v>
      </c>
    </row>
    <row r="93" spans="2:6" ht="15" customHeight="1" x14ac:dyDescent="0.25">
      <c r="B93" s="14"/>
      <c r="C93" s="30" t="s">
        <v>99</v>
      </c>
      <c r="D93" s="1954">
        <v>0.11394119158533558</v>
      </c>
      <c r="E93" s="19">
        <v>8.5604639999999996E-2</v>
      </c>
      <c r="F93" s="1955">
        <v>0.21205362527016922</v>
      </c>
    </row>
    <row r="94" spans="2:6" ht="18" customHeight="1" x14ac:dyDescent="0.35">
      <c r="B94" s="14"/>
      <c r="C94" s="17" t="s">
        <v>1786</v>
      </c>
      <c r="D94" s="86">
        <v>0.11394119158533558</v>
      </c>
      <c r="E94" s="18">
        <v>8.5604639999999996E-2</v>
      </c>
      <c r="F94" s="48">
        <v>0.21205362527016922</v>
      </c>
    </row>
    <row r="95" spans="2:6" ht="18" customHeight="1" x14ac:dyDescent="0.35">
      <c r="B95" s="14"/>
      <c r="C95" s="17" t="s">
        <v>1787</v>
      </c>
      <c r="D95" s="86">
        <v>0</v>
      </c>
      <c r="E95" s="18">
        <v>0</v>
      </c>
      <c r="F95" s="48">
        <v>0</v>
      </c>
    </row>
    <row r="96" spans="2:6" ht="18" customHeight="1" x14ac:dyDescent="0.35">
      <c r="B96" s="14"/>
      <c r="C96" s="17" t="s">
        <v>1788</v>
      </c>
      <c r="D96" s="86">
        <v>0</v>
      </c>
      <c r="E96" s="18">
        <v>0</v>
      </c>
      <c r="F96" s="48">
        <v>0</v>
      </c>
    </row>
    <row r="97" spans="2:6" ht="15" customHeight="1" x14ac:dyDescent="0.25">
      <c r="B97" s="14"/>
      <c r="C97" s="30" t="s">
        <v>103</v>
      </c>
      <c r="D97" s="1954">
        <v>4.7611020076877966E-2</v>
      </c>
      <c r="E97" s="19">
        <v>4.0365128549999997E-2</v>
      </c>
      <c r="F97" s="1955">
        <v>4.7600366597536865E-2</v>
      </c>
    </row>
    <row r="98" spans="2:6" ht="18" customHeight="1" x14ac:dyDescent="0.35">
      <c r="B98" s="14"/>
      <c r="C98" s="17" t="s">
        <v>1789</v>
      </c>
      <c r="D98" s="86">
        <v>4.7611020076877966E-2</v>
      </c>
      <c r="E98" s="18">
        <v>4.0365128549999997E-2</v>
      </c>
      <c r="F98" s="48">
        <v>4.7600366597536865E-2</v>
      </c>
    </row>
    <row r="99" spans="2:6" ht="18" customHeight="1" x14ac:dyDescent="0.35">
      <c r="B99" s="14"/>
      <c r="C99" s="17" t="s">
        <v>1790</v>
      </c>
      <c r="D99" s="86">
        <v>0</v>
      </c>
      <c r="E99" s="18">
        <v>0</v>
      </c>
      <c r="F99" s="48">
        <v>0</v>
      </c>
    </row>
    <row r="100" spans="2:6" ht="18" customHeight="1" x14ac:dyDescent="0.35">
      <c r="B100" s="14"/>
      <c r="C100" s="17" t="s">
        <v>1791</v>
      </c>
      <c r="D100" s="86">
        <v>0</v>
      </c>
      <c r="E100" s="18">
        <v>0</v>
      </c>
      <c r="F100" s="48">
        <v>0</v>
      </c>
    </row>
    <row r="101" spans="2:6" ht="15" customHeight="1" x14ac:dyDescent="0.25">
      <c r="B101" s="14"/>
      <c r="C101" s="30" t="s">
        <v>107</v>
      </c>
      <c r="D101" s="1954">
        <v>3.5971163869434326</v>
      </c>
      <c r="E101" s="19">
        <v>0.90971243984396266</v>
      </c>
      <c r="F101" s="1955">
        <v>3.8514285439815463</v>
      </c>
    </row>
    <row r="102" spans="2:6" ht="18" customHeight="1" x14ac:dyDescent="0.35">
      <c r="B102" s="14"/>
      <c r="C102" s="17" t="s">
        <v>1792</v>
      </c>
      <c r="D102" s="86">
        <v>3.5971163869434326</v>
      </c>
      <c r="E102" s="18">
        <v>0.90971243984396266</v>
      </c>
      <c r="F102" s="48">
        <v>3.8514285439815463</v>
      </c>
    </row>
    <row r="103" spans="2:6" ht="18" customHeight="1" x14ac:dyDescent="0.35">
      <c r="B103" s="14"/>
      <c r="C103" s="17" t="s">
        <v>1793</v>
      </c>
      <c r="D103" s="86">
        <v>0</v>
      </c>
      <c r="E103" s="18">
        <v>0</v>
      </c>
      <c r="F103" s="48">
        <v>0</v>
      </c>
    </row>
    <row r="104" spans="2:6" ht="18" customHeight="1" x14ac:dyDescent="0.35">
      <c r="B104" s="14"/>
      <c r="C104" s="17" t="s">
        <v>1794</v>
      </c>
      <c r="D104" s="86">
        <v>0</v>
      </c>
      <c r="E104" s="18">
        <v>0</v>
      </c>
      <c r="F104" s="48">
        <v>0</v>
      </c>
    </row>
    <row r="105" spans="2:6" ht="15" customHeight="1" x14ac:dyDescent="0.25">
      <c r="B105" s="14"/>
      <c r="C105" s="30" t="s">
        <v>111</v>
      </c>
      <c r="D105" s="1954">
        <v>1.9712824418788801</v>
      </c>
      <c r="E105" s="19">
        <v>2.2763837333431209</v>
      </c>
      <c r="F105" s="1955">
        <v>4.0415275406474471</v>
      </c>
    </row>
    <row r="106" spans="2:6" ht="18" customHeight="1" x14ac:dyDescent="0.35">
      <c r="B106" s="14"/>
      <c r="C106" s="17" t="s">
        <v>1795</v>
      </c>
      <c r="D106" s="86">
        <v>0</v>
      </c>
      <c r="E106" s="18">
        <v>0</v>
      </c>
      <c r="F106" s="48">
        <v>0</v>
      </c>
    </row>
    <row r="107" spans="2:6" ht="18" customHeight="1" x14ac:dyDescent="0.35">
      <c r="B107" s="14"/>
      <c r="C107" s="17" t="s">
        <v>1796</v>
      </c>
      <c r="D107" s="86">
        <v>0</v>
      </c>
      <c r="E107" s="18">
        <v>0</v>
      </c>
      <c r="F107" s="48">
        <v>0</v>
      </c>
    </row>
    <row r="108" spans="2:6" ht="18" customHeight="1" x14ac:dyDescent="0.35">
      <c r="B108" s="14"/>
      <c r="C108" s="17" t="s">
        <v>1797</v>
      </c>
      <c r="D108" s="86">
        <v>1.9712824418788801</v>
      </c>
      <c r="E108" s="18">
        <v>2.2763837333431209</v>
      </c>
      <c r="F108" s="48">
        <v>4.0415275406474471</v>
      </c>
    </row>
    <row r="109" spans="2:6" ht="15" customHeight="1" x14ac:dyDescent="0.25">
      <c r="B109" s="14"/>
      <c r="C109" s="30" t="s">
        <v>115</v>
      </c>
      <c r="D109" s="1954">
        <v>0.22722258548660304</v>
      </c>
      <c r="E109" s="19">
        <v>0.16730000000000003</v>
      </c>
      <c r="F109" s="1955">
        <v>0</v>
      </c>
    </row>
    <row r="110" spans="2:6" ht="18" customHeight="1" x14ac:dyDescent="0.35">
      <c r="B110" s="14"/>
      <c r="C110" s="17" t="s">
        <v>1798</v>
      </c>
      <c r="D110" s="86">
        <v>0</v>
      </c>
      <c r="E110" s="18">
        <v>0</v>
      </c>
      <c r="F110" s="48">
        <v>0</v>
      </c>
    </row>
    <row r="111" spans="2:6" ht="18" customHeight="1" x14ac:dyDescent="0.35">
      <c r="B111" s="14"/>
      <c r="C111" s="17" t="s">
        <v>1799</v>
      </c>
      <c r="D111" s="86">
        <v>0</v>
      </c>
      <c r="E111" s="18">
        <v>0</v>
      </c>
      <c r="F111" s="48">
        <v>0</v>
      </c>
    </row>
    <row r="112" spans="2:6" ht="18" customHeight="1" x14ac:dyDescent="0.35">
      <c r="B112" s="14"/>
      <c r="C112" s="17" t="s">
        <v>1800</v>
      </c>
      <c r="D112" s="86">
        <v>0.22722258548660304</v>
      </c>
      <c r="E112" s="18">
        <v>0.16730000000000003</v>
      </c>
      <c r="F112" s="48">
        <v>0</v>
      </c>
    </row>
    <row r="113" spans="2:6" ht="15" customHeight="1" x14ac:dyDescent="0.25">
      <c r="B113" s="14"/>
      <c r="C113" s="30" t="s">
        <v>119</v>
      </c>
      <c r="D113" s="1954">
        <v>0</v>
      </c>
      <c r="E113" s="19">
        <v>0</v>
      </c>
      <c r="F113" s="1955">
        <v>0</v>
      </c>
    </row>
    <row r="114" spans="2:6" ht="18" customHeight="1" x14ac:dyDescent="0.35">
      <c r="B114" s="14"/>
      <c r="C114" s="17" t="s">
        <v>1801</v>
      </c>
      <c r="D114" s="86">
        <v>0</v>
      </c>
      <c r="E114" s="18">
        <v>0</v>
      </c>
      <c r="F114" s="48">
        <v>0</v>
      </c>
    </row>
    <row r="115" spans="2:6" ht="18" customHeight="1" x14ac:dyDescent="0.35">
      <c r="B115" s="14"/>
      <c r="C115" s="17" t="s">
        <v>1802</v>
      </c>
      <c r="D115" s="86">
        <v>0</v>
      </c>
      <c r="E115" s="18">
        <v>0</v>
      </c>
      <c r="F115" s="48">
        <v>0</v>
      </c>
    </row>
    <row r="116" spans="2:6" ht="18" customHeight="1" x14ac:dyDescent="0.35">
      <c r="B116" s="14"/>
      <c r="C116" s="17" t="s">
        <v>1803</v>
      </c>
      <c r="D116" s="86">
        <v>0</v>
      </c>
      <c r="E116" s="18">
        <v>0</v>
      </c>
      <c r="F116" s="48">
        <v>0</v>
      </c>
    </row>
    <row r="117" spans="2:6" ht="15" customHeight="1" x14ac:dyDescent="0.25">
      <c r="B117" s="14"/>
      <c r="C117" s="30" t="s">
        <v>123</v>
      </c>
      <c r="D117" s="1954">
        <v>6.2698079697975711E-4</v>
      </c>
      <c r="E117" s="19">
        <v>9.5118999999999998E-4</v>
      </c>
      <c r="F117" s="1955">
        <v>1.5532448642384042E-3</v>
      </c>
    </row>
    <row r="118" spans="2:6" ht="18" customHeight="1" x14ac:dyDescent="0.35">
      <c r="B118" s="14"/>
      <c r="C118" s="17" t="s">
        <v>1804</v>
      </c>
      <c r="D118" s="86">
        <v>6.2698079697975711E-4</v>
      </c>
      <c r="E118" s="18">
        <v>9.5118999999999998E-4</v>
      </c>
      <c r="F118" s="48">
        <v>1.5532448642384042E-3</v>
      </c>
    </row>
    <row r="119" spans="2:6" ht="18" customHeight="1" x14ac:dyDescent="0.35">
      <c r="B119" s="14"/>
      <c r="C119" s="17" t="s">
        <v>1805</v>
      </c>
      <c r="D119" s="86">
        <v>0</v>
      </c>
      <c r="E119" s="18">
        <v>0</v>
      </c>
      <c r="F119" s="48">
        <v>0</v>
      </c>
    </row>
    <row r="120" spans="2:6" ht="18" customHeight="1" x14ac:dyDescent="0.35">
      <c r="B120" s="14"/>
      <c r="C120" s="17" t="s">
        <v>1806</v>
      </c>
      <c r="D120" s="86">
        <v>0</v>
      </c>
      <c r="E120" s="18">
        <v>0</v>
      </c>
      <c r="F120" s="48">
        <v>0</v>
      </c>
    </row>
    <row r="121" spans="2:6" ht="15" customHeight="1" x14ac:dyDescent="0.25">
      <c r="B121" s="14"/>
      <c r="C121" s="30" t="s">
        <v>127</v>
      </c>
      <c r="D121" s="1954">
        <v>0</v>
      </c>
      <c r="E121" s="19">
        <v>0</v>
      </c>
      <c r="F121" s="1955">
        <v>0</v>
      </c>
    </row>
    <row r="122" spans="2:6" ht="18" customHeight="1" x14ac:dyDescent="0.35">
      <c r="B122" s="14"/>
      <c r="C122" s="17" t="s">
        <v>1807</v>
      </c>
      <c r="D122" s="86">
        <v>0</v>
      </c>
      <c r="E122" s="18">
        <v>0</v>
      </c>
      <c r="F122" s="48">
        <v>0</v>
      </c>
    </row>
    <row r="123" spans="2:6" ht="18" customHeight="1" x14ac:dyDescent="0.35">
      <c r="B123" s="14"/>
      <c r="C123" s="17" t="s">
        <v>1808</v>
      </c>
      <c r="D123" s="86">
        <v>0</v>
      </c>
      <c r="E123" s="18">
        <v>0</v>
      </c>
      <c r="F123" s="48">
        <v>0</v>
      </c>
    </row>
    <row r="124" spans="2:6" ht="18" customHeight="1" x14ac:dyDescent="0.35">
      <c r="B124" s="21"/>
      <c r="C124" s="25" t="s">
        <v>1809</v>
      </c>
      <c r="D124" s="86">
        <v>0</v>
      </c>
      <c r="E124" s="18">
        <v>0</v>
      </c>
      <c r="F124" s="48">
        <v>0</v>
      </c>
    </row>
    <row r="125" spans="2:6" ht="15" customHeight="1" x14ac:dyDescent="0.25">
      <c r="B125" s="31" t="s">
        <v>131</v>
      </c>
      <c r="C125" s="28"/>
      <c r="D125" s="1959">
        <v>1.7714261577852335</v>
      </c>
      <c r="E125" s="23">
        <v>1.6619477356257877</v>
      </c>
      <c r="F125" s="1960">
        <v>1.8593377996177092</v>
      </c>
    </row>
    <row r="126" spans="2:6" ht="15" customHeight="1" x14ac:dyDescent="0.25">
      <c r="B126" s="11"/>
      <c r="C126" s="12" t="s">
        <v>132</v>
      </c>
      <c r="D126" s="1954">
        <v>0.41906792952085292</v>
      </c>
      <c r="E126" s="19">
        <v>0.3718696192538668</v>
      </c>
      <c r="F126" s="1955">
        <v>0.51337591480750178</v>
      </c>
    </row>
    <row r="127" spans="2:6" ht="18" customHeight="1" x14ac:dyDescent="0.35">
      <c r="B127" s="14"/>
      <c r="C127" s="17" t="s">
        <v>1810</v>
      </c>
      <c r="D127" s="86">
        <v>0</v>
      </c>
      <c r="E127" s="18">
        <v>0</v>
      </c>
      <c r="F127" s="48">
        <v>0</v>
      </c>
    </row>
    <row r="128" spans="2:6" ht="18" customHeight="1" x14ac:dyDescent="0.35">
      <c r="B128" s="14"/>
      <c r="C128" s="17" t="s">
        <v>1811</v>
      </c>
      <c r="D128" s="86">
        <v>0.41906792952085292</v>
      </c>
      <c r="E128" s="18">
        <v>0.3718696192538668</v>
      </c>
      <c r="F128" s="48">
        <v>0.51337591480750178</v>
      </c>
    </row>
    <row r="129" spans="2:6" ht="18" customHeight="1" x14ac:dyDescent="0.35">
      <c r="B129" s="14"/>
      <c r="C129" s="17" t="s">
        <v>1812</v>
      </c>
      <c r="D129" s="86">
        <v>0</v>
      </c>
      <c r="E129" s="18">
        <v>0</v>
      </c>
      <c r="F129" s="48">
        <v>0</v>
      </c>
    </row>
    <row r="130" spans="2:6" ht="15" customHeight="1" x14ac:dyDescent="0.25">
      <c r="B130" s="14"/>
      <c r="C130" s="30" t="s">
        <v>136</v>
      </c>
      <c r="D130" s="1954">
        <v>0.32126317998142256</v>
      </c>
      <c r="E130" s="19">
        <v>0.32451263506016242</v>
      </c>
      <c r="F130" s="1955">
        <v>0.28879281933940915</v>
      </c>
    </row>
    <row r="131" spans="2:6" ht="18" customHeight="1" x14ac:dyDescent="0.35">
      <c r="B131" s="14"/>
      <c r="C131" s="17" t="s">
        <v>1813</v>
      </c>
      <c r="D131" s="86">
        <v>0</v>
      </c>
      <c r="E131" s="18">
        <v>0</v>
      </c>
      <c r="F131" s="48">
        <v>0</v>
      </c>
    </row>
    <row r="132" spans="2:6" ht="18" customHeight="1" x14ac:dyDescent="0.35">
      <c r="B132" s="14"/>
      <c r="C132" s="17" t="s">
        <v>1814</v>
      </c>
      <c r="D132" s="86">
        <v>9.1393836453823679E-2</v>
      </c>
      <c r="E132" s="18">
        <v>9.4279619032532749E-2</v>
      </c>
      <c r="F132" s="48">
        <v>5.6315177354236919E-2</v>
      </c>
    </row>
    <row r="133" spans="2:6" ht="18" customHeight="1" x14ac:dyDescent="0.35">
      <c r="B133" s="14"/>
      <c r="C133" s="17" t="s">
        <v>1815</v>
      </c>
      <c r="D133" s="86">
        <v>0.22986934352759889</v>
      </c>
      <c r="E133" s="18">
        <v>0.23023301602762966</v>
      </c>
      <c r="F133" s="48">
        <v>0.23247764198517221</v>
      </c>
    </row>
    <row r="134" spans="2:6" ht="15" customHeight="1" x14ac:dyDescent="0.25">
      <c r="B134" s="14"/>
      <c r="C134" s="30" t="s">
        <v>140</v>
      </c>
      <c r="D134" s="1954">
        <v>1.0196737391561281</v>
      </c>
      <c r="E134" s="19">
        <v>0.95413728549318777</v>
      </c>
      <c r="F134" s="1955">
        <v>1.0463096684493693</v>
      </c>
    </row>
    <row r="135" spans="2:6" ht="18" customHeight="1" x14ac:dyDescent="0.35">
      <c r="B135" s="14"/>
      <c r="C135" s="17" t="s">
        <v>1816</v>
      </c>
      <c r="D135" s="86">
        <v>0</v>
      </c>
      <c r="E135" s="18">
        <v>0</v>
      </c>
      <c r="F135" s="48">
        <v>0</v>
      </c>
    </row>
    <row r="136" spans="2:6" ht="18" customHeight="1" x14ac:dyDescent="0.35">
      <c r="B136" s="14"/>
      <c r="C136" s="17" t="s">
        <v>1817</v>
      </c>
      <c r="D136" s="86">
        <v>0</v>
      </c>
      <c r="E136" s="18">
        <v>0</v>
      </c>
      <c r="F136" s="48">
        <v>0</v>
      </c>
    </row>
    <row r="137" spans="2:6" ht="18" customHeight="1" x14ac:dyDescent="0.35">
      <c r="B137" s="14"/>
      <c r="C137" s="17" t="s">
        <v>1818</v>
      </c>
      <c r="D137" s="86">
        <v>1.0196737391561281</v>
      </c>
      <c r="E137" s="18">
        <v>0.95413728549318777</v>
      </c>
      <c r="F137" s="48">
        <v>1.0463096684493693</v>
      </c>
    </row>
    <row r="138" spans="2:6" ht="15" customHeight="1" x14ac:dyDescent="0.25">
      <c r="B138" s="14"/>
      <c r="C138" s="30" t="s">
        <v>144</v>
      </c>
      <c r="D138" s="1954">
        <v>6.2730523304344015E-3</v>
      </c>
      <c r="E138" s="19">
        <v>6.2799390221752816E-3</v>
      </c>
      <c r="F138" s="1955">
        <v>5.7111402250334146E-3</v>
      </c>
    </row>
    <row r="139" spans="2:6" ht="18" customHeight="1" x14ac:dyDescent="0.35">
      <c r="B139" s="14"/>
      <c r="C139" s="17" t="s">
        <v>1819</v>
      </c>
      <c r="D139" s="86">
        <v>0</v>
      </c>
      <c r="E139" s="18">
        <v>0</v>
      </c>
      <c r="F139" s="48">
        <v>0</v>
      </c>
    </row>
    <row r="140" spans="2:6" ht="18" customHeight="1" x14ac:dyDescent="0.35">
      <c r="B140" s="14"/>
      <c r="C140" s="17" t="s">
        <v>1820</v>
      </c>
      <c r="D140" s="86">
        <v>3.8931086498058083E-3</v>
      </c>
      <c r="E140" s="18">
        <v>3.7803964061275518E-3</v>
      </c>
      <c r="F140" s="48">
        <v>3.5638119546775363E-3</v>
      </c>
    </row>
    <row r="141" spans="2:6" ht="18" customHeight="1" x14ac:dyDescent="0.35">
      <c r="B141" s="14"/>
      <c r="C141" s="17" t="s">
        <v>1821</v>
      </c>
      <c r="D141" s="86">
        <v>2.3799436806285928E-3</v>
      </c>
      <c r="E141" s="18">
        <v>2.4995426160477298E-3</v>
      </c>
      <c r="F141" s="48">
        <v>2.1473282703558783E-3</v>
      </c>
    </row>
    <row r="142" spans="2:6" ht="15" customHeight="1" x14ac:dyDescent="0.25">
      <c r="B142" s="14"/>
      <c r="C142" s="17" t="s">
        <v>148</v>
      </c>
      <c r="D142" s="1954">
        <v>5.1482567963954153E-3</v>
      </c>
      <c r="E142" s="19">
        <v>5.1482567963954153E-3</v>
      </c>
      <c r="F142" s="1955">
        <v>5.1482567963954153E-3</v>
      </c>
    </row>
    <row r="143" spans="2:6" ht="18" customHeight="1" x14ac:dyDescent="0.35">
      <c r="B143" s="14"/>
      <c r="C143" s="17" t="s">
        <v>1822</v>
      </c>
      <c r="D143" s="86">
        <v>5.1482567963954153E-3</v>
      </c>
      <c r="E143" s="18">
        <v>5.1482567963954153E-3</v>
      </c>
      <c r="F143" s="48">
        <v>5.1482567963954153E-3</v>
      </c>
    </row>
    <row r="144" spans="2:6" ht="18" customHeight="1" x14ac:dyDescent="0.35">
      <c r="B144" s="14"/>
      <c r="C144" s="17" t="s">
        <v>1823</v>
      </c>
      <c r="D144" s="86">
        <v>0</v>
      </c>
      <c r="E144" s="18">
        <v>0</v>
      </c>
      <c r="F144" s="48">
        <v>0</v>
      </c>
    </row>
    <row r="145" spans="2:6" ht="18" customHeight="1" x14ac:dyDescent="0.35">
      <c r="B145" s="21"/>
      <c r="C145" s="25" t="s">
        <v>1824</v>
      </c>
      <c r="D145" s="86">
        <v>0</v>
      </c>
      <c r="E145" s="18">
        <v>0</v>
      </c>
      <c r="F145" s="48">
        <v>0</v>
      </c>
    </row>
    <row r="146" spans="2:6" ht="15" customHeight="1" x14ac:dyDescent="0.25">
      <c r="B146" s="27" t="s">
        <v>152</v>
      </c>
      <c r="C146" s="28"/>
      <c r="D146" s="1959">
        <v>2.2571179512006849</v>
      </c>
      <c r="E146" s="29">
        <v>2.2571179512006849</v>
      </c>
      <c r="F146" s="1960">
        <v>2.6028767109984461</v>
      </c>
    </row>
    <row r="147" spans="2:6" ht="15" customHeight="1" x14ac:dyDescent="0.25">
      <c r="B147" s="11"/>
      <c r="C147" s="12" t="s">
        <v>153</v>
      </c>
      <c r="D147" s="1954">
        <v>1.2923017168343314</v>
      </c>
      <c r="E147" s="7">
        <v>1.4294593881617876</v>
      </c>
      <c r="F147" s="1955">
        <v>1.4925761454093016</v>
      </c>
    </row>
    <row r="148" spans="2:6" ht="18" customHeight="1" x14ac:dyDescent="0.35">
      <c r="B148" s="14"/>
      <c r="C148" s="17" t="s">
        <v>1825</v>
      </c>
      <c r="D148" s="86">
        <v>1.2721711605512047</v>
      </c>
      <c r="E148" s="18">
        <v>1.4294177546745599</v>
      </c>
      <c r="F148" s="48">
        <v>1.4693258566333824</v>
      </c>
    </row>
    <row r="149" spans="2:6" ht="18" customHeight="1" x14ac:dyDescent="0.35">
      <c r="B149" s="14"/>
      <c r="C149" s="17" t="s">
        <v>1826</v>
      </c>
      <c r="D149" s="86">
        <v>0</v>
      </c>
      <c r="E149" s="18">
        <v>8.8611230997936849E-6</v>
      </c>
      <c r="F149" s="48">
        <v>0</v>
      </c>
    </row>
    <row r="150" spans="2:6" ht="18" customHeight="1" x14ac:dyDescent="0.35">
      <c r="B150" s="14"/>
      <c r="C150" s="17" t="s">
        <v>1827</v>
      </c>
      <c r="D150" s="86">
        <v>2.0130556283126707E-2</v>
      </c>
      <c r="E150" s="18">
        <v>3.2772364128E-5</v>
      </c>
      <c r="F150" s="48">
        <v>2.3250288775919111E-2</v>
      </c>
    </row>
    <row r="151" spans="2:6" ht="15" customHeight="1" x14ac:dyDescent="0.25">
      <c r="B151" s="14"/>
      <c r="C151" s="30" t="s">
        <v>157</v>
      </c>
      <c r="D151" s="1954">
        <v>0.38895527902354143</v>
      </c>
      <c r="E151" s="7">
        <v>0.55536539665542106</v>
      </c>
      <c r="F151" s="1955">
        <v>0.44923361436343329</v>
      </c>
    </row>
    <row r="152" spans="2:6" ht="18" customHeight="1" x14ac:dyDescent="0.35">
      <c r="B152" s="14"/>
      <c r="C152" s="17" t="s">
        <v>1828</v>
      </c>
      <c r="D152" s="86">
        <v>0.15158504434079162</v>
      </c>
      <c r="E152" s="18">
        <v>0.46779009130507737</v>
      </c>
      <c r="F152" s="48">
        <v>0.17507693306955618</v>
      </c>
    </row>
    <row r="153" spans="2:6" ht="18" customHeight="1" x14ac:dyDescent="0.35">
      <c r="B153" s="14"/>
      <c r="C153" s="17" t="s">
        <v>1829</v>
      </c>
      <c r="D153" s="86">
        <v>0.23737023468274984</v>
      </c>
      <c r="E153" s="18">
        <v>8.7575305350343732E-2</v>
      </c>
      <c r="F153" s="48">
        <v>0.2741566812938771</v>
      </c>
    </row>
    <row r="154" spans="2:6" ht="18" customHeight="1" x14ac:dyDescent="0.35">
      <c r="B154" s="14"/>
      <c r="C154" s="17" t="s">
        <v>1830</v>
      </c>
      <c r="D154" s="86">
        <v>0</v>
      </c>
      <c r="E154" s="18">
        <v>0</v>
      </c>
      <c r="F154" s="48">
        <v>0</v>
      </c>
    </row>
    <row r="155" spans="2:6" ht="15" customHeight="1" x14ac:dyDescent="0.25">
      <c r="B155" s="14"/>
      <c r="C155" s="30" t="s">
        <v>161</v>
      </c>
      <c r="D155" s="602">
        <v>0.54286095534281187</v>
      </c>
      <c r="E155" s="7">
        <v>0.55804606731531092</v>
      </c>
      <c r="F155" s="1962">
        <v>0.62295277699156737</v>
      </c>
    </row>
    <row r="156" spans="2:6" ht="18" customHeight="1" x14ac:dyDescent="0.35">
      <c r="B156" s="14"/>
      <c r="C156" s="17" t="s">
        <v>1831</v>
      </c>
      <c r="D156" s="86">
        <v>0</v>
      </c>
      <c r="E156" s="18">
        <v>0</v>
      </c>
      <c r="F156" s="48">
        <v>0</v>
      </c>
    </row>
    <row r="157" spans="2:6" ht="18" customHeight="1" x14ac:dyDescent="0.35">
      <c r="B157" s="14"/>
      <c r="C157" s="17" t="s">
        <v>1832</v>
      </c>
      <c r="D157" s="86">
        <v>0.37731141910929594</v>
      </c>
      <c r="E157" s="18">
        <v>0.39249653108179489</v>
      </c>
      <c r="F157" s="48">
        <v>0.43174720522229643</v>
      </c>
    </row>
    <row r="158" spans="2:6" ht="18" customHeight="1" x14ac:dyDescent="0.35">
      <c r="B158" s="14"/>
      <c r="C158" s="17" t="s">
        <v>1833</v>
      </c>
      <c r="D158" s="86">
        <v>0.16554953623351598</v>
      </c>
      <c r="E158" s="18">
        <v>0.16554953623351598</v>
      </c>
      <c r="F158" s="48">
        <v>0.19120557176927092</v>
      </c>
    </row>
    <row r="159" spans="2:6" ht="15" customHeight="1" x14ac:dyDescent="0.25">
      <c r="B159" s="14"/>
      <c r="C159" s="30" t="s">
        <v>165</v>
      </c>
      <c r="D159" s="602">
        <v>3.3000000000000002E-2</v>
      </c>
      <c r="E159" s="7">
        <v>3.3000000000000002E-2</v>
      </c>
      <c r="F159" s="1962">
        <v>3.8114174234143858E-2</v>
      </c>
    </row>
    <row r="160" spans="2:6" ht="18" customHeight="1" x14ac:dyDescent="0.35">
      <c r="B160" s="14"/>
      <c r="C160" s="17" t="s">
        <v>1834</v>
      </c>
      <c r="D160" s="86">
        <v>3.3000000000000002E-2</v>
      </c>
      <c r="E160" s="18">
        <v>3.3000000000000002E-2</v>
      </c>
      <c r="F160" s="48">
        <v>3.8114174234143858E-2</v>
      </c>
    </row>
    <row r="161" spans="2:23" ht="18" customHeight="1" x14ac:dyDescent="0.35">
      <c r="B161" s="14"/>
      <c r="C161" s="17" t="s">
        <v>1835</v>
      </c>
      <c r="D161" s="86">
        <v>0</v>
      </c>
      <c r="E161" s="18">
        <v>0</v>
      </c>
      <c r="F161" s="48">
        <v>0</v>
      </c>
    </row>
    <row r="162" spans="2:23" ht="18" customHeight="1" x14ac:dyDescent="0.35">
      <c r="B162" s="21"/>
      <c r="C162" s="25" t="s">
        <v>1836</v>
      </c>
      <c r="D162" s="86">
        <v>0</v>
      </c>
      <c r="E162" s="18">
        <v>0</v>
      </c>
      <c r="F162" s="48">
        <v>0</v>
      </c>
    </row>
    <row r="163" spans="2:23" ht="15" customHeight="1" x14ac:dyDescent="0.25">
      <c r="B163" s="2216" t="s">
        <v>169</v>
      </c>
      <c r="C163" s="2135"/>
      <c r="D163" s="1963">
        <v>107.22953646874861</v>
      </c>
      <c r="E163" s="1964">
        <v>99.283829677079211</v>
      </c>
      <c r="F163" s="1965">
        <v>140.04956251947738</v>
      </c>
    </row>
    <row r="164" spans="2:23" ht="15" customHeight="1" x14ac:dyDescent="0.25">
      <c r="B164" s="32"/>
      <c r="C164" s="33" t="s">
        <v>170</v>
      </c>
      <c r="D164" s="86"/>
      <c r="E164" s="18"/>
      <c r="F164" s="48"/>
    </row>
    <row r="165" spans="2:23" ht="15" customHeight="1" x14ac:dyDescent="0.25">
      <c r="B165" s="2216" t="s">
        <v>171</v>
      </c>
      <c r="C165" s="2135"/>
      <c r="D165" s="1957">
        <v>-11.790349165079254</v>
      </c>
      <c r="E165" s="34">
        <v>-11.847883957087202</v>
      </c>
      <c r="F165" s="1958">
        <v>-11.751390917577334</v>
      </c>
    </row>
    <row r="166" spans="2:23" ht="15" customHeight="1" x14ac:dyDescent="0.25">
      <c r="B166" s="35"/>
      <c r="C166" s="12" t="s">
        <v>172</v>
      </c>
      <c r="D166" s="86">
        <v>-10.446577825333891</v>
      </c>
      <c r="E166" s="36">
        <v>-10.446577825333891</v>
      </c>
      <c r="F166" s="48">
        <v>-10.446577825333891</v>
      </c>
    </row>
    <row r="167" spans="2:23" ht="15" customHeight="1" x14ac:dyDescent="0.25">
      <c r="B167" s="37"/>
      <c r="C167" s="30" t="s">
        <v>173</v>
      </c>
      <c r="D167" s="86">
        <v>-1.3313091422990766</v>
      </c>
      <c r="E167" s="36">
        <v>-1.4337197012537992</v>
      </c>
      <c r="F167" s="48">
        <v>-1.3313091422990766</v>
      </c>
    </row>
    <row r="168" spans="2:23" ht="15" customHeight="1" x14ac:dyDescent="0.25">
      <c r="B168" s="37"/>
      <c r="C168" s="30" t="s">
        <v>174</v>
      </c>
      <c r="D168" s="86">
        <v>-5.1420444948206523E-2</v>
      </c>
      <c r="E168" s="36">
        <v>-2.1306844948206529E-2</v>
      </c>
      <c r="F168" s="48">
        <v>-5.1420444948206523E-2</v>
      </c>
    </row>
    <row r="169" spans="2:23" ht="15" customHeight="1" x14ac:dyDescent="0.25">
      <c r="B169" s="37"/>
      <c r="C169" s="30" t="s">
        <v>175</v>
      </c>
      <c r="D169" s="86">
        <v>3.8958247501919986E-2</v>
      </c>
      <c r="E169" s="36">
        <v>5.3720414448695991E-2</v>
      </c>
      <c r="F169" s="48">
        <v>3.8958247501919986E-2</v>
      </c>
    </row>
    <row r="170" spans="2:23" ht="18" customHeight="1" x14ac:dyDescent="0.35">
      <c r="B170" s="37"/>
      <c r="C170" s="17" t="s">
        <v>1837</v>
      </c>
      <c r="D170" s="86">
        <v>3.245248726775999E-2</v>
      </c>
      <c r="E170" s="18">
        <v>4.4749473544187991E-2</v>
      </c>
      <c r="F170" s="48">
        <v>3.245248726775999E-2</v>
      </c>
    </row>
    <row r="171" spans="2:23" ht="18" customHeight="1" x14ac:dyDescent="0.35">
      <c r="B171" s="38"/>
      <c r="C171" s="25" t="s">
        <v>1838</v>
      </c>
      <c r="D171" s="86">
        <v>6.505760234159998E-3</v>
      </c>
      <c r="E171" s="18">
        <v>8.9709409045079999E-3</v>
      </c>
      <c r="F171" s="48">
        <v>6.505760234159998E-3</v>
      </c>
    </row>
    <row r="172" spans="2:23" ht="15" customHeight="1" x14ac:dyDescent="0.25">
      <c r="B172" s="2216" t="s">
        <v>178</v>
      </c>
      <c r="C172" s="2135"/>
      <c r="D172" s="1957">
        <v>95.439187303669357</v>
      </c>
      <c r="E172" s="23">
        <v>87.435945719992006</v>
      </c>
      <c r="F172" s="1958">
        <v>128.29817160190004</v>
      </c>
    </row>
    <row r="173" spans="2:23" ht="15.75" customHeight="1" x14ac:dyDescent="0.25">
      <c r="B173" s="1966"/>
      <c r="C173" s="1967" t="s">
        <v>170</v>
      </c>
      <c r="D173" s="39"/>
      <c r="E173" s="40"/>
      <c r="F173" s="1968"/>
    </row>
    <row r="174" spans="2:23" ht="15" customHeight="1" x14ac:dyDescent="0.25">
      <c r="B174" s="4"/>
      <c r="C174" s="4"/>
      <c r="D174" s="4"/>
      <c r="E174" s="18"/>
      <c r="F174" s="1969"/>
    </row>
    <row r="175" spans="2:23" ht="15.75" customHeight="1" x14ac:dyDescent="0.25">
      <c r="B175" s="4"/>
      <c r="C175" s="4"/>
      <c r="D175" s="4"/>
      <c r="E175" s="18"/>
      <c r="F175" s="1969"/>
    </row>
    <row r="176" spans="2:23" ht="15" customHeight="1" x14ac:dyDescent="0.25">
      <c r="B176" s="449"/>
      <c r="C176" s="449"/>
      <c r="D176" s="1970">
        <v>2006</v>
      </c>
      <c r="E176" s="1971">
        <v>2011</v>
      </c>
      <c r="F176" s="1970">
        <v>2020</v>
      </c>
      <c r="H176" s="99"/>
      <c r="I176" s="100">
        <v>2006</v>
      </c>
      <c r="J176" s="100">
        <v>2007</v>
      </c>
      <c r="K176" s="100">
        <v>2008</v>
      </c>
      <c r="L176" s="100">
        <v>2009</v>
      </c>
      <c r="M176" s="100">
        <v>2010</v>
      </c>
      <c r="N176" s="100">
        <v>2011</v>
      </c>
      <c r="O176" s="100">
        <v>2012</v>
      </c>
      <c r="P176" s="100">
        <v>2013</v>
      </c>
      <c r="Q176" s="100">
        <v>2014</v>
      </c>
      <c r="R176" s="100">
        <v>2015</v>
      </c>
      <c r="S176" s="100">
        <v>2016</v>
      </c>
      <c r="T176" s="100">
        <v>2017</v>
      </c>
      <c r="U176" s="100">
        <v>2018</v>
      </c>
      <c r="V176" s="100">
        <v>2019</v>
      </c>
      <c r="W176" s="1424">
        <v>2020</v>
      </c>
    </row>
    <row r="177" spans="2:23" ht="15" customHeight="1" x14ac:dyDescent="0.25">
      <c r="B177" s="86"/>
      <c r="C177" s="86" t="s">
        <v>179</v>
      </c>
      <c r="D177" s="86">
        <v>42.475674553317035</v>
      </c>
      <c r="E177" s="18">
        <v>37.860129294372811</v>
      </c>
      <c r="F177" s="86">
        <v>58.792780404291136</v>
      </c>
      <c r="H177" s="104" t="s">
        <v>179</v>
      </c>
      <c r="I177" s="1972">
        <v>42.179744588914474</v>
      </c>
      <c r="J177" s="1972">
        <v>50.159633983674567</v>
      </c>
      <c r="K177" s="1972">
        <v>50.485323301676758</v>
      </c>
      <c r="L177" s="1972">
        <v>49.045730065705428</v>
      </c>
      <c r="M177" s="1972">
        <v>51.921441838508308</v>
      </c>
      <c r="N177" s="1972">
        <v>37.860129294372811</v>
      </c>
      <c r="O177" s="1972">
        <v>54.163190510478508</v>
      </c>
      <c r="P177" s="1972">
        <v>54.587157573028939</v>
      </c>
      <c r="Q177" s="1972">
        <v>54.964527636444579</v>
      </c>
      <c r="R177" s="1972">
        <v>55.276924419376485</v>
      </c>
      <c r="S177" s="1972">
        <v>56.281792817111608</v>
      </c>
      <c r="T177" s="1972">
        <v>56.885584918576626</v>
      </c>
      <c r="U177" s="1972">
        <v>57.496596273428729</v>
      </c>
      <c r="V177" s="1972">
        <v>58.133859458779312</v>
      </c>
      <c r="W177" s="1973">
        <v>58.792780404291136</v>
      </c>
    </row>
    <row r="178" spans="2:23" ht="15" customHeight="1" x14ac:dyDescent="0.25">
      <c r="B178" s="86"/>
      <c r="C178" s="86" t="s">
        <v>180</v>
      </c>
      <c r="D178" s="86">
        <v>16.870796954329833</v>
      </c>
      <c r="E178" s="18">
        <v>17.000425590955349</v>
      </c>
      <c r="F178" s="86">
        <v>18.84224894318902</v>
      </c>
      <c r="H178" s="104" t="s">
        <v>180</v>
      </c>
      <c r="I178" s="1972">
        <v>16.870796954329833</v>
      </c>
      <c r="J178" s="1972">
        <v>16.793814891553112</v>
      </c>
      <c r="K178" s="1972">
        <v>16.943946237574483</v>
      </c>
      <c r="L178" s="1972">
        <v>17.094077583595816</v>
      </c>
      <c r="M178" s="1972">
        <v>17.244208929617187</v>
      </c>
      <c r="N178" s="1972">
        <v>17.000425590955349</v>
      </c>
      <c r="O178" s="1972">
        <v>17.573780781280004</v>
      </c>
      <c r="P178" s="1972">
        <v>17.738566707111389</v>
      </c>
      <c r="Q178" s="1972">
        <v>17.903352632942809</v>
      </c>
      <c r="R178" s="1972">
        <v>18.068138558774205</v>
      </c>
      <c r="S178" s="1972">
        <v>18.222960635657177</v>
      </c>
      <c r="T178" s="1972">
        <v>18.377782712540121</v>
      </c>
      <c r="U178" s="1972">
        <v>18.532604789423097</v>
      </c>
      <c r="V178" s="1972">
        <v>18.687426866306048</v>
      </c>
      <c r="W178" s="1973">
        <v>18.84224894318902</v>
      </c>
    </row>
    <row r="179" spans="2:23" ht="15" customHeight="1" x14ac:dyDescent="0.25">
      <c r="B179" s="86"/>
      <c r="C179" s="86" t="s">
        <v>181</v>
      </c>
      <c r="D179" s="86">
        <v>29.669799999999999</v>
      </c>
      <c r="E179" s="18">
        <v>28.24707569993187</v>
      </c>
      <c r="F179" s="86">
        <v>38.589753745791242</v>
      </c>
      <c r="H179" s="104" t="s">
        <v>181</v>
      </c>
      <c r="I179" s="1974">
        <v>29.669799999999999</v>
      </c>
      <c r="J179" s="1974">
        <v>30.306939553270801</v>
      </c>
      <c r="K179" s="1974">
        <v>30.944079106541608</v>
      </c>
      <c r="L179" s="1974">
        <v>31.581218659812407</v>
      </c>
      <c r="M179" s="1974">
        <v>32.218358213083214</v>
      </c>
      <c r="N179" s="1974">
        <v>28.24707569993187</v>
      </c>
      <c r="O179" s="1974">
        <v>33.492637319624819</v>
      </c>
      <c r="P179" s="1974">
        <v>34.129776872895626</v>
      </c>
      <c r="Q179" s="1974">
        <v>34.766916426166425</v>
      </c>
      <c r="R179" s="1974">
        <v>35.404055979437231</v>
      </c>
      <c r="S179" s="1974">
        <v>36.041195532708038</v>
      </c>
      <c r="T179" s="1974">
        <v>36.678335085978837</v>
      </c>
      <c r="U179" s="1974">
        <v>37.315474639249643</v>
      </c>
      <c r="V179" s="1974">
        <v>37.952614192520436</v>
      </c>
      <c r="W179" s="1975">
        <v>38.589753745791242</v>
      </c>
    </row>
    <row r="180" spans="2:23" ht="15" customHeight="1" x14ac:dyDescent="0.25">
      <c r="B180" s="86"/>
      <c r="C180" s="86" t="s">
        <v>182</v>
      </c>
      <c r="D180" s="86">
        <v>5.8017938791854329</v>
      </c>
      <c r="E180" s="18">
        <v>7.022468457280195</v>
      </c>
      <c r="F180" s="86">
        <v>8.1941357079120607</v>
      </c>
      <c r="H180" s="104" t="s">
        <v>182</v>
      </c>
      <c r="I180" s="1974">
        <v>5.8017938791854329</v>
      </c>
      <c r="J180" s="1974">
        <v>5.9280910316434721</v>
      </c>
      <c r="K180" s="1974">
        <v>6.123583602931391</v>
      </c>
      <c r="L180" s="1974">
        <v>6.2804537908531035</v>
      </c>
      <c r="M180" s="1974">
        <v>6.4398682903296738</v>
      </c>
      <c r="N180" s="1974">
        <v>7.022468457280195</v>
      </c>
      <c r="O180" s="1974">
        <v>6.7666726243195656</v>
      </c>
      <c r="P180" s="1974">
        <v>6.934241056217024</v>
      </c>
      <c r="Q180" s="1974">
        <v>7.1047113981067058</v>
      </c>
      <c r="R180" s="1974">
        <v>7.2781800446502132</v>
      </c>
      <c r="S180" s="1974">
        <v>7.4547480436026419</v>
      </c>
      <c r="T180" s="1974">
        <v>7.6345184755157991</v>
      </c>
      <c r="U180" s="1974">
        <v>7.8175988729916597</v>
      </c>
      <c r="V180" s="1974">
        <v>8.0041000114670702</v>
      </c>
      <c r="W180" s="1975">
        <v>8.1941357079120607</v>
      </c>
    </row>
    <row r="181" spans="2:23" ht="15" customHeight="1" x14ac:dyDescent="0.25">
      <c r="B181" s="86"/>
      <c r="C181" s="86" t="str">
        <f>B75</f>
        <v>Fossil Fuel Industry</v>
      </c>
      <c r="D181" s="86">
        <v>0.94188463845227166</v>
      </c>
      <c r="E181" s="18">
        <v>0.83609220289311492</v>
      </c>
      <c r="F181" s="86">
        <v>0.92368868344346611</v>
      </c>
      <c r="H181" s="104" t="s">
        <v>81</v>
      </c>
      <c r="I181" s="652">
        <v>0.94188463845198123</v>
      </c>
      <c r="J181" s="652">
        <v>0.78746263901343827</v>
      </c>
      <c r="K181" s="652">
        <v>0.79794156550805639</v>
      </c>
      <c r="L181" s="652">
        <v>0.80842049200267452</v>
      </c>
      <c r="M181" s="652">
        <v>0.81889941849728998</v>
      </c>
      <c r="N181" s="652">
        <v>0.83609220289311492</v>
      </c>
      <c r="O181" s="652">
        <v>0.83985727148652622</v>
      </c>
      <c r="P181" s="652">
        <v>0.85033619798114457</v>
      </c>
      <c r="Q181" s="652">
        <v>0.86081512447575981</v>
      </c>
      <c r="R181" s="652">
        <v>0.87129405097037793</v>
      </c>
      <c r="S181" s="652">
        <v>0.88177297746499628</v>
      </c>
      <c r="T181" s="652">
        <v>0.8922519039596144</v>
      </c>
      <c r="U181" s="652">
        <v>0.90273083045422964</v>
      </c>
      <c r="V181" s="652">
        <v>0.91320975694884776</v>
      </c>
      <c r="W181" s="1976">
        <v>0.92368868344346611</v>
      </c>
    </row>
    <row r="182" spans="2:23" ht="15" customHeight="1" x14ac:dyDescent="0.25">
      <c r="B182" s="86"/>
      <c r="C182" s="86" t="str">
        <f>B88</f>
        <v>Industrial Processes</v>
      </c>
      <c r="D182" s="86">
        <v>7.4410423344781096</v>
      </c>
      <c r="E182" s="18">
        <v>4.3985727448193961</v>
      </c>
      <c r="F182" s="86">
        <v>10.244740524234293</v>
      </c>
      <c r="H182" s="104" t="s">
        <v>94</v>
      </c>
      <c r="I182" s="652">
        <v>7.4410424236811288</v>
      </c>
      <c r="J182" s="652">
        <v>7.6103215182007062</v>
      </c>
      <c r="K182" s="652">
        <v>7.5629247285501258</v>
      </c>
      <c r="L182" s="652">
        <v>8.0111768983214837</v>
      </c>
      <c r="M182" s="652">
        <v>8.2113527537241051</v>
      </c>
      <c r="N182" s="652">
        <v>4.3985727448193961</v>
      </c>
      <c r="O182" s="652">
        <v>8.6117044645292697</v>
      </c>
      <c r="P182" s="652">
        <v>8.811880319931868</v>
      </c>
      <c r="Q182" s="652">
        <v>9.0120561753344894</v>
      </c>
      <c r="R182" s="652">
        <v>9.2122320307370913</v>
      </c>
      <c r="S182" s="652">
        <v>9.4124078861397127</v>
      </c>
      <c r="T182" s="652">
        <v>9.6125837415423181</v>
      </c>
      <c r="U182" s="652">
        <v>9.8127595969449324</v>
      </c>
      <c r="V182" s="652">
        <v>10.027485226517665</v>
      </c>
      <c r="W182" s="1976">
        <v>10.244740524234293</v>
      </c>
    </row>
    <row r="183" spans="2:23" ht="15" customHeight="1" x14ac:dyDescent="0.25">
      <c r="B183" s="86"/>
      <c r="C183" s="86" t="str">
        <f>B125</f>
        <v>Agriculture</v>
      </c>
      <c r="D183" s="86">
        <v>1.7714261577852335</v>
      </c>
      <c r="E183" s="18">
        <v>1.6619477356257877</v>
      </c>
      <c r="F183" s="86">
        <v>1.8593377996177092</v>
      </c>
      <c r="H183" s="104" t="s">
        <v>131</v>
      </c>
      <c r="I183" s="652">
        <v>1.7714261577852333</v>
      </c>
      <c r="J183" s="652">
        <v>1.5139029807623536</v>
      </c>
      <c r="K183" s="652">
        <v>1.8456153540664655</v>
      </c>
      <c r="L183" s="652">
        <v>1.7870513192900073</v>
      </c>
      <c r="M183" s="652">
        <v>1.8484423382290367</v>
      </c>
      <c r="N183" s="652">
        <v>1.6619477356257877</v>
      </c>
      <c r="O183" s="652">
        <v>1.8498712898730012</v>
      </c>
      <c r="P183" s="652">
        <v>1.7880680909904909</v>
      </c>
      <c r="Q183" s="652">
        <v>1.8511187465206678</v>
      </c>
      <c r="R183" s="652">
        <v>1.7883742254687578</v>
      </c>
      <c r="S183" s="652">
        <v>1.8526808785947622</v>
      </c>
      <c r="T183" s="652">
        <v>1.7891893303721129</v>
      </c>
      <c r="U183" s="652">
        <v>1.8551844921729721</v>
      </c>
      <c r="V183" s="652">
        <v>1.7911286974967606</v>
      </c>
      <c r="W183" s="1976">
        <v>1.8593377996177092</v>
      </c>
    </row>
    <row r="184" spans="2:23" ht="15.75" customHeight="1" x14ac:dyDescent="0.25">
      <c r="B184" s="358"/>
      <c r="C184" s="358" t="str">
        <f>B146</f>
        <v>Waste Management</v>
      </c>
      <c r="D184" s="358">
        <v>2.2571179512006849</v>
      </c>
      <c r="E184" s="40">
        <v>2.2571179512006849</v>
      </c>
      <c r="F184" s="358">
        <v>2.6028767109984461</v>
      </c>
      <c r="H184" s="109" t="s">
        <v>152</v>
      </c>
      <c r="I184" s="1977">
        <v>2.2571179512006849</v>
      </c>
      <c r="J184" s="1977">
        <v>2.2757751464297691</v>
      </c>
      <c r="K184" s="1977">
        <v>2.2981771806560092</v>
      </c>
      <c r="L184" s="1977">
        <v>2.3205792148822502</v>
      </c>
      <c r="M184" s="1977">
        <v>2.3429812491084907</v>
      </c>
      <c r="N184" s="1977">
        <v>2.2571179512006849</v>
      </c>
      <c r="O184" s="1977">
        <v>2.3978286853693773</v>
      </c>
      <c r="P184" s="1977">
        <v>2.4257104100909164</v>
      </c>
      <c r="Q184" s="1977">
        <v>2.453592134812455</v>
      </c>
      <c r="R184" s="1977">
        <v>2.4814738595339949</v>
      </c>
      <c r="S184" s="1977">
        <v>2.5062526777248353</v>
      </c>
      <c r="T184" s="1977">
        <v>2.5304086860432382</v>
      </c>
      <c r="U184" s="1977">
        <v>2.5545646943616407</v>
      </c>
      <c r="V184" s="1977">
        <v>2.5787207026800432</v>
      </c>
      <c r="W184" s="1978">
        <v>2.6028767109984461</v>
      </c>
    </row>
    <row r="185" spans="2:23" ht="15.75" customHeight="1" x14ac:dyDescent="0.25">
      <c r="B185" s="4"/>
      <c r="C185" s="4"/>
      <c r="D185" s="4"/>
    </row>
    <row r="186" spans="2:23" ht="15" customHeight="1" x14ac:dyDescent="0.25">
      <c r="B186" s="4"/>
      <c r="C186" s="4"/>
      <c r="D186" s="4"/>
      <c r="H186" s="99"/>
      <c r="I186" s="100">
        <v>2006</v>
      </c>
      <c r="J186" s="100">
        <v>2007</v>
      </c>
      <c r="K186" s="100">
        <v>2008</v>
      </c>
      <c r="L186" s="100">
        <v>2009</v>
      </c>
      <c r="M186" s="100">
        <v>2010</v>
      </c>
      <c r="N186" s="100">
        <v>2011</v>
      </c>
      <c r="O186" s="100">
        <v>2012</v>
      </c>
      <c r="P186" s="100">
        <v>2013</v>
      </c>
      <c r="Q186" s="100">
        <v>2014</v>
      </c>
      <c r="R186" s="100">
        <v>2015</v>
      </c>
      <c r="S186" s="100">
        <v>2016</v>
      </c>
      <c r="T186" s="100">
        <v>2017</v>
      </c>
      <c r="U186" s="100">
        <v>2018</v>
      </c>
      <c r="V186" s="100">
        <v>2019</v>
      </c>
      <c r="W186" s="1424">
        <v>2020</v>
      </c>
    </row>
    <row r="187" spans="2:23" ht="15" customHeight="1" x14ac:dyDescent="0.25">
      <c r="H187" s="104" t="s">
        <v>179</v>
      </c>
      <c r="I187" s="1972">
        <v>42.179744588914474</v>
      </c>
      <c r="J187" s="1972">
        <v>50.159633983674567</v>
      </c>
      <c r="K187" s="1972">
        <v>50.485323301676758</v>
      </c>
      <c r="L187" s="1972">
        <v>49.045730065705428</v>
      </c>
      <c r="M187" s="1972">
        <v>51.921441838508308</v>
      </c>
      <c r="N187" s="1972">
        <v>37.860129294372811</v>
      </c>
      <c r="O187" s="1972">
        <v>54.163190510478508</v>
      </c>
      <c r="P187" s="1972">
        <v>54.587157573028939</v>
      </c>
      <c r="Q187" s="1972">
        <v>54.964527636444579</v>
      </c>
      <c r="R187" s="1972">
        <v>55.276924419376485</v>
      </c>
      <c r="S187" s="1972">
        <v>56.281792817111608</v>
      </c>
      <c r="T187" s="1972">
        <v>56.885584918576626</v>
      </c>
      <c r="U187" s="1972">
        <v>57.496596273428729</v>
      </c>
      <c r="V187" s="1972">
        <v>58.133859458779312</v>
      </c>
      <c r="W187" s="1973">
        <v>58.792780404291136</v>
      </c>
    </row>
    <row r="188" spans="2:23" ht="15" customHeight="1" x14ac:dyDescent="0.25">
      <c r="H188" s="104" t="s">
        <v>180</v>
      </c>
      <c r="I188" s="1972">
        <v>16.870796954329833</v>
      </c>
      <c r="J188" s="1972">
        <v>16.793814891553112</v>
      </c>
      <c r="K188" s="1972">
        <v>16.943946237574483</v>
      </c>
      <c r="L188" s="1972">
        <v>17.094077583595816</v>
      </c>
      <c r="M188" s="1972">
        <v>17.244208929617187</v>
      </c>
      <c r="N188" s="1972">
        <v>17.000425590955349</v>
      </c>
      <c r="O188" s="1972">
        <v>17.573780781280004</v>
      </c>
      <c r="P188" s="1972">
        <v>17.738566707111389</v>
      </c>
      <c r="Q188" s="1972">
        <v>17.903352632942809</v>
      </c>
      <c r="R188" s="1972">
        <v>18.068138558774205</v>
      </c>
      <c r="S188" s="1972">
        <v>18.222960635657177</v>
      </c>
      <c r="T188" s="1972">
        <v>18.377782712540121</v>
      </c>
      <c r="U188" s="1972">
        <v>18.532604789423097</v>
      </c>
      <c r="V188" s="1972">
        <v>18.687426866306048</v>
      </c>
      <c r="W188" s="1973">
        <v>18.84224894318902</v>
      </c>
    </row>
    <row r="189" spans="2:23" ht="15" customHeight="1" x14ac:dyDescent="0.25">
      <c r="H189" s="104" t="s">
        <v>181</v>
      </c>
      <c r="I189" s="1974">
        <v>29.669799999999999</v>
      </c>
      <c r="J189" s="1974">
        <v>30.306939553270801</v>
      </c>
      <c r="K189" s="1974">
        <v>30.944079106541608</v>
      </c>
      <c r="L189" s="1974">
        <v>31.581218659812407</v>
      </c>
      <c r="M189" s="1974">
        <v>32.218358213083214</v>
      </c>
      <c r="N189" s="1974">
        <v>28.24707569993187</v>
      </c>
      <c r="O189" s="1974">
        <v>33.492637319624819</v>
      </c>
      <c r="P189" s="1974">
        <v>34.129776872895626</v>
      </c>
      <c r="Q189" s="1974">
        <v>34.766916426166425</v>
      </c>
      <c r="R189" s="1974">
        <v>35.404055979437231</v>
      </c>
      <c r="S189" s="1974">
        <v>36.041195532708038</v>
      </c>
      <c r="T189" s="1974">
        <v>36.678335085978837</v>
      </c>
      <c r="U189" s="1974">
        <v>37.315474639249643</v>
      </c>
      <c r="V189" s="1974">
        <v>37.952614192520436</v>
      </c>
      <c r="W189" s="1975">
        <v>38.589753745791242</v>
      </c>
    </row>
    <row r="190" spans="2:23" ht="15" customHeight="1" x14ac:dyDescent="0.25">
      <c r="H190" s="104" t="s">
        <v>182</v>
      </c>
      <c r="I190" s="1974">
        <v>5.8017938791854329</v>
      </c>
      <c r="J190" s="1974">
        <v>5.9280910316434721</v>
      </c>
      <c r="K190" s="1974">
        <v>6.123583602931391</v>
      </c>
      <c r="L190" s="1974">
        <v>6.2804537908531035</v>
      </c>
      <c r="M190" s="1974">
        <v>6.4398682903296738</v>
      </c>
      <c r="N190" s="1974">
        <v>7.022468457280195</v>
      </c>
      <c r="O190" s="1974">
        <v>6.7666726243195656</v>
      </c>
      <c r="P190" s="1974">
        <v>6.934241056217024</v>
      </c>
      <c r="Q190" s="1974">
        <v>7.1047113981067058</v>
      </c>
      <c r="R190" s="1974">
        <v>7.2781800446502132</v>
      </c>
      <c r="S190" s="1974">
        <v>7.4547480436026419</v>
      </c>
      <c r="T190" s="1974">
        <v>7.6345184755157991</v>
      </c>
      <c r="U190" s="1974">
        <v>7.8175988729916597</v>
      </c>
      <c r="V190" s="1974">
        <v>8.0041000114670702</v>
      </c>
      <c r="W190" s="1975">
        <v>8.1941357079120607</v>
      </c>
    </row>
    <row r="191" spans="2:23" ht="15" customHeight="1" x14ac:dyDescent="0.25">
      <c r="H191" s="104" t="s">
        <v>81</v>
      </c>
      <c r="I191" s="652">
        <v>0.94188463845198123</v>
      </c>
      <c r="J191" s="652">
        <v>0.78746263901343827</v>
      </c>
      <c r="K191" s="652">
        <v>0.79794156550805639</v>
      </c>
      <c r="L191" s="652">
        <v>0.80842049200267452</v>
      </c>
      <c r="M191" s="652">
        <v>0.81889941849728998</v>
      </c>
      <c r="N191" s="652">
        <v>0.83609220289311492</v>
      </c>
      <c r="O191" s="652">
        <v>0.83985727148652622</v>
      </c>
      <c r="P191" s="652">
        <v>0.85033619798114457</v>
      </c>
      <c r="Q191" s="652">
        <v>0.86081512447575981</v>
      </c>
      <c r="R191" s="652">
        <v>0.87129405097037793</v>
      </c>
      <c r="S191" s="652">
        <v>0.88177297746499628</v>
      </c>
      <c r="T191" s="652">
        <v>0.8922519039596144</v>
      </c>
      <c r="U191" s="652">
        <v>0.90273083045422964</v>
      </c>
      <c r="V191" s="652">
        <v>0.91320975694884776</v>
      </c>
      <c r="W191" s="1976">
        <v>0.92368868344346611</v>
      </c>
    </row>
    <row r="192" spans="2:23" ht="15" customHeight="1" x14ac:dyDescent="0.25">
      <c r="H192" s="104" t="s">
        <v>94</v>
      </c>
      <c r="I192" s="652">
        <v>7.4410424236811288</v>
      </c>
      <c r="J192" s="652">
        <v>7.6103215182007062</v>
      </c>
      <c r="K192" s="652">
        <v>7.5629247285501258</v>
      </c>
      <c r="L192" s="652">
        <v>8.0111768983214837</v>
      </c>
      <c r="M192" s="652">
        <v>8.2113527537241051</v>
      </c>
      <c r="N192" s="652">
        <v>4.3985727448193961</v>
      </c>
      <c r="O192" s="652">
        <v>8.6117044645292697</v>
      </c>
      <c r="P192" s="652">
        <v>8.811880319931868</v>
      </c>
      <c r="Q192" s="652">
        <v>9.0120561753344894</v>
      </c>
      <c r="R192" s="652">
        <v>9.2122320307370913</v>
      </c>
      <c r="S192" s="652">
        <v>9.4124078861397127</v>
      </c>
      <c r="T192" s="652">
        <v>9.6125837415423181</v>
      </c>
      <c r="U192" s="652">
        <v>9.8127595969449324</v>
      </c>
      <c r="V192" s="652">
        <v>10.027485226517665</v>
      </c>
      <c r="W192" s="1976">
        <v>10.244740524234293</v>
      </c>
    </row>
    <row r="193" spans="8:23" ht="15" customHeight="1" x14ac:dyDescent="0.25">
      <c r="H193" s="104" t="s">
        <v>131</v>
      </c>
      <c r="I193" s="652">
        <v>1.7714261577852333</v>
      </c>
      <c r="J193" s="652">
        <v>1.5139029807623536</v>
      </c>
      <c r="K193" s="652">
        <v>1.8456153540664655</v>
      </c>
      <c r="L193" s="652">
        <v>1.7870513192900073</v>
      </c>
      <c r="M193" s="652">
        <v>1.8484423382290367</v>
      </c>
      <c r="N193" s="652">
        <v>1.6619477356257877</v>
      </c>
      <c r="O193" s="652">
        <v>1.8498712898730012</v>
      </c>
      <c r="P193" s="652">
        <v>1.7880680909904909</v>
      </c>
      <c r="Q193" s="652">
        <v>1.8511187465206678</v>
      </c>
      <c r="R193" s="652">
        <v>1.7883742254687578</v>
      </c>
      <c r="S193" s="652">
        <v>1.8526808785947622</v>
      </c>
      <c r="T193" s="652">
        <v>1.7891893303721129</v>
      </c>
      <c r="U193" s="652">
        <v>1.8551844921729721</v>
      </c>
      <c r="V193" s="652">
        <v>1.7911286974967606</v>
      </c>
      <c r="W193" s="1976">
        <v>1.8593377996177092</v>
      </c>
    </row>
    <row r="194" spans="8:23" ht="15.75" customHeight="1" x14ac:dyDescent="0.25">
      <c r="H194" s="109" t="s">
        <v>152</v>
      </c>
      <c r="I194" s="1977">
        <v>2.2571179512006849</v>
      </c>
      <c r="J194" s="1977">
        <v>2.2757751464297691</v>
      </c>
      <c r="K194" s="1977">
        <v>2.2981771806560092</v>
      </c>
      <c r="L194" s="1977">
        <v>2.3205792148822502</v>
      </c>
      <c r="M194" s="1977">
        <v>2.3429812491084907</v>
      </c>
      <c r="N194" s="1977">
        <v>2.2571179512006849</v>
      </c>
      <c r="O194" s="1977">
        <v>2.3978286853693773</v>
      </c>
      <c r="P194" s="1977">
        <v>2.4257104100909164</v>
      </c>
      <c r="Q194" s="1977">
        <v>2.453592134812455</v>
      </c>
      <c r="R194" s="1977">
        <v>2.4814738595339949</v>
      </c>
      <c r="S194" s="1977">
        <v>2.5062526777248353</v>
      </c>
      <c r="T194" s="1977">
        <v>2.5304086860432382</v>
      </c>
      <c r="U194" s="1977">
        <v>2.5545646943616407</v>
      </c>
      <c r="V194" s="1977">
        <v>2.5787207026800432</v>
      </c>
      <c r="W194" s="1978">
        <v>2.6028767109984461</v>
      </c>
    </row>
    <row r="195" spans="8:23" ht="11.25" customHeight="1" x14ac:dyDescent="0.2"/>
    <row r="196" spans="8:23" ht="11.25" customHeight="1" x14ac:dyDescent="0.2"/>
    <row r="197" spans="8:23" ht="11.25" customHeight="1" x14ac:dyDescent="0.2"/>
    <row r="198" spans="8:23" ht="11.25" customHeight="1" x14ac:dyDescent="0.2"/>
    <row r="199" spans="8:23" ht="11.25" customHeight="1" x14ac:dyDescent="0.2"/>
    <row r="200" spans="8:23" ht="11.25" customHeight="1" x14ac:dyDescent="0.2"/>
    <row r="201" spans="8:23" ht="11.25" customHeight="1" x14ac:dyDescent="0.2"/>
    <row r="202" spans="8:23" ht="11.25" customHeight="1" x14ac:dyDescent="0.2"/>
    <row r="203" spans="8:23" ht="11.25" customHeight="1" x14ac:dyDescent="0.2"/>
    <row r="204" spans="8:23" ht="11.25" customHeight="1" x14ac:dyDescent="0.2"/>
    <row r="205" spans="8:23" ht="11.25" customHeight="1" x14ac:dyDescent="0.2"/>
    <row r="206" spans="8:23" ht="11.25" customHeight="1" x14ac:dyDescent="0.2"/>
    <row r="207" spans="8:23" ht="11.25" customHeight="1" x14ac:dyDescent="0.2"/>
    <row r="208" spans="8:23"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spans="3:4" ht="11.25" customHeight="1" x14ac:dyDescent="0.2"/>
    <row r="242" spans="3:4" ht="11.25" customHeight="1" x14ac:dyDescent="0.2"/>
    <row r="243" spans="3:4" ht="11.25" customHeight="1" x14ac:dyDescent="0.2"/>
    <row r="244" spans="3:4" ht="15.75" customHeight="1" x14ac:dyDescent="0.25">
      <c r="C244" s="1952" t="s">
        <v>1839</v>
      </c>
    </row>
    <row r="245" spans="3:4" ht="11.25" customHeight="1" x14ac:dyDescent="0.2"/>
    <row r="246" spans="3:4" ht="11.25" customHeight="1" x14ac:dyDescent="0.2">
      <c r="C246" s="1979" t="s">
        <v>708</v>
      </c>
    </row>
    <row r="247" spans="3:4" ht="11.25" customHeight="1" x14ac:dyDescent="0.2"/>
    <row r="248" spans="3:4" ht="12" customHeight="1" x14ac:dyDescent="0.2"/>
    <row r="249" spans="3:4" ht="15" customHeight="1" x14ac:dyDescent="0.25">
      <c r="C249" s="99"/>
      <c r="D249" s="778">
        <v>2011</v>
      </c>
    </row>
    <row r="250" spans="3:4" ht="15" customHeight="1" x14ac:dyDescent="0.25">
      <c r="C250" s="104" t="s">
        <v>219</v>
      </c>
      <c r="D250" s="797">
        <v>21186919</v>
      </c>
    </row>
    <row r="251" spans="3:4" ht="15" customHeight="1" x14ac:dyDescent="0.25">
      <c r="C251" s="104" t="s">
        <v>220</v>
      </c>
      <c r="D251" s="797">
        <v>219804</v>
      </c>
    </row>
    <row r="252" spans="3:4" ht="15" customHeight="1" x14ac:dyDescent="0.25">
      <c r="C252" s="104" t="s">
        <v>221</v>
      </c>
      <c r="D252" s="797">
        <v>2236976</v>
      </c>
    </row>
    <row r="253" spans="3:4" ht="15" customHeight="1" x14ac:dyDescent="0.25">
      <c r="C253" s="104" t="s">
        <v>709</v>
      </c>
      <c r="D253" s="797">
        <v>154641</v>
      </c>
    </row>
    <row r="254" spans="3:4" ht="15" customHeight="1" x14ac:dyDescent="0.25">
      <c r="C254" s="104" t="s">
        <v>710</v>
      </c>
      <c r="D254" s="797">
        <v>14397437</v>
      </c>
    </row>
    <row r="255" spans="3:4" ht="15" customHeight="1" x14ac:dyDescent="0.25">
      <c r="C255" s="104" t="s">
        <v>711</v>
      </c>
      <c r="D255" s="797">
        <v>2540908</v>
      </c>
    </row>
    <row r="256" spans="3:4" ht="15" customHeight="1" x14ac:dyDescent="0.25">
      <c r="C256" s="104" t="s">
        <v>712</v>
      </c>
      <c r="D256" s="797">
        <v>319254</v>
      </c>
    </row>
    <row r="257" spans="3:4" ht="15" customHeight="1" x14ac:dyDescent="0.25">
      <c r="C257" s="104" t="s">
        <v>713</v>
      </c>
      <c r="D257" s="797">
        <v>2070</v>
      </c>
    </row>
    <row r="258" spans="3:4" ht="15" customHeight="1" x14ac:dyDescent="0.25">
      <c r="C258" s="104" t="s">
        <v>714</v>
      </c>
      <c r="D258" s="797">
        <v>167437</v>
      </c>
    </row>
    <row r="259" spans="3:4" ht="15" customHeight="1" x14ac:dyDescent="0.25">
      <c r="C259" s="104" t="s">
        <v>715</v>
      </c>
      <c r="D259" s="797">
        <v>420114</v>
      </c>
    </row>
    <row r="260" spans="3:4" ht="15.75" customHeight="1" x14ac:dyDescent="0.25">
      <c r="C260" s="109" t="s">
        <v>716</v>
      </c>
      <c r="D260" s="1980">
        <v>267727</v>
      </c>
    </row>
    <row r="261" spans="3:4" ht="11.25" customHeight="1" x14ac:dyDescent="0.2"/>
    <row r="262" spans="3:4" ht="11.25" customHeight="1" x14ac:dyDescent="0.2"/>
    <row r="263" spans="3:4" ht="11.25" customHeight="1" x14ac:dyDescent="0.2"/>
    <row r="264" spans="3:4" ht="11.25" customHeight="1" x14ac:dyDescent="0.2"/>
    <row r="265" spans="3:4" ht="11.25" customHeight="1" x14ac:dyDescent="0.2"/>
    <row r="266" spans="3:4" ht="11.25" customHeight="1" x14ac:dyDescent="0.2"/>
    <row r="267" spans="3:4" ht="11.25" customHeight="1" x14ac:dyDescent="0.2"/>
    <row r="268" spans="3:4" ht="11.25" customHeight="1" x14ac:dyDescent="0.2"/>
    <row r="269" spans="3:4" ht="11.25" customHeight="1" x14ac:dyDescent="0.2"/>
    <row r="270" spans="3:4" ht="11.25" customHeight="1" x14ac:dyDescent="0.2"/>
    <row r="271" spans="3:4" ht="11.25" customHeight="1" x14ac:dyDescent="0.2"/>
    <row r="272" spans="3:4"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spans="3:28" ht="11.25" customHeight="1" x14ac:dyDescent="0.2"/>
    <row r="290" spans="3:28" ht="11.25" customHeight="1" x14ac:dyDescent="0.2"/>
    <row r="291" spans="3:28" ht="11.25" customHeight="1" x14ac:dyDescent="0.2"/>
    <row r="292" spans="3:28" ht="11.25" customHeight="1" x14ac:dyDescent="0.2"/>
    <row r="293" spans="3:28" ht="12" customHeight="1" x14ac:dyDescent="0.2"/>
    <row r="294" spans="3:28" ht="18.75" customHeight="1" x14ac:dyDescent="0.25">
      <c r="C294" s="4"/>
      <c r="D294" s="643"/>
      <c r="E294" s="795"/>
      <c r="F294" s="772" t="s">
        <v>708</v>
      </c>
      <c r="G294" s="796"/>
      <c r="H294" s="1981"/>
      <c r="I294" s="795"/>
      <c r="J294" s="795"/>
      <c r="K294" s="4"/>
      <c r="L294" s="4"/>
      <c r="M294" s="4"/>
      <c r="N294" s="4"/>
      <c r="O294" s="4"/>
      <c r="P294" s="4"/>
      <c r="Q294" s="4"/>
      <c r="R294" s="4"/>
      <c r="S294" s="4"/>
      <c r="T294" s="4"/>
      <c r="U294" s="4"/>
      <c r="V294" s="4"/>
      <c r="W294" s="4"/>
      <c r="X294" s="4"/>
      <c r="AB294" s="1982" t="s">
        <v>1840</v>
      </c>
    </row>
    <row r="295" spans="3:28" ht="15.75" customHeight="1" x14ac:dyDescent="0.25">
      <c r="C295" s="4"/>
      <c r="D295" s="643"/>
      <c r="E295" s="795"/>
      <c r="F295" s="795"/>
      <c r="G295" s="795"/>
      <c r="H295" s="795"/>
      <c r="I295" s="795"/>
      <c r="J295" s="795"/>
      <c r="K295" s="4"/>
      <c r="L295" s="4"/>
      <c r="M295" s="4"/>
      <c r="N295" s="4"/>
      <c r="O295" s="4"/>
      <c r="P295" s="4"/>
      <c r="Q295" s="4"/>
      <c r="R295" s="4"/>
      <c r="S295" s="4"/>
      <c r="T295" s="4"/>
      <c r="U295" s="4"/>
      <c r="V295" s="4"/>
      <c r="W295" s="4"/>
      <c r="X295" s="4"/>
    </row>
    <row r="296" spans="3:28" ht="15" customHeight="1" x14ac:dyDescent="0.25">
      <c r="C296" s="99"/>
      <c r="D296" s="775">
        <v>1991</v>
      </c>
      <c r="E296" s="775">
        <v>1992</v>
      </c>
      <c r="F296" s="775">
        <v>1993</v>
      </c>
      <c r="G296" s="775">
        <v>1994</v>
      </c>
      <c r="H296" s="775">
        <v>1995</v>
      </c>
      <c r="I296" s="775">
        <v>1996</v>
      </c>
      <c r="J296" s="775">
        <v>1997</v>
      </c>
      <c r="K296" s="775">
        <v>1998</v>
      </c>
      <c r="L296" s="775">
        <v>1999</v>
      </c>
      <c r="M296" s="775">
        <v>2000</v>
      </c>
      <c r="N296" s="775">
        <v>2001</v>
      </c>
      <c r="O296" s="775">
        <v>2002</v>
      </c>
      <c r="P296" s="775">
        <v>2003</v>
      </c>
      <c r="Q296" s="775">
        <v>2004</v>
      </c>
      <c r="R296" s="775">
        <v>2005</v>
      </c>
      <c r="S296" s="775">
        <v>2006</v>
      </c>
      <c r="T296" s="775">
        <v>2007</v>
      </c>
      <c r="U296" s="776">
        <v>2008</v>
      </c>
      <c r="V296" s="775">
        <v>2009</v>
      </c>
      <c r="W296" s="775">
        <v>2010</v>
      </c>
      <c r="X296" s="778">
        <v>2011</v>
      </c>
    </row>
    <row r="297" spans="3:28" ht="15" customHeight="1" x14ac:dyDescent="0.25">
      <c r="C297" s="104" t="s">
        <v>219</v>
      </c>
      <c r="D297" s="783">
        <v>22835671</v>
      </c>
      <c r="E297" s="783">
        <v>23850470</v>
      </c>
      <c r="F297" s="783">
        <v>25126979</v>
      </c>
      <c r="G297" s="783">
        <v>25624758</v>
      </c>
      <c r="H297" s="783">
        <v>27595256</v>
      </c>
      <c r="I297" s="783">
        <v>27992005</v>
      </c>
      <c r="J297" s="783">
        <v>27620925</v>
      </c>
      <c r="K297" s="783">
        <v>29294727</v>
      </c>
      <c r="L297" s="783">
        <v>29687655</v>
      </c>
      <c r="M297" s="783">
        <v>29451065</v>
      </c>
      <c r="N297" s="783">
        <v>28379409</v>
      </c>
      <c r="O297" s="783">
        <v>28712053</v>
      </c>
      <c r="P297" s="783">
        <v>29939086</v>
      </c>
      <c r="Q297" s="783">
        <v>29195458</v>
      </c>
      <c r="R297" s="783">
        <v>29302792</v>
      </c>
      <c r="S297" s="783">
        <v>29408022</v>
      </c>
      <c r="T297" s="783">
        <v>29699186</v>
      </c>
      <c r="U297" s="784">
        <v>27218239</v>
      </c>
      <c r="V297" s="783">
        <v>24162345</v>
      </c>
      <c r="W297" s="783">
        <v>23668204</v>
      </c>
      <c r="X297" s="797">
        <v>21186919</v>
      </c>
    </row>
    <row r="298" spans="3:28" ht="15" customHeight="1" x14ac:dyDescent="0.25">
      <c r="C298" s="104" t="s">
        <v>220</v>
      </c>
      <c r="D298" s="783">
        <v>4078506</v>
      </c>
      <c r="E298" s="783">
        <v>2749511</v>
      </c>
      <c r="F298" s="783">
        <v>4164790</v>
      </c>
      <c r="G298" s="783">
        <v>4275226</v>
      </c>
      <c r="H298" s="783">
        <v>1479469</v>
      </c>
      <c r="I298" s="783">
        <v>1472027</v>
      </c>
      <c r="J298" s="783">
        <v>1565010</v>
      </c>
      <c r="K298" s="783">
        <v>3454350</v>
      </c>
      <c r="L298" s="783">
        <v>4290788</v>
      </c>
      <c r="M298" s="783">
        <v>2388595</v>
      </c>
      <c r="N298" s="783">
        <v>3021639</v>
      </c>
      <c r="O298" s="783">
        <v>2282432</v>
      </c>
      <c r="P298" s="783">
        <v>3572183</v>
      </c>
      <c r="Q298" s="783">
        <v>3296842</v>
      </c>
      <c r="R298" s="783">
        <v>3805569</v>
      </c>
      <c r="S298" s="783">
        <v>580726</v>
      </c>
      <c r="T298" s="783">
        <v>984831</v>
      </c>
      <c r="U298" s="784">
        <v>405840</v>
      </c>
      <c r="V298" s="783">
        <v>329901</v>
      </c>
      <c r="W298" s="783">
        <v>322438</v>
      </c>
      <c r="X298" s="797">
        <v>219804</v>
      </c>
    </row>
    <row r="299" spans="3:28" ht="15" customHeight="1" x14ac:dyDescent="0.25">
      <c r="C299" s="104" t="s">
        <v>221</v>
      </c>
      <c r="D299" s="783">
        <v>1517463</v>
      </c>
      <c r="E299" s="783">
        <v>1077542</v>
      </c>
      <c r="F299" s="783">
        <v>772304</v>
      </c>
      <c r="G299" s="783">
        <v>1172042</v>
      </c>
      <c r="H299" s="783">
        <v>1548884</v>
      </c>
      <c r="I299" s="783">
        <v>987627</v>
      </c>
      <c r="J299" s="783">
        <v>1412585</v>
      </c>
      <c r="K299" s="783">
        <v>1990596</v>
      </c>
      <c r="L299" s="783">
        <v>2125193</v>
      </c>
      <c r="M299" s="783">
        <v>2852876</v>
      </c>
      <c r="N299" s="783">
        <v>1760812</v>
      </c>
      <c r="O299" s="783">
        <v>2214431</v>
      </c>
      <c r="P299" s="783">
        <v>1195642</v>
      </c>
      <c r="Q299" s="783">
        <v>1183301</v>
      </c>
      <c r="R299" s="783">
        <v>1886986</v>
      </c>
      <c r="S299" s="783">
        <v>1770206</v>
      </c>
      <c r="T299" s="783">
        <v>2240927</v>
      </c>
      <c r="U299" s="784">
        <v>1848147</v>
      </c>
      <c r="V299" s="783">
        <v>1767844</v>
      </c>
      <c r="W299" s="783">
        <v>2896978</v>
      </c>
      <c r="X299" s="797">
        <v>2236976</v>
      </c>
    </row>
    <row r="300" spans="3:28" ht="15" customHeight="1" x14ac:dyDescent="0.25">
      <c r="C300" s="104" t="s">
        <v>709</v>
      </c>
      <c r="D300" s="783">
        <v>478704</v>
      </c>
      <c r="E300" s="783">
        <v>506572</v>
      </c>
      <c r="F300" s="783">
        <v>475788</v>
      </c>
      <c r="G300" s="783">
        <v>501762</v>
      </c>
      <c r="H300" s="783">
        <v>685721</v>
      </c>
      <c r="I300" s="783">
        <v>539335</v>
      </c>
      <c r="J300" s="783">
        <v>564036</v>
      </c>
      <c r="K300" s="783">
        <v>82316</v>
      </c>
      <c r="L300" s="783">
        <v>59891</v>
      </c>
      <c r="M300" s="783">
        <v>74572</v>
      </c>
      <c r="N300" s="783">
        <v>439980</v>
      </c>
      <c r="O300" s="783">
        <v>504513</v>
      </c>
      <c r="P300" s="783">
        <v>325355</v>
      </c>
      <c r="Q300" s="783">
        <v>411565</v>
      </c>
      <c r="R300" s="783">
        <v>342466</v>
      </c>
      <c r="S300" s="783">
        <v>332444</v>
      </c>
      <c r="T300" s="783">
        <v>377560</v>
      </c>
      <c r="U300" s="784">
        <v>337823</v>
      </c>
      <c r="V300" s="783">
        <v>269182</v>
      </c>
      <c r="W300" s="783">
        <v>214727</v>
      </c>
      <c r="X300" s="797">
        <v>154641</v>
      </c>
    </row>
    <row r="301" spans="3:28" ht="15" customHeight="1" x14ac:dyDescent="0.25">
      <c r="C301" s="104" t="s">
        <v>710</v>
      </c>
      <c r="D301" s="783">
        <v>9036100</v>
      </c>
      <c r="E301" s="783">
        <v>10663950</v>
      </c>
      <c r="F301" s="783">
        <v>12300816</v>
      </c>
      <c r="G301" s="783">
        <v>11235408</v>
      </c>
      <c r="H301" s="783">
        <v>12937971</v>
      </c>
      <c r="I301" s="783">
        <v>12092768</v>
      </c>
      <c r="J301" s="783">
        <v>13212967</v>
      </c>
      <c r="K301" s="783">
        <v>13330598</v>
      </c>
      <c r="L301" s="783">
        <v>13312335</v>
      </c>
      <c r="M301" s="783">
        <v>13827243</v>
      </c>
      <c r="N301" s="783">
        <v>13656267</v>
      </c>
      <c r="O301" s="783">
        <v>12128005</v>
      </c>
      <c r="P301" s="783">
        <v>13690713</v>
      </c>
      <c r="Q301" s="783">
        <v>14580260</v>
      </c>
      <c r="R301" s="783">
        <v>14703221</v>
      </c>
      <c r="S301" s="783">
        <v>13830411</v>
      </c>
      <c r="T301" s="783">
        <v>14353192</v>
      </c>
      <c r="U301" s="784">
        <v>14678695</v>
      </c>
      <c r="V301" s="783">
        <v>14550119</v>
      </c>
      <c r="W301" s="783">
        <v>13993948</v>
      </c>
      <c r="X301" s="797">
        <v>14397437</v>
      </c>
    </row>
    <row r="302" spans="3:28" ht="15" customHeight="1" x14ac:dyDescent="0.25">
      <c r="C302" s="104" t="s">
        <v>711</v>
      </c>
      <c r="D302" s="783">
        <v>1407287</v>
      </c>
      <c r="E302" s="783">
        <v>1824659</v>
      </c>
      <c r="F302" s="783">
        <v>1658271</v>
      </c>
      <c r="G302" s="783">
        <v>2009536</v>
      </c>
      <c r="H302" s="783">
        <v>1442006</v>
      </c>
      <c r="I302" s="783">
        <v>2457463</v>
      </c>
      <c r="J302" s="783">
        <v>1588375</v>
      </c>
      <c r="K302" s="783">
        <v>1739737</v>
      </c>
      <c r="L302" s="783">
        <v>1424197</v>
      </c>
      <c r="M302" s="783">
        <v>1732619</v>
      </c>
      <c r="N302" s="783">
        <v>1183518</v>
      </c>
      <c r="O302" s="783">
        <v>1660989</v>
      </c>
      <c r="P302" s="783">
        <v>2646984</v>
      </c>
      <c r="Q302" s="783">
        <v>2507521</v>
      </c>
      <c r="R302" s="783">
        <v>1703639</v>
      </c>
      <c r="S302" s="783">
        <v>2104275</v>
      </c>
      <c r="T302" s="783">
        <v>1652216</v>
      </c>
      <c r="U302" s="784">
        <v>1974078</v>
      </c>
      <c r="V302" s="783">
        <v>1888769</v>
      </c>
      <c r="W302" s="783">
        <v>1667397</v>
      </c>
      <c r="X302" s="797">
        <v>2540908</v>
      </c>
    </row>
    <row r="303" spans="3:28" ht="15" customHeight="1" x14ac:dyDescent="0.25">
      <c r="C303" s="104" t="s">
        <v>712</v>
      </c>
      <c r="D303" s="783"/>
      <c r="E303" s="783"/>
      <c r="F303" s="783"/>
      <c r="G303" s="783"/>
      <c r="H303" s="783"/>
      <c r="I303" s="783"/>
      <c r="J303" s="783"/>
      <c r="K303" s="783"/>
      <c r="L303" s="783"/>
      <c r="M303" s="783"/>
      <c r="N303" s="783"/>
      <c r="O303" s="783"/>
      <c r="P303" s="783"/>
      <c r="Q303" s="783"/>
      <c r="R303" s="783"/>
      <c r="S303" s="783"/>
      <c r="T303" s="783"/>
      <c r="U303" s="784"/>
      <c r="V303" s="783"/>
      <c r="W303" s="783">
        <v>1494</v>
      </c>
      <c r="X303" s="797">
        <v>319254</v>
      </c>
    </row>
    <row r="304" spans="3:28" ht="15" customHeight="1" x14ac:dyDescent="0.25">
      <c r="C304" s="104" t="s">
        <v>713</v>
      </c>
      <c r="D304" s="783"/>
      <c r="E304" s="783"/>
      <c r="F304" s="783"/>
      <c r="G304" s="783"/>
      <c r="H304" s="783"/>
      <c r="I304" s="783"/>
      <c r="J304" s="783"/>
      <c r="K304" s="783"/>
      <c r="L304" s="783"/>
      <c r="M304" s="783"/>
      <c r="N304" s="783"/>
      <c r="O304" s="783"/>
      <c r="P304" s="783"/>
      <c r="Q304" s="783"/>
      <c r="R304" s="783"/>
      <c r="S304" s="783"/>
      <c r="T304" s="783"/>
      <c r="U304" s="784"/>
      <c r="V304" s="783"/>
      <c r="W304" s="783">
        <v>80</v>
      </c>
      <c r="X304" s="797">
        <v>2070</v>
      </c>
    </row>
    <row r="305" spans="3:24" ht="15" customHeight="1" x14ac:dyDescent="0.25">
      <c r="C305" s="104" t="s">
        <v>714</v>
      </c>
      <c r="D305" s="783">
        <v>160602</v>
      </c>
      <c r="E305" s="783">
        <v>174801</v>
      </c>
      <c r="F305" s="783">
        <v>175122</v>
      </c>
      <c r="G305" s="783">
        <v>168822</v>
      </c>
      <c r="H305" s="783">
        <v>175144</v>
      </c>
      <c r="I305" s="783">
        <v>167554</v>
      </c>
      <c r="J305" s="783">
        <v>155906</v>
      </c>
      <c r="K305" s="783">
        <v>155647</v>
      </c>
      <c r="L305" s="783">
        <v>171088</v>
      </c>
      <c r="M305" s="783">
        <v>179580</v>
      </c>
      <c r="N305" s="783">
        <v>11939</v>
      </c>
      <c r="O305" s="783">
        <v>182904</v>
      </c>
      <c r="P305" s="783">
        <v>225240</v>
      </c>
      <c r="Q305" s="783">
        <v>192384</v>
      </c>
      <c r="R305" s="783">
        <v>205985</v>
      </c>
      <c r="S305" s="783">
        <v>218066</v>
      </c>
      <c r="T305" s="783">
        <v>203097</v>
      </c>
      <c r="U305" s="784">
        <v>197704</v>
      </c>
      <c r="V305" s="783">
        <v>175058</v>
      </c>
      <c r="W305" s="783">
        <v>164688</v>
      </c>
      <c r="X305" s="797">
        <v>167437</v>
      </c>
    </row>
    <row r="306" spans="3:24" ht="15" customHeight="1" x14ac:dyDescent="0.25">
      <c r="C306" s="104" t="s">
        <v>715</v>
      </c>
      <c r="D306" s="783">
        <v>336551</v>
      </c>
      <c r="E306" s="783">
        <v>329854</v>
      </c>
      <c r="F306" s="783">
        <v>303818</v>
      </c>
      <c r="G306" s="783">
        <v>352064</v>
      </c>
      <c r="H306" s="783">
        <v>501192</v>
      </c>
      <c r="I306" s="783">
        <v>565838</v>
      </c>
      <c r="J306" s="783">
        <v>587592</v>
      </c>
      <c r="K306" s="783">
        <v>605046</v>
      </c>
      <c r="L306" s="783">
        <v>614474</v>
      </c>
      <c r="M306" s="783">
        <v>638830</v>
      </c>
      <c r="N306" s="783">
        <v>361076</v>
      </c>
      <c r="O306" s="783">
        <v>338727</v>
      </c>
      <c r="P306" s="783">
        <v>370811</v>
      </c>
      <c r="Q306" s="783">
        <v>396824</v>
      </c>
      <c r="R306" s="783">
        <v>417380</v>
      </c>
      <c r="S306" s="783">
        <v>408095</v>
      </c>
      <c r="T306" s="783">
        <v>400364</v>
      </c>
      <c r="U306" s="784">
        <v>414781</v>
      </c>
      <c r="V306" s="783">
        <v>375721</v>
      </c>
      <c r="W306" s="783">
        <v>407402</v>
      </c>
      <c r="X306" s="797">
        <v>420114</v>
      </c>
    </row>
    <row r="307" spans="3:24" ht="15.75" customHeight="1" x14ac:dyDescent="0.25">
      <c r="C307" s="798" t="s">
        <v>716</v>
      </c>
      <c r="D307" s="799"/>
      <c r="E307" s="799"/>
      <c r="F307" s="799"/>
      <c r="G307" s="799"/>
      <c r="H307" s="799"/>
      <c r="I307" s="799"/>
      <c r="J307" s="799"/>
      <c r="K307" s="799"/>
      <c r="L307" s="799"/>
      <c r="M307" s="799"/>
      <c r="N307" s="800">
        <v>247700</v>
      </c>
      <c r="O307" s="800">
        <v>255034</v>
      </c>
      <c r="P307" s="800">
        <v>278224</v>
      </c>
      <c r="Q307" s="800">
        <v>288616</v>
      </c>
      <c r="R307" s="800">
        <v>293561</v>
      </c>
      <c r="S307" s="800">
        <v>304635</v>
      </c>
      <c r="T307" s="800">
        <v>286550</v>
      </c>
      <c r="U307" s="801">
        <v>285645</v>
      </c>
      <c r="V307" s="783">
        <v>255893</v>
      </c>
      <c r="W307" s="783">
        <v>269907</v>
      </c>
      <c r="X307" s="797">
        <v>267727</v>
      </c>
    </row>
    <row r="308" spans="3:24" ht="15.75" customHeight="1" x14ac:dyDescent="0.25">
      <c r="C308" s="802" t="s">
        <v>222</v>
      </c>
      <c r="D308" s="803">
        <v>39850884</v>
      </c>
      <c r="E308" s="803">
        <v>41177359</v>
      </c>
      <c r="F308" s="803">
        <v>44977888</v>
      </c>
      <c r="G308" s="803">
        <v>45339618</v>
      </c>
      <c r="H308" s="803">
        <v>46365643</v>
      </c>
      <c r="I308" s="803">
        <v>46274617</v>
      </c>
      <c r="J308" s="804">
        <v>46707396</v>
      </c>
      <c r="K308" s="803">
        <v>50653017</v>
      </c>
      <c r="L308" s="803">
        <v>51685621</v>
      </c>
      <c r="M308" s="803">
        <v>51145380</v>
      </c>
      <c r="N308" s="803">
        <v>49062340</v>
      </c>
      <c r="O308" s="803">
        <v>48279088</v>
      </c>
      <c r="P308" s="803">
        <v>52244237</v>
      </c>
      <c r="Q308" s="803">
        <v>52052770</v>
      </c>
      <c r="R308" s="803">
        <v>52661600</v>
      </c>
      <c r="S308" s="803">
        <v>48956880</v>
      </c>
      <c r="T308" s="803">
        <v>50197924</v>
      </c>
      <c r="U308" s="805">
        <v>47360953</v>
      </c>
      <c r="V308" s="806">
        <f>SUM(V297:V307)</f>
        <v>43774832</v>
      </c>
      <c r="W308" s="807">
        <v>43607266</v>
      </c>
      <c r="X308" s="808">
        <f>SUM(X297:X307)</f>
        <v>41913287</v>
      </c>
    </row>
    <row r="309" spans="3:24" ht="11.25" customHeight="1" x14ac:dyDescent="0.2"/>
    <row r="310" spans="3:24" ht="11.25" customHeight="1" x14ac:dyDescent="0.2"/>
    <row r="311" spans="3:24" ht="11.25" customHeight="1" x14ac:dyDescent="0.2"/>
    <row r="312" spans="3:24" ht="12" customHeight="1" x14ac:dyDescent="0.2"/>
    <row r="313" spans="3:24" ht="15.75" customHeight="1" x14ac:dyDescent="0.25">
      <c r="G313" s="1983" t="s">
        <v>1841</v>
      </c>
      <c r="H313" s="1984"/>
      <c r="I313" s="1984"/>
      <c r="J313" s="1984"/>
      <c r="K313" s="1984"/>
      <c r="L313" s="1985"/>
    </row>
    <row r="314" spans="3:24" ht="11.25" customHeight="1" x14ac:dyDescent="0.2"/>
    <row r="315" spans="3:24" ht="12" customHeight="1" x14ac:dyDescent="0.2"/>
    <row r="316" spans="3:24" ht="13.5" customHeight="1" x14ac:dyDescent="0.2">
      <c r="C316" s="1986" t="s">
        <v>1842</v>
      </c>
      <c r="D316" s="1987" t="s">
        <v>277</v>
      </c>
      <c r="E316" s="1987" t="s">
        <v>1843</v>
      </c>
      <c r="F316" s="1987" t="s">
        <v>1844</v>
      </c>
      <c r="G316" s="1987" t="s">
        <v>1845</v>
      </c>
      <c r="H316" s="1987" t="s">
        <v>1846</v>
      </c>
      <c r="I316" s="1987" t="s">
        <v>1847</v>
      </c>
      <c r="J316" s="1987" t="s">
        <v>1848</v>
      </c>
      <c r="K316" s="1987" t="s">
        <v>1849</v>
      </c>
      <c r="L316" s="1987" t="s">
        <v>1850</v>
      </c>
      <c r="M316" s="1987" t="s">
        <v>1851</v>
      </c>
      <c r="N316" s="1987" t="s">
        <v>1852</v>
      </c>
      <c r="O316" s="1988" t="s">
        <v>1853</v>
      </c>
      <c r="P316" s="1989" t="s">
        <v>1854</v>
      </c>
    </row>
    <row r="317" spans="3:24" ht="11.25" customHeight="1" x14ac:dyDescent="0.2">
      <c r="C317" s="1990" t="s">
        <v>1855</v>
      </c>
      <c r="D317" s="1991" t="s">
        <v>1856</v>
      </c>
      <c r="E317" s="1992">
        <v>289747</v>
      </c>
      <c r="F317" s="1992">
        <v>283345</v>
      </c>
      <c r="G317" s="1992">
        <v>291706</v>
      </c>
      <c r="H317" s="1992">
        <v>297613</v>
      </c>
      <c r="I317" s="1992">
        <v>291315</v>
      </c>
      <c r="J317" s="1992">
        <v>295546</v>
      </c>
      <c r="K317" s="1992">
        <v>293181</v>
      </c>
      <c r="L317" s="1992">
        <v>297200</v>
      </c>
      <c r="M317" s="1992">
        <v>279847</v>
      </c>
      <c r="N317" s="1992">
        <v>243998</v>
      </c>
      <c r="O317" s="1993">
        <v>242944</v>
      </c>
      <c r="P317" s="1994">
        <v>218918</v>
      </c>
    </row>
    <row r="318" spans="3:24" ht="11.25" customHeight="1" x14ac:dyDescent="0.2">
      <c r="C318" s="1990" t="s">
        <v>1857</v>
      </c>
      <c r="D318" s="1991" t="s">
        <v>1858</v>
      </c>
      <c r="E318" s="1992">
        <v>3390</v>
      </c>
      <c r="F318" s="1992">
        <v>5684</v>
      </c>
      <c r="G318" s="1992">
        <v>4132</v>
      </c>
      <c r="H318" s="1992">
        <v>6721</v>
      </c>
      <c r="I318" s="1992">
        <v>6626</v>
      </c>
      <c r="J318" s="1992">
        <v>6968</v>
      </c>
      <c r="K318" s="1992">
        <v>2618</v>
      </c>
      <c r="L318" s="1992">
        <v>4450</v>
      </c>
      <c r="M318" s="1992">
        <v>2972</v>
      </c>
      <c r="N318" s="1992">
        <v>2042</v>
      </c>
      <c r="O318" s="1993">
        <v>2980</v>
      </c>
      <c r="P318" s="1994">
        <v>2026</v>
      </c>
    </row>
    <row r="319" spans="3:24" ht="11.25" customHeight="1" x14ac:dyDescent="0.2">
      <c r="C319" s="1990" t="s">
        <v>1859</v>
      </c>
      <c r="D319" s="1991" t="s">
        <v>1860</v>
      </c>
      <c r="E319" s="1992">
        <v>30073</v>
      </c>
      <c r="F319" s="1992">
        <v>18078</v>
      </c>
      <c r="G319" s="1992">
        <v>23215</v>
      </c>
      <c r="H319" s="1992">
        <v>11400</v>
      </c>
      <c r="I319" s="1992">
        <v>12524</v>
      </c>
      <c r="J319" s="1992">
        <v>21431</v>
      </c>
      <c r="K319" s="1992">
        <v>22841</v>
      </c>
      <c r="L319" s="1992">
        <v>24080</v>
      </c>
      <c r="M319" s="1992">
        <v>20518</v>
      </c>
      <c r="N319" s="1992">
        <v>18887</v>
      </c>
      <c r="O319" s="1993">
        <v>31758</v>
      </c>
      <c r="P319" s="1994">
        <v>21577</v>
      </c>
    </row>
    <row r="320" spans="3:24" ht="11.25" customHeight="1" x14ac:dyDescent="0.2">
      <c r="C320" s="1990" t="s">
        <v>1861</v>
      </c>
      <c r="D320" s="1991" t="s">
        <v>1862</v>
      </c>
      <c r="E320" s="1992">
        <v>144204</v>
      </c>
      <c r="F320" s="1992">
        <v>142612</v>
      </c>
      <c r="G320" s="1992">
        <v>126641</v>
      </c>
      <c r="H320" s="1992">
        <v>142671</v>
      </c>
      <c r="I320" s="1992">
        <v>152028</v>
      </c>
      <c r="J320" s="1992">
        <v>153443</v>
      </c>
      <c r="K320" s="1992">
        <v>144334</v>
      </c>
      <c r="L320" s="1992">
        <v>150493</v>
      </c>
      <c r="M320" s="1992">
        <v>153436</v>
      </c>
      <c r="N320" s="1992">
        <v>152194</v>
      </c>
      <c r="O320" s="1993">
        <v>146265</v>
      </c>
      <c r="P320" s="1994">
        <v>150655</v>
      </c>
    </row>
    <row r="321" spans="3:16" ht="11.25" customHeight="1" x14ac:dyDescent="0.2">
      <c r="C321" s="1990" t="s">
        <v>1863</v>
      </c>
      <c r="D321" s="1991" t="s">
        <v>1864</v>
      </c>
      <c r="E321" s="1992">
        <v>23472</v>
      </c>
      <c r="F321" s="1992">
        <v>28855</v>
      </c>
      <c r="G321" s="1992">
        <v>21385</v>
      </c>
      <c r="H321" s="1992">
        <v>31573</v>
      </c>
      <c r="I321" s="1992">
        <v>28394</v>
      </c>
      <c r="J321" s="1992">
        <v>33496</v>
      </c>
      <c r="K321" s="1992">
        <v>3736</v>
      </c>
      <c r="L321" s="1992">
        <v>6567</v>
      </c>
      <c r="M321" s="1992">
        <v>1909</v>
      </c>
      <c r="N321" s="1992">
        <v>1758</v>
      </c>
      <c r="O321" s="1993">
        <v>872</v>
      </c>
      <c r="P321" s="1994">
        <v>732</v>
      </c>
    </row>
    <row r="322" spans="3:16" ht="11.25" customHeight="1" x14ac:dyDescent="0.2">
      <c r="C322" s="1990" t="s">
        <v>1865</v>
      </c>
      <c r="D322" s="1991" t="s">
        <v>1866</v>
      </c>
      <c r="E322" s="1992">
        <v>46</v>
      </c>
      <c r="F322" s="1992">
        <v>19</v>
      </c>
      <c r="G322" s="1992">
        <v>6</v>
      </c>
      <c r="H322" s="1992">
        <v>9</v>
      </c>
      <c r="I322" s="1992">
        <v>8</v>
      </c>
      <c r="J322" s="1992">
        <v>41</v>
      </c>
      <c r="K322" s="1992">
        <v>5</v>
      </c>
      <c r="L322" s="1992">
        <v>30</v>
      </c>
      <c r="M322" s="1992">
        <v>19</v>
      </c>
      <c r="N322" s="1992">
        <v>17</v>
      </c>
      <c r="O322" s="1993">
        <v>18</v>
      </c>
      <c r="P322" s="1994">
        <v>10</v>
      </c>
    </row>
    <row r="323" spans="3:16" ht="11.25" customHeight="1" x14ac:dyDescent="0.2">
      <c r="C323" s="1990" t="s">
        <v>1867</v>
      </c>
      <c r="D323" s="1991" t="s">
        <v>1868</v>
      </c>
      <c r="E323" s="1992">
        <v>46</v>
      </c>
      <c r="F323" s="1992">
        <v>43</v>
      </c>
      <c r="G323" s="1992">
        <v>42</v>
      </c>
      <c r="H323" s="1992">
        <v>40</v>
      </c>
      <c r="I323" s="1992">
        <v>69</v>
      </c>
      <c r="J323" s="1992">
        <v>76</v>
      </c>
      <c r="K323" s="1992">
        <v>86</v>
      </c>
      <c r="L323" s="1992">
        <v>99</v>
      </c>
      <c r="M323" s="1992">
        <v>119</v>
      </c>
      <c r="N323" s="1992">
        <v>160</v>
      </c>
      <c r="O323" s="1993">
        <v>205</v>
      </c>
      <c r="P323" s="1994">
        <v>301</v>
      </c>
    </row>
    <row r="324" spans="3:16" ht="11.25" customHeight="1" x14ac:dyDescent="0.2">
      <c r="C324" s="1990" t="s">
        <v>1869</v>
      </c>
      <c r="D324" s="1991" t="s">
        <v>1870</v>
      </c>
      <c r="E324" s="1992">
        <v>12334</v>
      </c>
      <c r="F324" s="1992">
        <v>7034</v>
      </c>
      <c r="G324" s="1992">
        <v>7317</v>
      </c>
      <c r="H324" s="1992">
        <v>7128</v>
      </c>
      <c r="I324" s="1992">
        <v>7306</v>
      </c>
      <c r="J324" s="1992">
        <v>7311</v>
      </c>
      <c r="K324" s="1992">
        <v>7608</v>
      </c>
      <c r="L324" s="1992">
        <v>7497</v>
      </c>
      <c r="M324" s="1992">
        <v>7679</v>
      </c>
      <c r="N324" s="1992">
        <v>7409</v>
      </c>
      <c r="O324" s="1993">
        <v>7602</v>
      </c>
      <c r="P324" s="1994">
        <v>6961</v>
      </c>
    </row>
    <row r="325" spans="3:16" ht="12" customHeight="1" x14ac:dyDescent="0.2">
      <c r="C325" s="1995"/>
      <c r="D325" s="1996"/>
      <c r="E325" s="1997"/>
      <c r="F325" s="1997"/>
      <c r="G325" s="1997"/>
      <c r="H325" s="1997"/>
      <c r="I325" s="1997"/>
      <c r="J325" s="1997"/>
      <c r="K325" s="1997"/>
      <c r="L325" s="1997"/>
      <c r="M325" s="1997"/>
      <c r="N325" s="1997"/>
      <c r="O325" s="1998"/>
      <c r="P325" s="1999"/>
    </row>
    <row r="326" spans="3:16" ht="12" customHeight="1" x14ac:dyDescent="0.2"/>
    <row r="327" spans="3:16" ht="11.25" customHeight="1" x14ac:dyDescent="0.2"/>
    <row r="328" spans="3:16" ht="11.25" customHeight="1" x14ac:dyDescent="0.2"/>
    <row r="329" spans="3:16" ht="11.25" customHeight="1" x14ac:dyDescent="0.2"/>
    <row r="330" spans="3:16" ht="11.25" customHeight="1" x14ac:dyDescent="0.2"/>
    <row r="331" spans="3:16" ht="11.25" customHeight="1" x14ac:dyDescent="0.2"/>
    <row r="332" spans="3:16" ht="11.25" customHeight="1" x14ac:dyDescent="0.2"/>
    <row r="333" spans="3:16" ht="11.25" customHeight="1" x14ac:dyDescent="0.2"/>
    <row r="334" spans="3:16" ht="11.25" customHeight="1" x14ac:dyDescent="0.2"/>
    <row r="335" spans="3:16" ht="11.25" customHeight="1" x14ac:dyDescent="0.2"/>
    <row r="336" spans="3:1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mergeCells count="5">
    <mergeCell ref="B3:C3"/>
    <mergeCell ref="B4:C4"/>
    <mergeCell ref="B163:C163"/>
    <mergeCell ref="B165:C165"/>
    <mergeCell ref="B172:C172"/>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6.83203125" defaultRowHeight="15" customHeight="1" x14ac:dyDescent="0.2"/>
  <cols>
    <col min="1" max="1" width="9.33203125" customWidth="1"/>
    <col min="2" max="2" width="11.6640625" customWidth="1"/>
    <col min="3" max="3" width="33.33203125" customWidth="1"/>
    <col min="4" max="4" width="13.6640625" customWidth="1"/>
    <col min="5" max="7" width="15.33203125" customWidth="1"/>
    <col min="8" max="8" width="17.1640625" customWidth="1"/>
    <col min="9" max="9" width="12" customWidth="1"/>
    <col min="10" max="10" width="11.6640625" customWidth="1"/>
    <col min="11" max="11" width="11.1640625" customWidth="1"/>
    <col min="12" max="13" width="9.33203125" customWidth="1"/>
    <col min="14" max="26" width="8" customWidth="1"/>
  </cols>
  <sheetData>
    <row r="1" spans="1:26" x14ac:dyDescent="0.25">
      <c r="A1" s="4"/>
      <c r="B1" s="4"/>
      <c r="C1" s="4"/>
      <c r="D1" s="4"/>
      <c r="E1" s="4"/>
      <c r="F1" s="4"/>
      <c r="G1" s="4"/>
      <c r="H1" s="4"/>
      <c r="I1" s="4"/>
      <c r="J1" s="4"/>
      <c r="K1" s="4"/>
      <c r="L1" s="4"/>
      <c r="M1" s="4"/>
      <c r="N1" s="4"/>
      <c r="O1" s="4"/>
      <c r="P1" s="4"/>
      <c r="Q1" s="4"/>
      <c r="R1" s="4"/>
      <c r="S1" s="4"/>
      <c r="T1" s="4"/>
      <c r="U1" s="4"/>
      <c r="V1" s="4"/>
      <c r="W1" s="4"/>
      <c r="X1" s="4"/>
      <c r="Y1" s="4"/>
      <c r="Z1" s="4"/>
    </row>
    <row r="2" spans="1:26" x14ac:dyDescent="0.25">
      <c r="A2" s="4"/>
      <c r="B2" s="4"/>
      <c r="C2" s="4"/>
      <c r="D2" s="4"/>
      <c r="E2" s="4"/>
      <c r="F2" s="4"/>
      <c r="G2" s="4"/>
      <c r="H2" s="4"/>
      <c r="I2" s="4"/>
      <c r="J2" s="4"/>
      <c r="K2" s="4"/>
      <c r="L2" s="4"/>
      <c r="M2" s="4"/>
      <c r="N2" s="4"/>
      <c r="O2" s="4"/>
      <c r="P2" s="4"/>
      <c r="Q2" s="4"/>
      <c r="R2" s="4"/>
      <c r="S2" s="4"/>
      <c r="T2" s="4"/>
      <c r="U2" s="4"/>
      <c r="V2" s="4"/>
      <c r="W2" s="4"/>
      <c r="X2" s="4"/>
      <c r="Y2" s="4"/>
      <c r="Z2" s="4"/>
    </row>
    <row r="3" spans="1:26" x14ac:dyDescent="0.25">
      <c r="A3" s="4"/>
      <c r="B3" s="4"/>
      <c r="C3" s="4"/>
      <c r="D3" s="4"/>
      <c r="E3" s="4"/>
      <c r="F3" s="4"/>
      <c r="G3" s="2148" t="s">
        <v>229</v>
      </c>
      <c r="H3" s="2149"/>
      <c r="I3" s="2149"/>
      <c r="J3" s="2149"/>
      <c r="K3" s="1"/>
      <c r="L3" s="4"/>
      <c r="M3" s="4"/>
      <c r="N3" s="4"/>
      <c r="O3" s="4"/>
      <c r="P3" s="4"/>
      <c r="Q3" s="4"/>
      <c r="R3" s="4"/>
      <c r="S3" s="4"/>
      <c r="T3" s="4"/>
      <c r="U3" s="4"/>
      <c r="V3" s="4"/>
      <c r="W3" s="4"/>
      <c r="X3" s="4"/>
      <c r="Y3" s="4"/>
      <c r="Z3" s="4"/>
    </row>
    <row r="4" spans="1:26" x14ac:dyDescent="0.25">
      <c r="A4" s="4"/>
      <c r="B4" s="4"/>
      <c r="C4" s="160" t="s">
        <v>230</v>
      </c>
      <c r="D4" s="4"/>
      <c r="E4" s="4"/>
      <c r="F4" s="161" t="s">
        <v>231</v>
      </c>
      <c r="G4" s="162" t="s">
        <v>232</v>
      </c>
      <c r="H4" s="162" t="s">
        <v>232</v>
      </c>
      <c r="I4" s="162" t="s">
        <v>232</v>
      </c>
      <c r="J4" s="162" t="s">
        <v>232</v>
      </c>
      <c r="K4" s="163" t="s">
        <v>232</v>
      </c>
      <c r="L4" s="4"/>
      <c r="M4" s="4"/>
      <c r="N4" s="4"/>
      <c r="O4" s="4"/>
      <c r="P4" s="4"/>
      <c r="Q4" s="4"/>
      <c r="R4" s="4"/>
      <c r="S4" s="4"/>
      <c r="T4" s="4"/>
      <c r="U4" s="4"/>
      <c r="V4" s="4"/>
      <c r="W4" s="4"/>
      <c r="X4" s="4"/>
      <c r="Y4" s="4"/>
      <c r="Z4" s="4"/>
    </row>
    <row r="5" spans="1:26" x14ac:dyDescent="0.25">
      <c r="A5" s="4"/>
      <c r="B5" s="4"/>
      <c r="C5" s="42"/>
      <c r="D5" s="4"/>
      <c r="E5" s="4"/>
      <c r="F5" s="164" t="s">
        <v>233</v>
      </c>
      <c r="G5" s="106">
        <v>1.0999999999999999E-2</v>
      </c>
      <c r="H5" s="106">
        <v>3.0000000000000001E-3</v>
      </c>
      <c r="I5" s="106">
        <v>3.0000000000000001E-3</v>
      </c>
      <c r="J5" s="106">
        <v>1E-3</v>
      </c>
      <c r="K5" s="165">
        <v>3.2000000000000001E-2</v>
      </c>
      <c r="L5" s="4"/>
      <c r="M5" s="4"/>
      <c r="N5" s="4"/>
      <c r="O5" s="4"/>
      <c r="P5" s="4"/>
      <c r="Q5" s="4"/>
      <c r="R5" s="4"/>
      <c r="S5" s="4"/>
      <c r="T5" s="4"/>
      <c r="U5" s="4"/>
      <c r="V5" s="4"/>
      <c r="W5" s="4"/>
      <c r="X5" s="4"/>
      <c r="Y5" s="4"/>
      <c r="Z5" s="4"/>
    </row>
    <row r="6" spans="1:26" x14ac:dyDescent="0.25">
      <c r="A6" s="4"/>
      <c r="B6" s="4"/>
      <c r="C6" s="42"/>
      <c r="D6" s="4"/>
      <c r="E6" s="4"/>
      <c r="F6" s="164" t="s">
        <v>234</v>
      </c>
      <c r="G6" s="106">
        <v>1.6000000000000001E-3</v>
      </c>
      <c r="H6" s="106">
        <v>5.9999999999999995E-4</v>
      </c>
      <c r="I6" s="106">
        <v>6.0000000000000001E-3</v>
      </c>
      <c r="J6" s="106">
        <v>1E-3</v>
      </c>
      <c r="K6" s="166">
        <v>4.1999999999999997E-3</v>
      </c>
      <c r="L6" s="4"/>
      <c r="M6" s="4"/>
      <c r="N6" s="4"/>
      <c r="O6" s="4"/>
      <c r="P6" s="4"/>
      <c r="Q6" s="4"/>
      <c r="R6" s="4"/>
      <c r="S6" s="4"/>
      <c r="T6" s="4"/>
      <c r="U6" s="4"/>
      <c r="V6" s="4"/>
      <c r="W6" s="4"/>
      <c r="X6" s="4"/>
      <c r="Y6" s="4"/>
      <c r="Z6" s="4"/>
    </row>
    <row r="7" spans="1:26" x14ac:dyDescent="0.25">
      <c r="A7" s="4"/>
      <c r="B7" s="4"/>
      <c r="C7" s="4"/>
      <c r="D7" s="4"/>
      <c r="E7" s="4"/>
      <c r="F7" s="109"/>
      <c r="G7" s="167" t="s">
        <v>219</v>
      </c>
      <c r="H7" s="167" t="s">
        <v>235</v>
      </c>
      <c r="I7" s="167" t="s">
        <v>236</v>
      </c>
      <c r="J7" s="167" t="s">
        <v>237</v>
      </c>
      <c r="K7" s="168" t="s">
        <v>238</v>
      </c>
      <c r="L7" s="4"/>
      <c r="M7" s="4"/>
      <c r="N7" s="4"/>
      <c r="O7" s="4"/>
      <c r="P7" s="4"/>
      <c r="Q7" s="4"/>
      <c r="R7" s="4"/>
      <c r="S7" s="4"/>
      <c r="T7" s="4"/>
      <c r="U7" s="4"/>
      <c r="V7" s="4"/>
      <c r="W7" s="4"/>
      <c r="X7" s="4"/>
      <c r="Y7" s="4"/>
      <c r="Z7" s="4"/>
    </row>
    <row r="8" spans="1:26" x14ac:dyDescent="0.25">
      <c r="A8" s="4"/>
      <c r="B8" s="4"/>
      <c r="C8" s="4"/>
      <c r="D8" s="4"/>
      <c r="E8" s="4"/>
      <c r="F8" s="4"/>
      <c r="G8" s="42"/>
      <c r="H8" s="42"/>
      <c r="I8" s="42"/>
      <c r="J8" s="42"/>
      <c r="K8" s="42"/>
      <c r="L8" s="4"/>
      <c r="M8" s="4"/>
      <c r="N8" s="4"/>
      <c r="O8" s="4"/>
      <c r="P8" s="4"/>
      <c r="Q8" s="4"/>
      <c r="R8" s="4"/>
      <c r="S8" s="4"/>
      <c r="T8" s="4"/>
      <c r="U8" s="4"/>
      <c r="V8" s="4"/>
      <c r="W8" s="4"/>
      <c r="X8" s="4"/>
      <c r="Y8" s="4"/>
      <c r="Z8" s="4"/>
    </row>
    <row r="9" spans="1:26" x14ac:dyDescent="0.25">
      <c r="A9" s="4"/>
      <c r="B9" s="4"/>
      <c r="C9" s="4"/>
      <c r="D9" s="4"/>
      <c r="E9" s="4"/>
      <c r="F9" s="4"/>
      <c r="G9" s="4"/>
      <c r="H9" s="4"/>
      <c r="I9" s="4"/>
      <c r="J9" s="4"/>
      <c r="K9" s="4"/>
      <c r="L9" s="4"/>
      <c r="M9" s="4"/>
      <c r="N9" s="4"/>
      <c r="O9" s="4"/>
      <c r="P9" s="4"/>
      <c r="Q9" s="4"/>
      <c r="R9" s="4"/>
      <c r="S9" s="4"/>
      <c r="T9" s="4"/>
      <c r="U9" s="4"/>
      <c r="V9" s="4"/>
      <c r="W9" s="4"/>
      <c r="X9" s="4"/>
      <c r="Y9" s="4"/>
      <c r="Z9" s="4"/>
    </row>
    <row r="10" spans="1:26" x14ac:dyDescent="0.25">
      <c r="A10" s="4"/>
      <c r="B10" s="43"/>
      <c r="C10" s="44"/>
      <c r="D10" s="2143">
        <v>2011</v>
      </c>
      <c r="E10" s="2144"/>
      <c r="F10" s="2144"/>
      <c r="G10" s="2144"/>
      <c r="H10" s="2145"/>
      <c r="I10" s="169" t="s">
        <v>222</v>
      </c>
      <c r="J10" s="46" t="s">
        <v>239</v>
      </c>
      <c r="K10" s="170" t="s">
        <v>240</v>
      </c>
      <c r="L10" s="4"/>
      <c r="M10" s="4"/>
      <c r="N10" s="4"/>
      <c r="O10" s="4"/>
      <c r="P10" s="4"/>
      <c r="Q10" s="4"/>
      <c r="R10" s="4"/>
      <c r="S10" s="4"/>
      <c r="T10" s="4"/>
      <c r="U10" s="4"/>
      <c r="V10" s="4"/>
      <c r="W10" s="4"/>
      <c r="X10" s="4"/>
      <c r="Y10" s="4"/>
      <c r="Z10" s="4"/>
    </row>
    <row r="11" spans="1:26" x14ac:dyDescent="0.25">
      <c r="A11" s="4"/>
      <c r="B11" s="47"/>
      <c r="C11" s="48"/>
      <c r="D11" s="75" t="s">
        <v>219</v>
      </c>
      <c r="E11" s="75" t="s">
        <v>241</v>
      </c>
      <c r="F11" s="75" t="s">
        <v>242</v>
      </c>
      <c r="G11" s="171" t="s">
        <v>238</v>
      </c>
      <c r="H11" s="171" t="s">
        <v>187</v>
      </c>
      <c r="I11" s="77"/>
      <c r="J11" s="54"/>
      <c r="K11" s="172"/>
      <c r="L11" s="4"/>
      <c r="M11" s="4"/>
      <c r="N11" s="4"/>
      <c r="O11" s="4"/>
      <c r="P11" s="4"/>
      <c r="Q11" s="4"/>
      <c r="R11" s="4"/>
      <c r="S11" s="4"/>
      <c r="T11" s="4"/>
      <c r="U11" s="4"/>
      <c r="V11" s="4"/>
      <c r="W11" s="4"/>
      <c r="X11" s="4"/>
      <c r="Y11" s="4"/>
      <c r="Z11" s="4"/>
    </row>
    <row r="12" spans="1:26" x14ac:dyDescent="0.25">
      <c r="A12" s="4"/>
      <c r="B12" s="173"/>
      <c r="C12" s="174"/>
      <c r="D12" s="175" t="s">
        <v>243</v>
      </c>
      <c r="E12" s="175" t="s">
        <v>190</v>
      </c>
      <c r="F12" s="175" t="s">
        <v>190</v>
      </c>
      <c r="G12" s="176" t="s">
        <v>243</v>
      </c>
      <c r="H12" s="176" t="s">
        <v>192</v>
      </c>
      <c r="I12" s="175"/>
      <c r="J12" s="175"/>
      <c r="K12" s="176"/>
      <c r="L12" s="4"/>
      <c r="M12" s="4"/>
      <c r="N12" s="4"/>
      <c r="O12" s="4"/>
      <c r="P12" s="4"/>
      <c r="Q12" s="4"/>
      <c r="R12" s="4"/>
      <c r="S12" s="4"/>
      <c r="T12" s="4"/>
      <c r="U12" s="4"/>
      <c r="V12" s="4"/>
      <c r="W12" s="4"/>
      <c r="X12" s="4"/>
      <c r="Y12" s="4"/>
      <c r="Z12" s="4"/>
    </row>
    <row r="13" spans="1:26" x14ac:dyDescent="0.25">
      <c r="A13" s="4"/>
      <c r="B13" s="177"/>
      <c r="C13" s="178"/>
      <c r="D13" s="73"/>
      <c r="E13" s="73"/>
      <c r="F13" s="73"/>
      <c r="G13" s="179"/>
      <c r="H13" s="73"/>
      <c r="I13" s="73"/>
      <c r="J13" s="73"/>
      <c r="K13" s="179"/>
      <c r="L13" s="4"/>
      <c r="M13" s="4"/>
      <c r="N13" s="4"/>
      <c r="O13" s="4"/>
      <c r="P13" s="4"/>
      <c r="Q13" s="4"/>
      <c r="R13" s="4"/>
      <c r="S13" s="4"/>
      <c r="T13" s="4"/>
      <c r="U13" s="4"/>
      <c r="V13" s="4"/>
      <c r="W13" s="4"/>
      <c r="X13" s="4"/>
      <c r="Y13" s="4"/>
      <c r="Z13" s="4"/>
    </row>
    <row r="14" spans="1:26" x14ac:dyDescent="0.25">
      <c r="A14" s="4"/>
      <c r="B14" s="180"/>
      <c r="C14" s="181" t="s">
        <v>193</v>
      </c>
      <c r="D14" s="182">
        <v>425900</v>
      </c>
      <c r="E14" s="182">
        <v>47886</v>
      </c>
      <c r="F14" s="182">
        <v>487145</v>
      </c>
      <c r="G14" s="183">
        <v>5518</v>
      </c>
      <c r="H14" s="182">
        <v>196372000</v>
      </c>
      <c r="I14" s="184"/>
      <c r="J14" s="182"/>
      <c r="K14" s="183"/>
      <c r="L14" s="4"/>
      <c r="M14" s="4"/>
      <c r="N14" s="4"/>
      <c r="O14" s="4"/>
      <c r="P14" s="4"/>
      <c r="Q14" s="4"/>
      <c r="R14" s="4"/>
      <c r="S14" s="4"/>
      <c r="T14" s="4"/>
      <c r="U14" s="4"/>
      <c r="V14" s="4"/>
      <c r="W14" s="4"/>
      <c r="X14" s="4"/>
      <c r="Y14" s="4"/>
      <c r="Z14" s="4"/>
    </row>
    <row r="15" spans="1:26" x14ac:dyDescent="0.25">
      <c r="A15" s="4"/>
      <c r="B15" s="185"/>
      <c r="C15" s="181" t="s">
        <v>194</v>
      </c>
      <c r="D15" s="182">
        <v>10862</v>
      </c>
      <c r="E15" s="182">
        <v>141324</v>
      </c>
      <c r="F15" s="182">
        <v>140001</v>
      </c>
      <c r="G15" s="183">
        <v>4643</v>
      </c>
      <c r="H15" s="182">
        <v>1053</v>
      </c>
      <c r="I15" s="184"/>
      <c r="J15" s="182"/>
      <c r="K15" s="183"/>
      <c r="L15" s="4"/>
      <c r="M15" s="4"/>
      <c r="N15" s="4"/>
      <c r="O15" s="4"/>
      <c r="P15" s="4"/>
      <c r="Q15" s="4"/>
      <c r="R15" s="4"/>
      <c r="S15" s="4"/>
      <c r="T15" s="4"/>
      <c r="U15" s="4"/>
      <c r="V15" s="4"/>
      <c r="W15" s="4"/>
      <c r="X15" s="4"/>
      <c r="Y15" s="4"/>
      <c r="Z15" s="4"/>
    </row>
    <row r="16" spans="1:26" x14ac:dyDescent="0.25">
      <c r="A16" s="4"/>
      <c r="B16" s="186"/>
      <c r="C16" s="187" t="s">
        <v>196</v>
      </c>
      <c r="D16" s="188">
        <f>+D14*D15*2000/1000000</f>
        <v>9252251.5999999996</v>
      </c>
      <c r="E16" s="189">
        <f t="shared" ref="E16:F16" si="0">+E14*E15/1000000</f>
        <v>6767.4410639999996</v>
      </c>
      <c r="F16" s="189">
        <f t="shared" si="0"/>
        <v>68200.787144999995</v>
      </c>
      <c r="G16" s="188">
        <f>+G14*G15*2000/1000000</f>
        <v>51240.148000000001</v>
      </c>
      <c r="H16" s="189">
        <f>+H14*H15/1000000</f>
        <v>206779.71599999999</v>
      </c>
      <c r="I16" s="189">
        <f>SUM(D16:H16)</f>
        <v>9585239.6922089998</v>
      </c>
      <c r="J16" s="190"/>
      <c r="K16" s="191"/>
      <c r="L16" s="4"/>
      <c r="M16" s="4"/>
      <c r="N16" s="4"/>
      <c r="O16" s="4"/>
      <c r="P16" s="4"/>
      <c r="Q16" s="4"/>
      <c r="R16" s="4"/>
      <c r="S16" s="4"/>
      <c r="T16" s="4"/>
      <c r="U16" s="4"/>
      <c r="V16" s="4"/>
      <c r="W16" s="4"/>
      <c r="X16" s="4"/>
      <c r="Y16" s="4"/>
      <c r="Z16" s="4"/>
    </row>
    <row r="17" spans="1:26" x14ac:dyDescent="0.25">
      <c r="A17" s="4"/>
      <c r="B17" s="47"/>
      <c r="C17" s="43"/>
      <c r="D17" s="192"/>
      <c r="E17" s="192"/>
      <c r="F17" s="192"/>
      <c r="G17" s="193"/>
      <c r="H17" s="192"/>
      <c r="I17" s="192"/>
      <c r="J17" s="192"/>
      <c r="K17" s="193"/>
      <c r="L17" s="4"/>
      <c r="M17" s="4"/>
      <c r="N17" s="4"/>
      <c r="O17" s="4"/>
      <c r="P17" s="4"/>
      <c r="Q17" s="4"/>
      <c r="R17" s="4"/>
      <c r="S17" s="4"/>
      <c r="T17" s="4"/>
      <c r="U17" s="4"/>
      <c r="V17" s="4"/>
      <c r="W17" s="4"/>
      <c r="X17" s="4"/>
      <c r="Y17" s="4"/>
      <c r="Z17" s="4"/>
    </row>
    <row r="18" spans="1:26" x14ac:dyDescent="0.25">
      <c r="A18" s="4"/>
      <c r="B18" s="47"/>
      <c r="C18" s="61" t="s">
        <v>244</v>
      </c>
      <c r="D18" s="64">
        <f t="shared" ref="D18:D20" si="1">(+D$16/I$16)*K18</f>
        <v>358790.14861814311</v>
      </c>
      <c r="E18" s="63">
        <f t="shared" ref="E18:E20" si="2">(+E$16/I$16)*K18</f>
        <v>262.43246401957811</v>
      </c>
      <c r="F18" s="63">
        <f t="shared" ref="F18:F20" si="3">(+F$16/I$16)*K18</f>
        <v>2644.7368287767804</v>
      </c>
      <c r="G18" s="63">
        <f t="shared" ref="G18:G20" si="4">(+G$16/I$16)*K18</f>
        <v>1987.0255491253226</v>
      </c>
      <c r="H18" s="63">
        <f t="shared" ref="H18:H20" si="5">(+H$16/I$16)*K18</f>
        <v>8018.6454327352503</v>
      </c>
      <c r="I18" s="194">
        <v>962604</v>
      </c>
      <c r="J18" s="195">
        <v>0.38614320000000002</v>
      </c>
      <c r="K18" s="196">
        <f t="shared" ref="K18:K20" si="6">I18*J18</f>
        <v>371702.9888928</v>
      </c>
      <c r="L18" s="4"/>
      <c r="M18" s="4"/>
      <c r="N18" s="4"/>
      <c r="O18" s="4"/>
      <c r="P18" s="4"/>
      <c r="Q18" s="4"/>
      <c r="R18" s="4"/>
      <c r="S18" s="4"/>
      <c r="T18" s="4"/>
      <c r="U18" s="4"/>
      <c r="V18" s="4"/>
      <c r="W18" s="4"/>
      <c r="X18" s="4"/>
      <c r="Y18" s="4"/>
      <c r="Z18" s="4"/>
    </row>
    <row r="19" spans="1:26" x14ac:dyDescent="0.25">
      <c r="A19" s="4"/>
      <c r="B19" s="197" t="s">
        <v>245</v>
      </c>
      <c r="C19" s="198" t="s">
        <v>246</v>
      </c>
      <c r="D19" s="94">
        <f t="shared" si="1"/>
        <v>42.647821993851842</v>
      </c>
      <c r="E19" s="94">
        <f t="shared" si="2"/>
        <v>3.1194203781850817E-2</v>
      </c>
      <c r="F19" s="94">
        <f t="shared" si="3"/>
        <v>0.31436834575494449</v>
      </c>
      <c r="G19" s="94">
        <f t="shared" si="4"/>
        <v>0.23618907108434267</v>
      </c>
      <c r="H19" s="94">
        <f t="shared" si="5"/>
        <v>0.95314145152594387</v>
      </c>
      <c r="I19" s="67">
        <v>114.42054415563686</v>
      </c>
      <c r="J19" s="199">
        <v>0.38614320000000002</v>
      </c>
      <c r="K19" s="200">
        <f t="shared" si="6"/>
        <v>44.18271506599892</v>
      </c>
      <c r="L19" s="4"/>
      <c r="M19" s="4"/>
      <c r="N19" s="4"/>
      <c r="O19" s="4"/>
      <c r="P19" s="4"/>
      <c r="Q19" s="4"/>
      <c r="R19" s="4"/>
      <c r="S19" s="4"/>
      <c r="T19" s="4"/>
      <c r="U19" s="4"/>
      <c r="V19" s="4"/>
      <c r="W19" s="4"/>
      <c r="X19" s="4"/>
      <c r="Y19" s="4"/>
      <c r="Z19" s="4"/>
    </row>
    <row r="20" spans="1:26" x14ac:dyDescent="0.25">
      <c r="A20" s="4"/>
      <c r="B20" s="173"/>
      <c r="C20" s="201" t="s">
        <v>247</v>
      </c>
      <c r="D20" s="202">
        <f t="shared" si="1"/>
        <v>6.2790134768140602</v>
      </c>
      <c r="E20" s="71">
        <f t="shared" si="2"/>
        <v>4.5927040769622911E-3</v>
      </c>
      <c r="F20" s="71">
        <f t="shared" si="3"/>
        <v>4.6284264644595494E-2</v>
      </c>
      <c r="G20" s="71">
        <f t="shared" si="4"/>
        <v>3.4773976514640717E-2</v>
      </c>
      <c r="H20" s="71">
        <f t="shared" si="5"/>
        <v>0.14033044923851659</v>
      </c>
      <c r="I20" s="203">
        <v>16.846068689773055</v>
      </c>
      <c r="J20" s="204">
        <v>0.38614320000000002</v>
      </c>
      <c r="K20" s="205">
        <f t="shared" si="6"/>
        <v>6.5049948712887753</v>
      </c>
      <c r="L20" s="4"/>
      <c r="M20" s="4"/>
      <c r="N20" s="4"/>
      <c r="O20" s="4"/>
      <c r="P20" s="4"/>
      <c r="Q20" s="4"/>
      <c r="R20" s="4"/>
      <c r="S20" s="4"/>
      <c r="T20" s="4"/>
      <c r="U20" s="4"/>
      <c r="V20" s="4"/>
      <c r="W20" s="4"/>
      <c r="X20" s="4"/>
      <c r="Y20" s="4"/>
      <c r="Z20" s="4"/>
    </row>
    <row r="21" spans="1:26" ht="15.75" customHeight="1" x14ac:dyDescent="0.25">
      <c r="A21" s="4"/>
      <c r="B21" s="47"/>
      <c r="C21" s="47"/>
      <c r="D21" s="206"/>
      <c r="E21" s="206"/>
      <c r="F21" s="206"/>
      <c r="G21" s="206"/>
      <c r="H21" s="206"/>
      <c r="I21" s="206"/>
      <c r="J21" s="206"/>
      <c r="K21" s="207"/>
      <c r="L21" s="4"/>
      <c r="M21" s="4"/>
      <c r="N21" s="4"/>
      <c r="O21" s="4"/>
      <c r="P21" s="4"/>
      <c r="Q21" s="4"/>
      <c r="R21" s="4"/>
      <c r="S21" s="4"/>
      <c r="T21" s="4"/>
      <c r="U21" s="4"/>
      <c r="V21" s="4"/>
      <c r="W21" s="4"/>
      <c r="X21" s="4"/>
      <c r="Y21" s="4"/>
      <c r="Z21" s="4"/>
    </row>
    <row r="22" spans="1:26" ht="15.75" customHeight="1" x14ac:dyDescent="0.25">
      <c r="A22" s="4"/>
      <c r="B22" s="208"/>
      <c r="C22" s="209" t="s">
        <v>248</v>
      </c>
      <c r="D22" s="63">
        <f t="shared" ref="D22:D24" si="7">(+D$16/I$16)*K22</f>
        <v>559374.05211575888</v>
      </c>
      <c r="E22" s="63">
        <f t="shared" ref="E22:E24" si="8">(+E$16/I$16)*K22</f>
        <v>409.14699405972294</v>
      </c>
      <c r="F22" s="63">
        <f t="shared" ref="F22:F24" si="9">(+F$16/I$16)*K22</f>
        <v>4123.2936924005617</v>
      </c>
      <c r="G22" s="63">
        <f t="shared" ref="G22:G24" si="10">(+G$16/I$16)*K22</f>
        <v>3097.884758967341</v>
      </c>
      <c r="H22" s="63">
        <f t="shared" ref="H22:H24" si="11">(+H$16/I$16)*K22</f>
        <v>12501.51991481358</v>
      </c>
      <c r="I22" s="194">
        <v>962604</v>
      </c>
      <c r="J22" s="195">
        <v>0.60201899999999997</v>
      </c>
      <c r="K22" s="196">
        <f t="shared" ref="K22:K24" si="12">I22*J22</f>
        <v>579505.89747600001</v>
      </c>
      <c r="L22" s="4"/>
      <c r="M22" s="4"/>
      <c r="N22" s="4"/>
      <c r="O22" s="4"/>
      <c r="P22" s="4"/>
      <c r="Q22" s="4"/>
      <c r="R22" s="4"/>
      <c r="S22" s="4"/>
      <c r="T22" s="4"/>
      <c r="U22" s="4"/>
      <c r="V22" s="4"/>
      <c r="W22" s="4"/>
      <c r="X22" s="4"/>
      <c r="Y22" s="4"/>
      <c r="Z22" s="4"/>
    </row>
    <row r="23" spans="1:26" ht="15.75" customHeight="1" x14ac:dyDescent="0.25">
      <c r="A23" s="4"/>
      <c r="B23" s="197" t="s">
        <v>249</v>
      </c>
      <c r="C23" s="198" t="s">
        <v>250</v>
      </c>
      <c r="D23" s="94">
        <f t="shared" si="7"/>
        <v>66.490356813007949</v>
      </c>
      <c r="E23" s="94">
        <f t="shared" si="8"/>
        <v>4.8633520845494743E-2</v>
      </c>
      <c r="F23" s="94">
        <f t="shared" si="9"/>
        <v>0.49011795920022916</v>
      </c>
      <c r="G23" s="94">
        <f t="shared" si="10"/>
        <v>0.36823206620011667</v>
      </c>
      <c r="H23" s="94">
        <f t="shared" si="11"/>
        <v>1.486001212778568</v>
      </c>
      <c r="I23" s="67">
        <v>114.42054415563686</v>
      </c>
      <c r="J23" s="199">
        <v>0.60201899999999997</v>
      </c>
      <c r="K23" s="200">
        <f t="shared" si="12"/>
        <v>68.88334157203235</v>
      </c>
      <c r="L23" s="4"/>
      <c r="M23" s="4"/>
      <c r="N23" s="4"/>
      <c r="O23" s="4"/>
      <c r="P23" s="4"/>
      <c r="Q23" s="4"/>
      <c r="R23" s="4"/>
      <c r="S23" s="4"/>
      <c r="T23" s="4"/>
      <c r="U23" s="4"/>
      <c r="V23" s="4"/>
      <c r="W23" s="4"/>
      <c r="X23" s="4"/>
      <c r="Y23" s="4"/>
      <c r="Z23" s="4"/>
    </row>
    <row r="24" spans="1:26" ht="15.75" customHeight="1" x14ac:dyDescent="0.25">
      <c r="A24" s="4"/>
      <c r="B24" s="173"/>
      <c r="C24" s="201" t="s">
        <v>251</v>
      </c>
      <c r="D24" s="202">
        <f t="shared" si="7"/>
        <v>9.7893357031746859</v>
      </c>
      <c r="E24" s="71">
        <f t="shared" si="8"/>
        <v>7.1602843600735719E-3</v>
      </c>
      <c r="F24" s="71">
        <f t="shared" si="9"/>
        <v>7.2159775744010862E-2</v>
      </c>
      <c r="G24" s="71">
        <f t="shared" si="10"/>
        <v>5.4214588182227449E-2</v>
      </c>
      <c r="H24" s="71">
        <f t="shared" si="11"/>
        <v>0.21878307508748701</v>
      </c>
      <c r="I24" s="203">
        <v>16.846068689773055</v>
      </c>
      <c r="J24" s="204">
        <v>0.60201899999999997</v>
      </c>
      <c r="K24" s="205">
        <f t="shared" si="12"/>
        <v>10.141653426548485</v>
      </c>
      <c r="L24" s="4"/>
      <c r="M24" s="4"/>
      <c r="N24" s="4"/>
      <c r="O24" s="4"/>
      <c r="P24" s="4"/>
      <c r="Q24" s="4"/>
      <c r="R24" s="4"/>
      <c r="S24" s="4"/>
      <c r="T24" s="4"/>
      <c r="U24" s="4"/>
      <c r="V24" s="4"/>
      <c r="W24" s="4"/>
      <c r="X24" s="4"/>
      <c r="Y24" s="4"/>
      <c r="Z24" s="4"/>
    </row>
    <row r="25" spans="1:26" ht="15.75" customHeight="1" x14ac:dyDescent="0.25">
      <c r="A25" s="4"/>
      <c r="B25" s="47"/>
      <c r="C25" s="47"/>
      <c r="D25" s="206"/>
      <c r="E25" s="206"/>
      <c r="F25" s="206"/>
      <c r="G25" s="206"/>
      <c r="H25" s="206"/>
      <c r="I25" s="206"/>
      <c r="J25" s="206"/>
      <c r="K25" s="207"/>
      <c r="L25" s="4"/>
      <c r="M25" s="4"/>
      <c r="N25" s="4"/>
      <c r="O25" s="4"/>
      <c r="P25" s="4"/>
      <c r="Q25" s="4"/>
      <c r="R25" s="4"/>
      <c r="S25" s="4"/>
      <c r="T25" s="4"/>
      <c r="U25" s="4"/>
      <c r="V25" s="4"/>
      <c r="W25" s="4"/>
      <c r="X25" s="4"/>
      <c r="Y25" s="4"/>
      <c r="Z25" s="4"/>
    </row>
    <row r="26" spans="1:26" ht="15.75" customHeight="1" x14ac:dyDescent="0.25">
      <c r="A26" s="4"/>
      <c r="B26" s="43"/>
      <c r="C26" s="210" t="s">
        <v>252</v>
      </c>
      <c r="D26" s="211">
        <f t="shared" ref="D26:D28" si="13">(+D$16/I$16)*K26</f>
        <v>11001.295269834647</v>
      </c>
      <c r="E26" s="211">
        <f t="shared" ref="E26:E28" si="14">(+E$16/I$16)*K26</f>
        <v>8.0467566798840551</v>
      </c>
      <c r="F26" s="211">
        <f t="shared" ref="F26:F28" si="15">(+F$16/I$16)*K26</f>
        <v>81.093449406119475</v>
      </c>
      <c r="G26" s="211">
        <f t="shared" ref="G26:G28" si="16">(+G$16/I$16)*K26</f>
        <v>60.926574653247343</v>
      </c>
      <c r="H26" s="211">
        <f t="shared" ref="H26:H28" si="17">(+H$16/I$16)*K26</f>
        <v>245.86930942610246</v>
      </c>
      <c r="I26" s="212">
        <v>962604</v>
      </c>
      <c r="J26" s="213">
        <v>1.184E-2</v>
      </c>
      <c r="K26" s="214">
        <f t="shared" ref="K26:K28" si="18">I26*J26</f>
        <v>11397.23136</v>
      </c>
      <c r="L26" s="4"/>
      <c r="M26" s="98"/>
      <c r="N26" s="4"/>
      <c r="O26" s="4"/>
      <c r="P26" s="4"/>
      <c r="Q26" s="4"/>
      <c r="R26" s="4"/>
      <c r="S26" s="4"/>
      <c r="T26" s="4"/>
      <c r="U26" s="4"/>
      <c r="V26" s="4"/>
      <c r="W26" s="4"/>
      <c r="X26" s="4"/>
      <c r="Y26" s="4"/>
      <c r="Z26" s="4"/>
    </row>
    <row r="27" spans="1:26" ht="15.75" customHeight="1" x14ac:dyDescent="0.25">
      <c r="A27" s="4"/>
      <c r="B27" s="197" t="s">
        <v>253</v>
      </c>
      <c r="C27" s="215" t="s">
        <v>254</v>
      </c>
      <c r="D27" s="216">
        <f t="shared" si="13"/>
        <v>1.3076760445534346</v>
      </c>
      <c r="E27" s="216">
        <f t="shared" si="14"/>
        <v>9.5648291301546589E-4</v>
      </c>
      <c r="F27" s="216">
        <f t="shared" si="15"/>
        <v>9.6392250691933537E-3</v>
      </c>
      <c r="G27" s="216">
        <f t="shared" si="16"/>
        <v>7.2420765188629943E-3</v>
      </c>
      <c r="H27" s="216">
        <f t="shared" si="17"/>
        <v>2.9225413748234268E-2</v>
      </c>
      <c r="I27" s="217">
        <v>114.42054415563686</v>
      </c>
      <c r="J27" s="218">
        <v>1.184E-2</v>
      </c>
      <c r="K27" s="219">
        <f t="shared" si="18"/>
        <v>1.3547392428027405</v>
      </c>
      <c r="L27" s="4"/>
      <c r="M27" s="4"/>
      <c r="N27" s="4"/>
      <c r="O27" s="4"/>
      <c r="P27" s="4"/>
      <c r="Q27" s="4"/>
      <c r="R27" s="4"/>
      <c r="S27" s="4"/>
      <c r="T27" s="4"/>
      <c r="U27" s="4"/>
      <c r="V27" s="4"/>
      <c r="W27" s="4"/>
      <c r="X27" s="4"/>
      <c r="Y27" s="4"/>
      <c r="Z27" s="4"/>
    </row>
    <row r="28" spans="1:26" ht="15.75" customHeight="1" x14ac:dyDescent="0.25">
      <c r="A28" s="4"/>
      <c r="B28" s="173"/>
      <c r="C28" s="220" t="s">
        <v>255</v>
      </c>
      <c r="D28" s="221">
        <f t="shared" si="13"/>
        <v>0.19252836658907491</v>
      </c>
      <c r="E28" s="222">
        <f t="shared" si="14"/>
        <v>1.408224106270252E-4</v>
      </c>
      <c r="F28" s="222">
        <f t="shared" si="15"/>
        <v>1.4191773761444216E-3</v>
      </c>
      <c r="G28" s="222">
        <f t="shared" si="16"/>
        <v>1.0662466202521399E-3</v>
      </c>
      <c r="H28" s="222">
        <f t="shared" si="17"/>
        <v>4.3028402908144858E-3</v>
      </c>
      <c r="I28" s="223">
        <v>16.846068689773055</v>
      </c>
      <c r="J28" s="224">
        <v>1.184E-2</v>
      </c>
      <c r="K28" s="225">
        <f t="shared" si="18"/>
        <v>0.19945745328691297</v>
      </c>
      <c r="L28" s="4"/>
      <c r="M28" s="4"/>
      <c r="N28" s="4"/>
      <c r="O28" s="4"/>
      <c r="P28" s="4"/>
      <c r="Q28" s="4"/>
      <c r="R28" s="4"/>
      <c r="S28" s="4"/>
      <c r="T28" s="4"/>
      <c r="U28" s="4"/>
      <c r="V28" s="4"/>
      <c r="W28" s="4"/>
      <c r="X28" s="4"/>
      <c r="Y28" s="4"/>
      <c r="Z28" s="4"/>
    </row>
    <row r="29" spans="1:26" ht="15.75" customHeight="1" x14ac:dyDescent="0.25">
      <c r="A29" s="4"/>
      <c r="B29" s="226"/>
      <c r="C29" s="227"/>
      <c r="D29" s="228"/>
      <c r="E29" s="228"/>
      <c r="F29" s="228"/>
      <c r="G29" s="228"/>
      <c r="H29" s="228"/>
      <c r="I29" s="228"/>
      <c r="J29" s="228"/>
      <c r="K29" s="229"/>
      <c r="L29" s="4"/>
      <c r="M29" s="4"/>
      <c r="N29" s="4"/>
      <c r="O29" s="4"/>
      <c r="P29" s="4"/>
      <c r="Q29" s="4"/>
      <c r="R29" s="4"/>
      <c r="S29" s="4"/>
      <c r="T29" s="4"/>
      <c r="U29" s="4"/>
      <c r="V29" s="4"/>
      <c r="W29" s="4"/>
      <c r="X29" s="4"/>
      <c r="Y29" s="4"/>
      <c r="Z29" s="4"/>
    </row>
    <row r="30" spans="1:26"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5">
      <c r="A33" s="4"/>
      <c r="B33" s="4"/>
      <c r="C33" s="113"/>
      <c r="D33" s="114" t="s">
        <v>213</v>
      </c>
      <c r="E33" s="114" t="s">
        <v>256</v>
      </c>
      <c r="F33" s="114" t="s">
        <v>257</v>
      </c>
      <c r="G33" s="144" t="s">
        <v>258</v>
      </c>
      <c r="H33" s="116"/>
      <c r="I33" s="2146" t="s">
        <v>0</v>
      </c>
      <c r="J33" s="2147"/>
      <c r="K33" s="4"/>
      <c r="L33" s="4"/>
      <c r="M33" s="4"/>
      <c r="N33" s="4"/>
      <c r="O33" s="4"/>
      <c r="P33" s="4"/>
      <c r="Q33" s="4"/>
      <c r="R33" s="4"/>
      <c r="S33" s="4"/>
      <c r="T33" s="4"/>
      <c r="U33" s="4"/>
      <c r="V33" s="4"/>
      <c r="W33" s="4"/>
      <c r="X33" s="4"/>
      <c r="Y33" s="4"/>
      <c r="Z33" s="4"/>
    </row>
    <row r="34" spans="1:26" ht="15.75" customHeight="1" x14ac:dyDescent="0.25">
      <c r="A34" s="4"/>
      <c r="B34" s="4"/>
      <c r="C34" s="145"/>
      <c r="D34" s="118"/>
      <c r="E34" s="118" t="s">
        <v>189</v>
      </c>
      <c r="F34" s="118" t="s">
        <v>217</v>
      </c>
      <c r="G34" s="146" t="s">
        <v>218</v>
      </c>
      <c r="H34" s="116"/>
      <c r="I34" s="120"/>
      <c r="J34" s="120"/>
      <c r="K34" s="4"/>
      <c r="L34" s="4"/>
      <c r="M34" s="4"/>
      <c r="N34" s="4"/>
      <c r="O34" s="4"/>
      <c r="P34" s="4"/>
      <c r="Q34" s="4"/>
      <c r="R34" s="4"/>
      <c r="S34" s="4"/>
      <c r="T34" s="4"/>
      <c r="U34" s="4"/>
      <c r="V34" s="4"/>
      <c r="W34" s="4"/>
      <c r="X34" s="4"/>
      <c r="Y34" s="4"/>
      <c r="Z34" s="4"/>
    </row>
    <row r="35" spans="1:26" ht="15.75" customHeight="1" x14ac:dyDescent="0.25">
      <c r="A35" s="4"/>
      <c r="B35" s="4"/>
      <c r="C35" s="121"/>
      <c r="D35" s="230"/>
      <c r="E35" s="230"/>
      <c r="F35" s="230"/>
      <c r="G35" s="230"/>
      <c r="H35" s="116"/>
      <c r="I35" s="124" t="s">
        <v>4</v>
      </c>
      <c r="J35" s="125">
        <f>'Summ GHG Rpt Expanded'!G4</f>
        <v>1</v>
      </c>
      <c r="K35" s="4"/>
      <c r="L35" s="4"/>
      <c r="M35" s="4"/>
      <c r="N35" s="4"/>
      <c r="O35" s="4"/>
      <c r="P35" s="4"/>
      <c r="Q35" s="4"/>
      <c r="R35" s="4"/>
      <c r="S35" s="4"/>
      <c r="T35" s="4"/>
      <c r="U35" s="4"/>
      <c r="V35" s="4"/>
      <c r="W35" s="4"/>
      <c r="X35" s="4"/>
      <c r="Y35" s="4"/>
      <c r="Z35" s="4"/>
    </row>
    <row r="36" spans="1:26" ht="15.75" customHeight="1" x14ac:dyDescent="0.25">
      <c r="A36" s="4"/>
      <c r="B36" s="4"/>
      <c r="C36" s="231" t="s">
        <v>219</v>
      </c>
      <c r="D36" s="232">
        <f>+D16+G16</f>
        <v>9303491.7479999997</v>
      </c>
      <c r="E36" s="232">
        <f>+D18+G18+D22+G22+D26+G26</f>
        <v>934311.33288648259</v>
      </c>
      <c r="F36" s="232">
        <f>E36*0.90718474</f>
        <v>847592.98360367725</v>
      </c>
      <c r="G36" s="233">
        <f>F36/1000000</f>
        <v>0.8475929836036773</v>
      </c>
      <c r="H36" s="234"/>
      <c r="I36" s="124" t="s">
        <v>5</v>
      </c>
      <c r="J36" s="125">
        <f>'Summ GHG Rpt Expanded'!G5</f>
        <v>28</v>
      </c>
      <c r="K36" s="4"/>
      <c r="L36" s="4"/>
      <c r="M36" s="4"/>
      <c r="N36" s="4"/>
      <c r="O36" s="4"/>
      <c r="P36" s="4"/>
      <c r="Q36" s="4"/>
      <c r="R36" s="4"/>
      <c r="S36" s="4"/>
      <c r="T36" s="4"/>
      <c r="U36" s="4"/>
      <c r="V36" s="4"/>
      <c r="W36" s="4"/>
      <c r="X36" s="4"/>
      <c r="Y36" s="4"/>
      <c r="Z36" s="4"/>
    </row>
    <row r="37" spans="1:26" ht="15.75" customHeight="1" x14ac:dyDescent="0.25">
      <c r="A37" s="4"/>
      <c r="B37" s="4"/>
      <c r="C37" s="231"/>
      <c r="D37" s="107"/>
      <c r="E37" s="107"/>
      <c r="F37" s="232"/>
      <c r="G37" s="233"/>
      <c r="H37" s="234"/>
      <c r="I37" s="124" t="s">
        <v>6</v>
      </c>
      <c r="J37" s="125">
        <f>'Summ GHG Rpt Expanded'!G6</f>
        <v>265</v>
      </c>
      <c r="K37" s="4"/>
      <c r="L37" s="4"/>
      <c r="M37" s="4"/>
      <c r="N37" s="4"/>
      <c r="O37" s="4"/>
      <c r="P37" s="4"/>
      <c r="Q37" s="4"/>
      <c r="R37" s="4"/>
      <c r="S37" s="4"/>
      <c r="T37" s="4"/>
      <c r="U37" s="4"/>
      <c r="V37" s="4"/>
      <c r="W37" s="4"/>
      <c r="X37" s="4"/>
      <c r="Y37" s="4"/>
      <c r="Z37" s="4"/>
    </row>
    <row r="38" spans="1:26" ht="15.75" customHeight="1" x14ac:dyDescent="0.25">
      <c r="A38" s="4"/>
      <c r="B38" s="4"/>
      <c r="C38" s="231" t="s">
        <v>220</v>
      </c>
      <c r="D38" s="232">
        <f>+E16+F16</f>
        <v>74968.228208999994</v>
      </c>
      <c r="E38" s="232">
        <f>+E18+F18+E22+F22+E26+F26</f>
        <v>7528.7501853426475</v>
      </c>
      <c r="F38" s="232">
        <f>E38*0.90718474</f>
        <v>6829.9672794150219</v>
      </c>
      <c r="G38" s="233">
        <f>F38/1000000</f>
        <v>6.8299672794150217E-3</v>
      </c>
      <c r="H38" s="234"/>
      <c r="I38" s="124" t="s">
        <v>7</v>
      </c>
      <c r="J38" s="129">
        <f>'Summ GHG Rpt Expanded'!G7</f>
        <v>23500</v>
      </c>
      <c r="K38" s="4"/>
      <c r="L38" s="4"/>
      <c r="M38" s="4"/>
      <c r="N38" s="4"/>
      <c r="O38" s="4"/>
      <c r="P38" s="4"/>
      <c r="Q38" s="4"/>
      <c r="R38" s="4"/>
      <c r="S38" s="4"/>
      <c r="T38" s="4"/>
      <c r="U38" s="4"/>
      <c r="V38" s="4"/>
      <c r="W38" s="4"/>
      <c r="X38" s="4"/>
      <c r="Y38" s="4"/>
      <c r="Z38" s="4"/>
    </row>
    <row r="39" spans="1:26" ht="15.75" customHeight="1" x14ac:dyDescent="0.25">
      <c r="A39" s="4"/>
      <c r="B39" s="4"/>
      <c r="C39" s="231"/>
      <c r="D39" s="107"/>
      <c r="E39" s="107"/>
      <c r="F39" s="232"/>
      <c r="G39" s="233"/>
      <c r="H39" s="234"/>
      <c r="I39" s="124" t="s">
        <v>8</v>
      </c>
      <c r="J39" s="129">
        <f>'Summ GHG Rpt Expanded'!G8</f>
        <v>11100</v>
      </c>
      <c r="K39" s="4"/>
      <c r="L39" s="4"/>
      <c r="M39" s="4"/>
      <c r="N39" s="4"/>
      <c r="O39" s="4"/>
      <c r="P39" s="4"/>
      <c r="Q39" s="4"/>
      <c r="R39" s="4"/>
      <c r="S39" s="4"/>
      <c r="T39" s="4"/>
      <c r="U39" s="4"/>
      <c r="V39" s="4"/>
      <c r="W39" s="4"/>
      <c r="X39" s="4"/>
      <c r="Y39" s="4"/>
      <c r="Z39" s="4"/>
    </row>
    <row r="40" spans="1:26" ht="15.75" customHeight="1" x14ac:dyDescent="0.25">
      <c r="A40" s="4"/>
      <c r="B40" s="4"/>
      <c r="C40" s="231" t="s">
        <v>221</v>
      </c>
      <c r="D40" s="232">
        <f>+H16</f>
        <v>206779.71599999999</v>
      </c>
      <c r="E40" s="232">
        <f>+H18+H22+H26</f>
        <v>20766.034656974934</v>
      </c>
      <c r="F40" s="232">
        <f>E40*0.90718474</f>
        <v>18838.629751118795</v>
      </c>
      <c r="G40" s="233">
        <f>F40/1000000</f>
        <v>1.8838629751118795E-2</v>
      </c>
      <c r="H40" s="234"/>
      <c r="I40" s="4"/>
      <c r="J40" s="4"/>
      <c r="K40" s="4"/>
      <c r="L40" s="4"/>
      <c r="M40" s="4"/>
      <c r="N40" s="4"/>
      <c r="O40" s="4"/>
      <c r="P40" s="4"/>
      <c r="Q40" s="4"/>
      <c r="R40" s="4"/>
      <c r="S40" s="4"/>
      <c r="T40" s="4"/>
      <c r="U40" s="4"/>
      <c r="V40" s="4"/>
      <c r="W40" s="4"/>
      <c r="X40" s="4"/>
      <c r="Y40" s="4"/>
      <c r="Z40" s="4"/>
    </row>
    <row r="41" spans="1:26" ht="15.75" customHeight="1" x14ac:dyDescent="0.25">
      <c r="A41" s="4"/>
      <c r="B41" s="4"/>
      <c r="C41" s="235"/>
      <c r="D41" s="236"/>
      <c r="E41" s="236"/>
      <c r="F41" s="237"/>
      <c r="G41" s="238"/>
      <c r="H41" s="134"/>
      <c r="I41" s="4"/>
      <c r="J41" s="4"/>
      <c r="K41" s="4"/>
      <c r="L41" s="4"/>
      <c r="M41" s="4"/>
      <c r="N41" s="4"/>
      <c r="O41" s="4"/>
      <c r="P41" s="4"/>
      <c r="Q41" s="4"/>
      <c r="R41" s="4"/>
      <c r="S41" s="4"/>
      <c r="T41" s="4"/>
      <c r="U41" s="4"/>
      <c r="V41" s="4"/>
      <c r="W41" s="4"/>
      <c r="X41" s="4"/>
      <c r="Y41" s="4"/>
      <c r="Z41" s="4"/>
    </row>
    <row r="42" spans="1:26" ht="15.75" customHeight="1" x14ac:dyDescent="0.25">
      <c r="A42" s="4"/>
      <c r="B42" s="4"/>
      <c r="C42" s="239" t="s">
        <v>222</v>
      </c>
      <c r="D42" s="137">
        <f t="shared" ref="D42:G42" si="19">SUM(D36:D41)</f>
        <v>9585239.6922089998</v>
      </c>
      <c r="E42" s="137">
        <f t="shared" si="19"/>
        <v>962606.11772880016</v>
      </c>
      <c r="F42" s="137">
        <f t="shared" si="19"/>
        <v>873261.58063421107</v>
      </c>
      <c r="G42" s="240">
        <f t="shared" si="19"/>
        <v>0.87326158063421111</v>
      </c>
      <c r="H42" s="241"/>
      <c r="I42" s="4"/>
      <c r="J42" s="4"/>
      <c r="K42" s="4"/>
      <c r="L42" s="4"/>
      <c r="M42" s="4"/>
      <c r="N42" s="4"/>
      <c r="O42" s="4"/>
      <c r="P42" s="4"/>
      <c r="Q42" s="4"/>
      <c r="R42" s="4"/>
      <c r="S42" s="4"/>
      <c r="T42" s="4"/>
      <c r="U42" s="4"/>
      <c r="V42" s="4"/>
      <c r="W42" s="4"/>
      <c r="X42" s="4"/>
      <c r="Y42" s="4"/>
      <c r="Z42" s="4"/>
    </row>
    <row r="43" spans="1:26" ht="15.75" customHeight="1" x14ac:dyDescent="0.25">
      <c r="A43" s="4"/>
      <c r="B43" s="4"/>
      <c r="C43" s="140"/>
      <c r="D43" s="141"/>
      <c r="E43" s="141"/>
      <c r="F43" s="141"/>
      <c r="G43" s="242"/>
      <c r="H43" s="143"/>
      <c r="I43" s="4"/>
      <c r="J43" s="4"/>
      <c r="K43" s="4"/>
      <c r="L43" s="4"/>
      <c r="M43" s="4"/>
      <c r="N43" s="4"/>
      <c r="O43" s="4"/>
      <c r="P43" s="4"/>
      <c r="Q43" s="4"/>
      <c r="R43" s="4"/>
      <c r="S43" s="4"/>
      <c r="T43" s="4"/>
      <c r="U43" s="4"/>
      <c r="V43" s="4"/>
      <c r="W43" s="4"/>
      <c r="X43" s="4"/>
      <c r="Y43" s="4"/>
      <c r="Z43" s="4"/>
    </row>
    <row r="44" spans="1:26" ht="15.75" customHeight="1" x14ac:dyDescent="0.25">
      <c r="A44" s="4"/>
      <c r="B44" s="4"/>
      <c r="C44" s="4"/>
      <c r="D44" s="4"/>
      <c r="E44" s="4"/>
      <c r="F44" s="4"/>
      <c r="G44" s="243"/>
      <c r="H44" s="4"/>
      <c r="I44" s="4"/>
      <c r="J44" s="4"/>
      <c r="K44" s="4"/>
      <c r="L44" s="4"/>
      <c r="M44" s="4"/>
      <c r="N44" s="4"/>
      <c r="O44" s="4"/>
      <c r="P44" s="4"/>
      <c r="Q44" s="4"/>
      <c r="R44" s="4"/>
      <c r="S44" s="4"/>
      <c r="T44" s="4"/>
      <c r="U44" s="4"/>
      <c r="V44" s="4"/>
      <c r="W44" s="4"/>
      <c r="X44" s="4"/>
      <c r="Y44" s="4"/>
      <c r="Z44" s="4"/>
    </row>
    <row r="45" spans="1:26"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4"/>
      <c r="D46" s="4"/>
      <c r="E46" s="4"/>
      <c r="F46" s="4"/>
      <c r="G46" s="24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113"/>
      <c r="D47" s="114" t="s">
        <v>213</v>
      </c>
      <c r="E47" s="114" t="s">
        <v>259</v>
      </c>
      <c r="F47" s="114" t="s">
        <v>260</v>
      </c>
      <c r="G47" s="144" t="s">
        <v>261</v>
      </c>
      <c r="H47" s="116"/>
      <c r="I47" s="4"/>
      <c r="J47" s="4"/>
      <c r="K47" s="4"/>
      <c r="L47" s="4"/>
      <c r="M47" s="4"/>
      <c r="N47" s="4"/>
      <c r="O47" s="4"/>
      <c r="P47" s="4"/>
      <c r="Q47" s="4"/>
      <c r="R47" s="4"/>
      <c r="S47" s="4"/>
      <c r="T47" s="4"/>
      <c r="U47" s="4"/>
      <c r="V47" s="4"/>
      <c r="W47" s="4"/>
      <c r="X47" s="4"/>
      <c r="Y47" s="4"/>
      <c r="Z47" s="4"/>
    </row>
    <row r="48" spans="1:26" ht="15.75" customHeight="1" x14ac:dyDescent="0.25">
      <c r="A48" s="4"/>
      <c r="B48" s="4"/>
      <c r="C48" s="145"/>
      <c r="D48" s="118"/>
      <c r="E48" s="118" t="s">
        <v>189</v>
      </c>
      <c r="F48" s="118" t="s">
        <v>217</v>
      </c>
      <c r="G48" s="146" t="s">
        <v>262</v>
      </c>
      <c r="H48" s="116"/>
      <c r="I48" s="4"/>
      <c r="J48" s="4"/>
      <c r="K48" s="4"/>
      <c r="L48" s="4"/>
      <c r="M48" s="4"/>
      <c r="N48" s="4"/>
      <c r="O48" s="4"/>
      <c r="P48" s="4"/>
      <c r="Q48" s="4"/>
      <c r="R48" s="4"/>
      <c r="S48" s="4"/>
      <c r="T48" s="4"/>
      <c r="U48" s="4"/>
      <c r="V48" s="4"/>
      <c r="W48" s="4"/>
      <c r="X48" s="4"/>
      <c r="Y48" s="4"/>
      <c r="Z48" s="4"/>
    </row>
    <row r="49" spans="1:26" ht="15.75" customHeight="1" x14ac:dyDescent="0.25">
      <c r="A49" s="4"/>
      <c r="B49" s="4"/>
      <c r="C49" s="121"/>
      <c r="D49" s="230"/>
      <c r="E49" s="230"/>
      <c r="F49" s="230"/>
      <c r="G49" s="230"/>
      <c r="H49" s="116"/>
      <c r="I49" s="4"/>
      <c r="J49" s="4"/>
      <c r="K49" s="4"/>
      <c r="L49" s="4"/>
      <c r="M49" s="4"/>
      <c r="N49" s="4"/>
      <c r="O49" s="4"/>
      <c r="P49" s="4"/>
      <c r="Q49" s="4"/>
      <c r="R49" s="4"/>
      <c r="S49" s="4"/>
      <c r="T49" s="4"/>
      <c r="U49" s="4"/>
      <c r="V49" s="4"/>
      <c r="W49" s="4"/>
      <c r="X49" s="4"/>
      <c r="Y49" s="4"/>
      <c r="Z49" s="4"/>
    </row>
    <row r="50" spans="1:26" ht="15.75" customHeight="1" x14ac:dyDescent="0.25">
      <c r="A50" s="4"/>
      <c r="B50" s="4"/>
      <c r="C50" s="231" t="s">
        <v>219</v>
      </c>
      <c r="D50" s="232">
        <f>+D16+G16</f>
        <v>9303491.7479999997</v>
      </c>
      <c r="E50" s="245">
        <f>+D19+G19+D23+G23+D27+G27</f>
        <v>111.05751806521656</v>
      </c>
      <c r="F50" s="245">
        <f>E50*0.90718474</f>
        <v>100.74968565103879</v>
      </c>
      <c r="G50" s="246">
        <f>(+F50*$J$36)/1000000</f>
        <v>2.820991198229086E-3</v>
      </c>
      <c r="H50" s="128"/>
      <c r="I50" s="4"/>
      <c r="J50" s="4"/>
      <c r="K50" s="4"/>
      <c r="L50" s="4"/>
      <c r="M50" s="4"/>
      <c r="N50" s="4"/>
      <c r="O50" s="4"/>
      <c r="P50" s="4"/>
      <c r="Q50" s="4"/>
      <c r="R50" s="4"/>
      <c r="S50" s="4"/>
      <c r="T50" s="4"/>
      <c r="U50" s="4"/>
      <c r="V50" s="4"/>
      <c r="W50" s="4"/>
      <c r="X50" s="4"/>
      <c r="Y50" s="4"/>
      <c r="Z50" s="4"/>
    </row>
    <row r="51" spans="1:26" ht="15.75" customHeight="1" x14ac:dyDescent="0.25">
      <c r="A51" s="4"/>
      <c r="B51" s="4"/>
      <c r="C51" s="231"/>
      <c r="D51" s="107"/>
      <c r="E51" s="107"/>
      <c r="F51" s="232"/>
      <c r="G51" s="246"/>
      <c r="H51" s="128"/>
      <c r="I51" s="4"/>
      <c r="J51" s="4"/>
      <c r="K51" s="4"/>
      <c r="L51" s="4"/>
      <c r="M51" s="4"/>
      <c r="N51" s="4"/>
      <c r="O51" s="4"/>
      <c r="P51" s="4"/>
      <c r="Q51" s="4"/>
      <c r="R51" s="4"/>
      <c r="S51" s="4"/>
      <c r="T51" s="4"/>
      <c r="U51" s="4"/>
      <c r="V51" s="4"/>
      <c r="W51" s="4"/>
      <c r="X51" s="4"/>
      <c r="Y51" s="4"/>
      <c r="Z51" s="4"/>
    </row>
    <row r="52" spans="1:26" ht="15.75" customHeight="1" x14ac:dyDescent="0.25">
      <c r="A52" s="4"/>
      <c r="B52" s="4"/>
      <c r="C52" s="231" t="s">
        <v>220</v>
      </c>
      <c r="D52" s="232">
        <f>+E16+F16</f>
        <v>74968.228208999994</v>
      </c>
      <c r="E52" s="247">
        <f>+E19+F19+E23+F23+E27+F27</f>
        <v>0.89490973756472803</v>
      </c>
      <c r="F52" s="247">
        <f>E52*0.90718474</f>
        <v>0.81184845759612612</v>
      </c>
      <c r="G52" s="246">
        <f>(+F52*$J$36)/1000000</f>
        <v>2.2731756812691532E-5</v>
      </c>
      <c r="H52" s="128"/>
      <c r="I52" s="4"/>
      <c r="J52" s="4"/>
      <c r="K52" s="4"/>
      <c r="L52" s="4"/>
      <c r="M52" s="4"/>
      <c r="N52" s="4"/>
      <c r="O52" s="4"/>
      <c r="P52" s="4"/>
      <c r="Q52" s="4"/>
      <c r="R52" s="4"/>
      <c r="S52" s="4"/>
      <c r="T52" s="4"/>
      <c r="U52" s="4"/>
      <c r="V52" s="4"/>
      <c r="W52" s="4"/>
      <c r="X52" s="4"/>
      <c r="Y52" s="4"/>
      <c r="Z52" s="4"/>
    </row>
    <row r="53" spans="1:26" ht="15.75" customHeight="1" x14ac:dyDescent="0.25">
      <c r="A53" s="4"/>
      <c r="B53" s="4"/>
      <c r="C53" s="231"/>
      <c r="D53" s="107"/>
      <c r="E53" s="107"/>
      <c r="F53" s="247"/>
      <c r="G53" s="246"/>
      <c r="H53" s="128"/>
      <c r="I53" s="4"/>
      <c r="J53" s="4"/>
      <c r="K53" s="4"/>
      <c r="L53" s="4"/>
      <c r="M53" s="4"/>
      <c r="N53" s="4"/>
      <c r="O53" s="4"/>
      <c r="P53" s="4"/>
      <c r="Q53" s="4"/>
      <c r="R53" s="4"/>
      <c r="S53" s="4"/>
      <c r="T53" s="4"/>
      <c r="U53" s="4"/>
      <c r="V53" s="4"/>
      <c r="W53" s="4"/>
      <c r="X53" s="4"/>
      <c r="Y53" s="4"/>
      <c r="Z53" s="4"/>
    </row>
    <row r="54" spans="1:26" ht="15.75" customHeight="1" x14ac:dyDescent="0.25">
      <c r="A54" s="4"/>
      <c r="B54" s="4"/>
      <c r="C54" s="231" t="s">
        <v>221</v>
      </c>
      <c r="D54" s="232">
        <f>+H16</f>
        <v>206779.71599999999</v>
      </c>
      <c r="E54" s="247">
        <f>+H19+H23+H27</f>
        <v>2.4683680780527459</v>
      </c>
      <c r="F54" s="247">
        <f>E54*0.90718474</f>
        <v>2.2392658531125802</v>
      </c>
      <c r="G54" s="246">
        <f>(+F54*$J$36)/1000000</f>
        <v>6.2699443887152245E-5</v>
      </c>
      <c r="H54" s="128"/>
      <c r="I54" s="4"/>
      <c r="J54" s="4"/>
      <c r="K54" s="4"/>
      <c r="L54" s="4"/>
      <c r="M54" s="4"/>
      <c r="N54" s="4"/>
      <c r="O54" s="4"/>
      <c r="P54" s="4"/>
      <c r="Q54" s="4"/>
      <c r="R54" s="4"/>
      <c r="S54" s="4"/>
      <c r="T54" s="4"/>
      <c r="U54" s="4"/>
      <c r="V54" s="4"/>
      <c r="W54" s="4"/>
      <c r="X54" s="4"/>
      <c r="Y54" s="4"/>
      <c r="Z54" s="4"/>
    </row>
    <row r="55" spans="1:26" ht="15.75" customHeight="1" x14ac:dyDescent="0.25">
      <c r="A55" s="4"/>
      <c r="B55" s="4"/>
      <c r="C55" s="235"/>
      <c r="D55" s="236"/>
      <c r="E55" s="236"/>
      <c r="F55" s="237"/>
      <c r="G55" s="248"/>
      <c r="H55" s="134"/>
      <c r="I55" s="4"/>
      <c r="J55" s="4"/>
      <c r="K55" s="4"/>
      <c r="L55" s="4"/>
      <c r="M55" s="4"/>
      <c r="N55" s="4"/>
      <c r="O55" s="4"/>
      <c r="P55" s="4"/>
      <c r="Q55" s="4"/>
      <c r="R55" s="4"/>
      <c r="S55" s="4"/>
      <c r="T55" s="4"/>
      <c r="U55" s="4"/>
      <c r="V55" s="4"/>
      <c r="W55" s="4"/>
      <c r="X55" s="4"/>
      <c r="Y55" s="4"/>
      <c r="Z55" s="4"/>
    </row>
    <row r="56" spans="1:26" ht="15.75" customHeight="1" x14ac:dyDescent="0.25">
      <c r="A56" s="4"/>
      <c r="B56" s="4"/>
      <c r="C56" s="249" t="s">
        <v>222</v>
      </c>
      <c r="D56" s="250"/>
      <c r="E56" s="251">
        <f t="shared" ref="E56:G56" si="20">SUM(E50:E55)</f>
        <v>114.42079588083404</v>
      </c>
      <c r="F56" s="250">
        <f t="shared" si="20"/>
        <v>103.8007999617475</v>
      </c>
      <c r="G56" s="252">
        <f t="shared" si="20"/>
        <v>2.9064223989289299E-3</v>
      </c>
      <c r="H56" s="134"/>
      <c r="I56" s="4"/>
      <c r="J56" s="4"/>
      <c r="K56" s="4"/>
      <c r="L56" s="4"/>
      <c r="M56" s="4"/>
      <c r="N56" s="4"/>
      <c r="O56" s="4"/>
      <c r="P56" s="4"/>
      <c r="Q56" s="4"/>
      <c r="R56" s="4"/>
      <c r="S56" s="4"/>
      <c r="T56" s="4"/>
      <c r="U56" s="4"/>
      <c r="V56" s="4"/>
      <c r="W56" s="4"/>
      <c r="X56" s="4"/>
      <c r="Y56" s="4"/>
      <c r="Z56" s="4"/>
    </row>
    <row r="57" spans="1:26" ht="15.75" customHeight="1" x14ac:dyDescent="0.25">
      <c r="A57" s="4"/>
      <c r="B57" s="4"/>
      <c r="C57" s="140"/>
      <c r="D57" s="141"/>
      <c r="E57" s="141"/>
      <c r="F57" s="141"/>
      <c r="G57" s="242"/>
      <c r="H57" s="143"/>
      <c r="I57" s="4"/>
      <c r="J57" s="4"/>
      <c r="K57" s="4"/>
      <c r="L57" s="4"/>
      <c r="M57" s="4"/>
      <c r="N57" s="4"/>
      <c r="O57" s="4"/>
      <c r="P57" s="4"/>
      <c r="Q57" s="4"/>
      <c r="R57" s="4"/>
      <c r="S57" s="4"/>
      <c r="T57" s="4"/>
      <c r="U57" s="4"/>
      <c r="V57" s="4"/>
      <c r="W57" s="4"/>
      <c r="X57" s="4"/>
      <c r="Y57" s="4"/>
      <c r="Z57" s="4"/>
    </row>
    <row r="58" spans="1:26" ht="15.75" customHeight="1" x14ac:dyDescent="0.25">
      <c r="A58" s="4"/>
      <c r="B58" s="4"/>
      <c r="C58" s="4"/>
      <c r="D58" s="4"/>
      <c r="E58" s="4"/>
      <c r="F58" s="4"/>
      <c r="G58" s="243"/>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4"/>
      <c r="G59" s="24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113"/>
      <c r="D60" s="114" t="s">
        <v>213</v>
      </c>
      <c r="E60" s="114" t="s">
        <v>263</v>
      </c>
      <c r="F60" s="114" t="s">
        <v>264</v>
      </c>
      <c r="G60" s="144" t="s">
        <v>265</v>
      </c>
      <c r="H60" s="116"/>
      <c r="I60" s="4"/>
      <c r="J60" s="4"/>
      <c r="K60" s="4"/>
      <c r="L60" s="4"/>
      <c r="M60" s="4"/>
      <c r="N60" s="4"/>
      <c r="O60" s="4"/>
      <c r="P60" s="4"/>
      <c r="Q60" s="4"/>
      <c r="R60" s="4"/>
      <c r="S60" s="4"/>
      <c r="T60" s="4"/>
      <c r="U60" s="4"/>
      <c r="V60" s="4"/>
      <c r="W60" s="4"/>
      <c r="X60" s="4"/>
      <c r="Y60" s="4"/>
      <c r="Z60" s="4"/>
    </row>
    <row r="61" spans="1:26" ht="15.75" customHeight="1" x14ac:dyDescent="0.25">
      <c r="A61" s="4"/>
      <c r="B61" s="4"/>
      <c r="C61" s="145"/>
      <c r="D61" s="118"/>
      <c r="E61" s="118" t="s">
        <v>189</v>
      </c>
      <c r="F61" s="118" t="s">
        <v>217</v>
      </c>
      <c r="G61" s="146" t="s">
        <v>266</v>
      </c>
      <c r="H61" s="116"/>
      <c r="I61" s="4"/>
      <c r="J61" s="4"/>
      <c r="K61" s="4"/>
      <c r="L61" s="4"/>
      <c r="M61" s="4"/>
      <c r="N61" s="4"/>
      <c r="O61" s="4"/>
      <c r="P61" s="4"/>
      <c r="Q61" s="4"/>
      <c r="R61" s="4"/>
      <c r="S61" s="4"/>
      <c r="T61" s="4"/>
      <c r="U61" s="4"/>
      <c r="V61" s="4"/>
      <c r="W61" s="4"/>
      <c r="X61" s="4"/>
      <c r="Y61" s="4"/>
      <c r="Z61" s="4"/>
    </row>
    <row r="62" spans="1:26" ht="15.75" customHeight="1" x14ac:dyDescent="0.25">
      <c r="A62" s="4"/>
      <c r="B62" s="4"/>
      <c r="C62" s="121"/>
      <c r="D62" s="230"/>
      <c r="E62" s="230"/>
      <c r="F62" s="230"/>
      <c r="G62" s="230"/>
      <c r="H62" s="116"/>
      <c r="I62" s="4"/>
      <c r="J62" s="4"/>
      <c r="K62" s="4"/>
      <c r="L62" s="4"/>
      <c r="M62" s="4"/>
      <c r="N62" s="4"/>
      <c r="O62" s="4"/>
      <c r="P62" s="4"/>
      <c r="Q62" s="4"/>
      <c r="R62" s="4"/>
      <c r="S62" s="4"/>
      <c r="T62" s="4"/>
      <c r="U62" s="4"/>
      <c r="V62" s="4"/>
      <c r="W62" s="4"/>
      <c r="X62" s="4"/>
      <c r="Y62" s="4"/>
      <c r="Z62" s="4"/>
    </row>
    <row r="63" spans="1:26" ht="15.75" customHeight="1" x14ac:dyDescent="0.25">
      <c r="A63" s="4"/>
      <c r="B63" s="4"/>
      <c r="C63" s="231" t="s">
        <v>219</v>
      </c>
      <c r="D63" s="232">
        <f>+D16+G16</f>
        <v>9303491.7479999997</v>
      </c>
      <c r="E63" s="253">
        <f>+D20+G20+D24+G24+D28+G28</f>
        <v>16.350932357894937</v>
      </c>
      <c r="F63" s="247">
        <f>E63*0.90718474</f>
        <v>14.833316319854505</v>
      </c>
      <c r="G63" s="254">
        <f>(+F63*$J$37)/1000000</f>
        <v>3.930828824761444E-3</v>
      </c>
      <c r="H63" s="128"/>
      <c r="I63" s="4"/>
      <c r="J63" s="4"/>
      <c r="K63" s="4"/>
      <c r="L63" s="4"/>
      <c r="M63" s="4"/>
      <c r="N63" s="4"/>
      <c r="O63" s="4"/>
      <c r="P63" s="4"/>
      <c r="Q63" s="4"/>
      <c r="R63" s="4"/>
      <c r="S63" s="4"/>
      <c r="T63" s="4"/>
      <c r="U63" s="4"/>
      <c r="V63" s="4"/>
      <c r="W63" s="4"/>
      <c r="X63" s="4"/>
      <c r="Y63" s="4"/>
      <c r="Z63" s="4"/>
    </row>
    <row r="64" spans="1:26" ht="15.75" customHeight="1" x14ac:dyDescent="0.25">
      <c r="A64" s="4"/>
      <c r="B64" s="4"/>
      <c r="C64" s="231"/>
      <c r="D64" s="107"/>
      <c r="E64" s="253"/>
      <c r="F64" s="247"/>
      <c r="G64" s="254"/>
      <c r="H64" s="128"/>
      <c r="I64" s="4"/>
      <c r="J64" s="4"/>
      <c r="K64" s="4"/>
      <c r="L64" s="4"/>
      <c r="M64" s="4"/>
      <c r="N64" s="4"/>
      <c r="O64" s="4"/>
      <c r="P64" s="4"/>
      <c r="Q64" s="4"/>
      <c r="R64" s="4"/>
      <c r="S64" s="4"/>
      <c r="T64" s="4"/>
      <c r="U64" s="4"/>
      <c r="V64" s="4"/>
      <c r="W64" s="4"/>
      <c r="X64" s="4"/>
      <c r="Y64" s="4"/>
      <c r="Z64" s="4"/>
    </row>
    <row r="65" spans="1:26" ht="15.75" customHeight="1" x14ac:dyDescent="0.25">
      <c r="A65" s="4"/>
      <c r="B65" s="4"/>
      <c r="C65" s="231" t="s">
        <v>220</v>
      </c>
      <c r="D65" s="232">
        <f>+E16+F16</f>
        <v>74968.228208999994</v>
      </c>
      <c r="E65" s="253">
        <f>+E20+F20+E24+F24+E28+F28</f>
        <v>0.13175702861241365</v>
      </c>
      <c r="F65" s="247">
        <f>E65*0.90718474</f>
        <v>0.11952796574492504</v>
      </c>
      <c r="G65" s="254">
        <f>(+F65*$J$37)/1000000</f>
        <v>3.1674910922405135E-5</v>
      </c>
      <c r="H65" s="128"/>
      <c r="I65" s="4"/>
      <c r="J65" s="4"/>
      <c r="K65" s="4"/>
      <c r="L65" s="4"/>
      <c r="M65" s="4"/>
      <c r="N65" s="4"/>
      <c r="O65" s="4"/>
      <c r="P65" s="4"/>
      <c r="Q65" s="4"/>
      <c r="R65" s="4"/>
      <c r="S65" s="4"/>
      <c r="T65" s="4"/>
      <c r="U65" s="4"/>
      <c r="V65" s="4"/>
      <c r="W65" s="4"/>
      <c r="X65" s="4"/>
      <c r="Y65" s="4"/>
      <c r="Z65" s="4"/>
    </row>
    <row r="66" spans="1:26" ht="15.75" customHeight="1" x14ac:dyDescent="0.25">
      <c r="A66" s="4"/>
      <c r="B66" s="4"/>
      <c r="C66" s="231"/>
      <c r="D66" s="107"/>
      <c r="E66" s="253"/>
      <c r="F66" s="247"/>
      <c r="G66" s="254"/>
      <c r="H66" s="128"/>
      <c r="I66" s="4"/>
      <c r="J66" s="4"/>
      <c r="K66" s="4"/>
      <c r="L66" s="4"/>
      <c r="M66" s="4"/>
      <c r="N66" s="4"/>
      <c r="O66" s="4"/>
      <c r="P66" s="4"/>
      <c r="Q66" s="4"/>
      <c r="R66" s="4"/>
      <c r="S66" s="4"/>
      <c r="T66" s="4"/>
      <c r="U66" s="4"/>
      <c r="V66" s="4"/>
      <c r="W66" s="4"/>
      <c r="X66" s="4"/>
      <c r="Y66" s="4"/>
      <c r="Z66" s="4"/>
    </row>
    <row r="67" spans="1:26" ht="15.75" customHeight="1" x14ac:dyDescent="0.25">
      <c r="A67" s="4"/>
      <c r="B67" s="4"/>
      <c r="C67" s="231" t="s">
        <v>221</v>
      </c>
      <c r="D67" s="232">
        <f>+H16</f>
        <v>206779.71599999999</v>
      </c>
      <c r="E67" s="253">
        <f>+H20+H24+H28</f>
        <v>0.36341636461681814</v>
      </c>
      <c r="F67" s="247">
        <f>E67*0.90718474</f>
        <v>0.3296857802466534</v>
      </c>
      <c r="G67" s="254">
        <f>(+F67*$J$37)/1000000</f>
        <v>8.7366731765363152E-5</v>
      </c>
      <c r="H67" s="128"/>
      <c r="I67" s="4"/>
      <c r="J67" s="4"/>
      <c r="K67" s="4"/>
      <c r="L67" s="4"/>
      <c r="M67" s="4"/>
      <c r="N67" s="4"/>
      <c r="O67" s="4"/>
      <c r="P67" s="4"/>
      <c r="Q67" s="4"/>
      <c r="R67" s="4"/>
      <c r="S67" s="4"/>
      <c r="T67" s="4"/>
      <c r="U67" s="4"/>
      <c r="V67" s="4"/>
      <c r="W67" s="4"/>
      <c r="X67" s="4"/>
      <c r="Y67" s="4"/>
      <c r="Z67" s="4"/>
    </row>
    <row r="68" spans="1:26" ht="15.75" customHeight="1" x14ac:dyDescent="0.25">
      <c r="A68" s="4"/>
      <c r="B68" s="4"/>
      <c r="C68" s="235"/>
      <c r="D68" s="236"/>
      <c r="E68" s="255"/>
      <c r="F68" s="237"/>
      <c r="G68" s="248"/>
      <c r="H68" s="134"/>
      <c r="I68" s="4"/>
      <c r="J68" s="4"/>
      <c r="K68" s="4"/>
      <c r="L68" s="4"/>
      <c r="M68" s="4"/>
      <c r="N68" s="4"/>
      <c r="O68" s="4"/>
      <c r="P68" s="4"/>
      <c r="Q68" s="4"/>
      <c r="R68" s="4"/>
      <c r="S68" s="4"/>
      <c r="T68" s="4"/>
      <c r="U68" s="4"/>
      <c r="V68" s="4"/>
      <c r="W68" s="4"/>
      <c r="X68" s="4"/>
      <c r="Y68" s="4"/>
      <c r="Z68" s="4"/>
    </row>
    <row r="69" spans="1:26" ht="15.75" customHeight="1" x14ac:dyDescent="0.25">
      <c r="A69" s="4"/>
      <c r="B69" s="4"/>
      <c r="C69" s="256" t="s">
        <v>222</v>
      </c>
      <c r="D69" s="257">
        <f t="shared" ref="D69:G69" si="21">SUM(D63:D68)</f>
        <v>9585239.6922089998</v>
      </c>
      <c r="E69" s="258">
        <f t="shared" si="21"/>
        <v>16.846105751124167</v>
      </c>
      <c r="F69" s="258">
        <f t="shared" si="21"/>
        <v>15.282530065846084</v>
      </c>
      <c r="G69" s="259">
        <f t="shared" si="21"/>
        <v>4.0498704674492118E-3</v>
      </c>
      <c r="H69" s="134"/>
      <c r="I69" s="4"/>
      <c r="J69" s="4"/>
      <c r="K69" s="4"/>
      <c r="L69" s="4"/>
      <c r="M69" s="4"/>
      <c r="N69" s="4"/>
      <c r="O69" s="4"/>
      <c r="P69" s="4"/>
      <c r="Q69" s="4"/>
      <c r="R69" s="4"/>
      <c r="S69" s="4"/>
      <c r="T69" s="4"/>
      <c r="U69" s="4"/>
      <c r="V69" s="4"/>
      <c r="W69" s="4"/>
      <c r="X69" s="4"/>
      <c r="Y69" s="4"/>
      <c r="Z69" s="4"/>
    </row>
    <row r="70" spans="1:26" ht="15.75" customHeight="1" x14ac:dyDescent="0.25">
      <c r="A70" s="4"/>
      <c r="B70" s="4"/>
      <c r="C70" s="140"/>
      <c r="D70" s="141"/>
      <c r="E70" s="141"/>
      <c r="F70" s="141"/>
      <c r="G70" s="242"/>
      <c r="H70" s="143"/>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243"/>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lPZxj5YdLb3ms4XF/8mwxyaowrJoItf/D9+hg6dXx0Av6A07PCyDXugNpf3q4AuqxMIC3P3GWQecjbG6qPueFg==" saltValue="msAKKaUvmQus+favmzrVQg==" spinCount="100000" sheet="1" objects="1" scenarios="1"/>
  <mergeCells count="3">
    <mergeCell ref="G3:J3"/>
    <mergeCell ref="D10:H10"/>
    <mergeCell ref="I33:J33"/>
  </mergeCell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6.83203125" defaultRowHeight="15" customHeight="1" x14ac:dyDescent="0.2"/>
  <cols>
    <col min="1" max="1" width="2.83203125" customWidth="1"/>
    <col min="2" max="2" width="16.1640625" customWidth="1"/>
    <col min="3" max="3" width="37.1640625" customWidth="1"/>
    <col min="4" max="4" width="23.1640625" customWidth="1"/>
    <col min="5" max="5" width="21.5" customWidth="1"/>
    <col min="6" max="6" width="23" customWidth="1"/>
    <col min="7" max="7" width="19.1640625" customWidth="1"/>
    <col min="8" max="8" width="19.33203125" customWidth="1"/>
    <col min="9" max="9" width="19.83203125" customWidth="1"/>
    <col min="10" max="10" width="22.33203125" customWidth="1"/>
    <col min="11" max="11" width="21.1640625" customWidth="1"/>
    <col min="12" max="12" width="19.33203125" customWidth="1"/>
    <col min="13" max="13" width="20.1640625" customWidth="1"/>
    <col min="14" max="14" width="9.33203125" customWidth="1"/>
    <col min="15" max="15" width="30" customWidth="1"/>
    <col min="16" max="16" width="20.33203125" customWidth="1"/>
    <col min="17" max="23" width="9.33203125" customWidth="1"/>
    <col min="24" max="26" width="8" customWidth="1"/>
  </cols>
  <sheetData>
    <row r="1" spans="1:26" ht="21" customHeight="1" x14ac:dyDescent="0.4">
      <c r="A1" s="4" t="s">
        <v>267</v>
      </c>
      <c r="B1" s="260"/>
      <c r="C1" s="261"/>
      <c r="D1" s="261"/>
      <c r="E1" s="261"/>
      <c r="F1" s="3" t="s">
        <v>268</v>
      </c>
      <c r="G1" s="261"/>
      <c r="H1" s="261"/>
      <c r="I1" s="261"/>
      <c r="J1" s="261"/>
      <c r="K1" s="261"/>
      <c r="L1" s="261"/>
      <c r="M1" s="261"/>
      <c r="N1" s="261"/>
      <c r="O1" s="261"/>
      <c r="P1" s="261"/>
      <c r="Q1" s="261"/>
      <c r="R1" s="261"/>
      <c r="S1" s="261"/>
      <c r="T1" s="261"/>
      <c r="U1" s="261"/>
      <c r="V1" s="261"/>
      <c r="W1" s="261"/>
      <c r="X1" s="261"/>
      <c r="Y1" s="261"/>
      <c r="Z1" s="261"/>
    </row>
    <row r="2" spans="1:26" ht="140.25" customHeight="1" x14ac:dyDescent="0.25">
      <c r="A2" s="4"/>
      <c r="B2" s="4"/>
      <c r="C2" s="4"/>
      <c r="D2" s="4"/>
      <c r="E2" s="4"/>
      <c r="F2" s="4"/>
      <c r="G2" s="4"/>
      <c r="H2" s="4"/>
      <c r="I2" s="4"/>
      <c r="J2" s="4"/>
      <c r="K2" s="4"/>
      <c r="L2" s="4"/>
      <c r="M2" s="4"/>
      <c r="N2" s="4"/>
      <c r="O2" s="4"/>
      <c r="P2" s="4"/>
      <c r="Q2" s="4"/>
      <c r="R2" s="4"/>
      <c r="S2" s="4"/>
      <c r="T2" s="4"/>
      <c r="U2" s="4"/>
      <c r="V2" s="4"/>
      <c r="W2" s="4"/>
      <c r="X2" s="4"/>
      <c r="Y2" s="4"/>
      <c r="Z2" s="4"/>
    </row>
    <row r="3" spans="1:26" x14ac:dyDescent="0.25">
      <c r="A3" s="4"/>
      <c r="B3" s="262" t="s">
        <v>269</v>
      </c>
      <c r="C3" s="263"/>
      <c r="D3" s="4"/>
      <c r="E3" s="4"/>
      <c r="F3" s="4"/>
      <c r="G3" s="4"/>
      <c r="H3" s="4"/>
      <c r="I3" s="4"/>
      <c r="J3" s="4"/>
      <c r="K3" s="4"/>
      <c r="L3" s="4"/>
      <c r="M3" s="4"/>
      <c r="N3" s="4"/>
      <c r="O3" s="264" t="s">
        <v>270</v>
      </c>
      <c r="P3" s="265" t="s">
        <v>271</v>
      </c>
      <c r="Q3" s="265"/>
      <c r="R3" s="265"/>
      <c r="S3" s="265"/>
      <c r="T3" s="265"/>
      <c r="U3" s="265"/>
      <c r="V3" s="265"/>
      <c r="W3" s="265"/>
      <c r="X3" s="4"/>
      <c r="Y3" s="4"/>
      <c r="Z3" s="4"/>
    </row>
    <row r="4" spans="1:26" x14ac:dyDescent="0.25">
      <c r="A4" s="4"/>
      <c r="B4" s="4"/>
      <c r="C4" s="4"/>
      <c r="D4" s="4"/>
      <c r="E4" s="4"/>
      <c r="F4" s="4"/>
      <c r="G4" s="265"/>
      <c r="H4" s="4"/>
      <c r="I4" s="4"/>
      <c r="J4" s="4"/>
      <c r="K4" s="4"/>
      <c r="L4" s="4"/>
      <c r="M4" s="4"/>
      <c r="N4" s="4"/>
      <c r="O4" s="266" t="s">
        <v>272</v>
      </c>
      <c r="P4" s="265" t="s">
        <v>273</v>
      </c>
      <c r="Q4" s="4"/>
      <c r="R4" s="4"/>
      <c r="S4" s="4"/>
      <c r="T4" s="4"/>
      <c r="U4" s="4"/>
      <c r="V4" s="4"/>
      <c r="W4" s="4"/>
      <c r="X4" s="4"/>
      <c r="Y4" s="4"/>
      <c r="Z4" s="4"/>
    </row>
    <row r="5" spans="1:26" x14ac:dyDescent="0.25">
      <c r="A5" s="4"/>
      <c r="B5" s="4"/>
      <c r="C5" s="4"/>
      <c r="D5" s="4"/>
      <c r="E5" s="4"/>
      <c r="F5" s="4"/>
      <c r="G5" s="4"/>
      <c r="H5" s="4"/>
      <c r="I5" s="4"/>
      <c r="J5" s="4"/>
      <c r="K5" s="4"/>
      <c r="L5" s="4"/>
      <c r="M5" s="4"/>
      <c r="N5" s="4"/>
      <c r="O5" s="4"/>
      <c r="P5" s="4"/>
      <c r="Q5" s="4"/>
      <c r="R5" s="4"/>
      <c r="S5" s="4"/>
      <c r="T5" s="4"/>
      <c r="U5" s="4"/>
      <c r="V5" s="4"/>
      <c r="W5" s="4"/>
      <c r="X5" s="4"/>
      <c r="Y5" s="4"/>
      <c r="Z5" s="4"/>
    </row>
    <row r="6" spans="1:26" x14ac:dyDescent="0.25">
      <c r="A6" s="4"/>
      <c r="B6" s="4"/>
      <c r="C6" s="4"/>
      <c r="D6" s="4"/>
      <c r="E6" s="4"/>
      <c r="F6" s="4"/>
      <c r="G6" s="4"/>
      <c r="H6" s="4"/>
      <c r="I6" s="4"/>
      <c r="J6" s="4"/>
      <c r="K6" s="4"/>
      <c r="L6" s="4"/>
      <c r="M6" s="4"/>
      <c r="N6" s="4"/>
      <c r="O6" s="4"/>
      <c r="P6" s="4"/>
      <c r="Q6" s="4"/>
      <c r="R6" s="4"/>
      <c r="S6" s="4"/>
      <c r="T6" s="4"/>
      <c r="U6" s="4"/>
      <c r="V6" s="4"/>
      <c r="W6" s="4"/>
      <c r="X6" s="4"/>
      <c r="Y6" s="4"/>
      <c r="Z6" s="4"/>
    </row>
    <row r="7" spans="1:26" x14ac:dyDescent="0.25">
      <c r="A7" s="4"/>
      <c r="B7" s="267" t="s">
        <v>274</v>
      </c>
      <c r="C7" s="268" t="s">
        <v>275</v>
      </c>
      <c r="D7" s="268" t="s">
        <v>276</v>
      </c>
      <c r="E7" s="268" t="s">
        <v>277</v>
      </c>
      <c r="F7" s="268" t="s">
        <v>278</v>
      </c>
      <c r="G7" s="268" t="s">
        <v>279</v>
      </c>
      <c r="H7" s="268" t="s">
        <v>280</v>
      </c>
      <c r="I7" s="268" t="s">
        <v>281</v>
      </c>
      <c r="J7" s="269" t="s">
        <v>282</v>
      </c>
      <c r="K7" s="270" t="s">
        <v>283</v>
      </c>
      <c r="L7" s="268" t="s">
        <v>284</v>
      </c>
      <c r="M7" s="271" t="s">
        <v>285</v>
      </c>
      <c r="N7" s="4"/>
      <c r="O7" s="105" t="s">
        <v>286</v>
      </c>
      <c r="P7" s="1" t="s">
        <v>287</v>
      </c>
      <c r="Q7" s="4"/>
      <c r="R7" s="4"/>
      <c r="S7" s="4"/>
      <c r="T7" s="4"/>
      <c r="U7" s="4"/>
      <c r="V7" s="4"/>
      <c r="W7" s="4"/>
      <c r="X7" s="4"/>
      <c r="Y7" s="4"/>
      <c r="Z7" s="4"/>
    </row>
    <row r="8" spans="1:26" x14ac:dyDescent="0.25">
      <c r="A8" s="4"/>
      <c r="B8" s="272"/>
      <c r="C8" s="273"/>
      <c r="D8" s="273"/>
      <c r="E8" s="273"/>
      <c r="F8" s="273"/>
      <c r="G8" s="273"/>
      <c r="H8" s="273"/>
      <c r="I8" s="273"/>
      <c r="J8" s="274" t="s">
        <v>288</v>
      </c>
      <c r="K8" s="275" t="s">
        <v>243</v>
      </c>
      <c r="L8" s="273" t="s">
        <v>243</v>
      </c>
      <c r="M8" s="276" t="s">
        <v>243</v>
      </c>
      <c r="N8" s="4"/>
      <c r="O8" s="105" t="s">
        <v>288</v>
      </c>
      <c r="P8" s="1" t="s">
        <v>189</v>
      </c>
      <c r="Q8" s="4"/>
      <c r="R8" s="4"/>
      <c r="S8" s="4"/>
      <c r="T8" s="4"/>
      <c r="U8" s="4"/>
      <c r="V8" s="4"/>
      <c r="W8" s="4"/>
      <c r="X8" s="4"/>
      <c r="Y8" s="4"/>
      <c r="Z8" s="4"/>
    </row>
    <row r="9" spans="1:26" x14ac:dyDescent="0.25">
      <c r="A9" s="4"/>
      <c r="B9" s="277"/>
      <c r="C9" s="278"/>
      <c r="D9" s="278"/>
      <c r="E9" s="278"/>
      <c r="F9" s="278"/>
      <c r="G9" s="278"/>
      <c r="H9" s="279"/>
      <c r="I9" s="278"/>
      <c r="J9" s="280"/>
      <c r="K9" s="281"/>
      <c r="L9" s="278"/>
      <c r="M9" s="282"/>
      <c r="N9" s="4"/>
      <c r="O9" s="107"/>
      <c r="P9" s="4"/>
      <c r="Q9" s="4"/>
      <c r="R9" s="4"/>
      <c r="S9" s="4"/>
      <c r="T9" s="4"/>
      <c r="U9" s="4"/>
      <c r="V9" s="4"/>
      <c r="W9" s="4"/>
      <c r="X9" s="4"/>
      <c r="Y9" s="4"/>
      <c r="Z9" s="4"/>
    </row>
    <row r="10" spans="1:26" x14ac:dyDescent="0.25">
      <c r="A10" s="4"/>
      <c r="B10" s="283" t="s">
        <v>289</v>
      </c>
      <c r="C10" s="284" t="s">
        <v>290</v>
      </c>
      <c r="D10" s="285"/>
      <c r="E10" s="285"/>
      <c r="F10" s="285"/>
      <c r="G10" s="285"/>
      <c r="H10" s="286"/>
      <c r="I10" s="285"/>
      <c r="J10" s="287"/>
      <c r="K10" s="288"/>
      <c r="L10" s="285"/>
      <c r="M10" s="289"/>
      <c r="N10" s="4"/>
      <c r="O10" s="107"/>
      <c r="P10" s="4"/>
      <c r="Q10" s="4"/>
      <c r="R10" s="4"/>
      <c r="S10" s="4"/>
      <c r="T10" s="4"/>
      <c r="U10" s="4"/>
      <c r="V10" s="4"/>
      <c r="W10" s="4"/>
      <c r="X10" s="4"/>
      <c r="Y10" s="4"/>
      <c r="Z10" s="4"/>
    </row>
    <row r="11" spans="1:26" x14ac:dyDescent="0.25">
      <c r="A11" s="4"/>
      <c r="B11" s="290"/>
      <c r="C11" s="291" t="s">
        <v>291</v>
      </c>
      <c r="D11" s="292" t="s">
        <v>292</v>
      </c>
      <c r="E11" s="278" t="s">
        <v>219</v>
      </c>
      <c r="F11" s="279">
        <v>711214</v>
      </c>
      <c r="G11" s="278" t="s">
        <v>293</v>
      </c>
      <c r="H11" s="279">
        <v>11080</v>
      </c>
      <c r="I11" s="278" t="s">
        <v>294</v>
      </c>
      <c r="J11" s="293">
        <v>15857480</v>
      </c>
      <c r="K11" s="294">
        <v>1624579.0892771983</v>
      </c>
      <c r="L11" s="295">
        <v>192.13746850227773</v>
      </c>
      <c r="M11" s="296">
        <v>27.95199068628779</v>
      </c>
      <c r="N11" s="4"/>
      <c r="O11" s="107" t="s">
        <v>270</v>
      </c>
      <c r="P11" s="4"/>
      <c r="Q11" s="4"/>
      <c r="R11" s="4"/>
      <c r="S11" s="4"/>
      <c r="T11" s="4"/>
      <c r="U11" s="4"/>
      <c r="V11" s="4"/>
      <c r="W11" s="4"/>
      <c r="X11" s="4"/>
      <c r="Y11" s="4"/>
      <c r="Z11" s="4"/>
    </row>
    <row r="12" spans="1:26" x14ac:dyDescent="0.25">
      <c r="A12" s="4"/>
      <c r="B12" s="297"/>
      <c r="C12" s="298"/>
      <c r="D12" s="299"/>
      <c r="E12" s="298"/>
      <c r="F12" s="300"/>
      <c r="G12" s="298"/>
      <c r="H12" s="300"/>
      <c r="I12" s="298"/>
      <c r="J12" s="301"/>
      <c r="K12" s="302"/>
      <c r="L12" s="303"/>
      <c r="M12" s="304"/>
      <c r="N12" s="4"/>
      <c r="O12" s="107"/>
      <c r="P12" s="4"/>
      <c r="Q12" s="4"/>
      <c r="R12" s="4"/>
      <c r="S12" s="4"/>
      <c r="T12" s="4"/>
      <c r="U12" s="4"/>
      <c r="V12" s="4"/>
      <c r="W12" s="4"/>
      <c r="X12" s="4"/>
      <c r="Y12" s="4"/>
      <c r="Z12" s="4"/>
    </row>
    <row r="13" spans="1:26" x14ac:dyDescent="0.25">
      <c r="A13" s="4"/>
      <c r="B13" s="283" t="s">
        <v>295</v>
      </c>
      <c r="C13" s="284" t="s">
        <v>296</v>
      </c>
      <c r="D13" s="305"/>
      <c r="E13" s="285"/>
      <c r="F13" s="286"/>
      <c r="G13" s="285"/>
      <c r="H13" s="286"/>
      <c r="I13" s="285"/>
      <c r="J13" s="306"/>
      <c r="K13" s="307"/>
      <c r="L13" s="308"/>
      <c r="M13" s="309"/>
      <c r="N13" s="4"/>
      <c r="O13" s="107"/>
      <c r="P13" s="4"/>
      <c r="Q13" s="4"/>
      <c r="R13" s="4"/>
      <c r="S13" s="4"/>
      <c r="T13" s="4"/>
      <c r="U13" s="4"/>
      <c r="V13" s="4"/>
      <c r="W13" s="4"/>
      <c r="X13" s="4"/>
      <c r="Y13" s="4"/>
      <c r="Z13" s="4"/>
    </row>
    <row r="14" spans="1:26" x14ac:dyDescent="0.25">
      <c r="A14" s="4"/>
      <c r="B14" s="277"/>
      <c r="C14" s="278" t="s">
        <v>297</v>
      </c>
      <c r="D14" s="292" t="s">
        <v>298</v>
      </c>
      <c r="E14" s="278" t="s">
        <v>299</v>
      </c>
      <c r="F14" s="279">
        <v>1246119</v>
      </c>
      <c r="G14" s="278" t="s">
        <v>293</v>
      </c>
      <c r="H14" s="279">
        <v>11356</v>
      </c>
      <c r="I14" s="278" t="s">
        <v>294</v>
      </c>
      <c r="J14" s="293">
        <v>28301854.728</v>
      </c>
      <c r="K14" s="294">
        <v>3333229.3197316821</v>
      </c>
      <c r="L14" s="295">
        <v>24.999867394553135</v>
      </c>
      <c r="M14" s="296">
        <v>18.799900280703959</v>
      </c>
      <c r="N14" s="4"/>
      <c r="O14" s="107" t="s">
        <v>300</v>
      </c>
      <c r="P14" s="4"/>
      <c r="Q14" s="4"/>
      <c r="R14" s="4"/>
      <c r="S14" s="4"/>
      <c r="T14" s="4"/>
      <c r="U14" s="4"/>
      <c r="V14" s="4"/>
      <c r="W14" s="4"/>
      <c r="X14" s="4"/>
      <c r="Y14" s="4"/>
      <c r="Z14" s="4"/>
    </row>
    <row r="15" spans="1:26" x14ac:dyDescent="0.25">
      <c r="A15" s="4"/>
      <c r="B15" s="277"/>
      <c r="C15" s="278"/>
      <c r="D15" s="292"/>
      <c r="E15" s="278"/>
      <c r="F15" s="279"/>
      <c r="G15" s="278"/>
      <c r="H15" s="279"/>
      <c r="I15" s="278"/>
      <c r="J15" s="293"/>
      <c r="K15" s="294"/>
      <c r="L15" s="295"/>
      <c r="M15" s="296"/>
      <c r="N15" s="4"/>
      <c r="O15" s="107"/>
      <c r="P15" s="4"/>
      <c r="Q15" s="4"/>
      <c r="R15" s="4"/>
      <c r="S15" s="4"/>
      <c r="T15" s="4"/>
      <c r="U15" s="4"/>
      <c r="V15" s="4"/>
      <c r="W15" s="4"/>
      <c r="X15" s="4"/>
      <c r="Y15" s="4"/>
      <c r="Z15" s="4"/>
    </row>
    <row r="16" spans="1:26" x14ac:dyDescent="0.25">
      <c r="A16" s="4"/>
      <c r="B16" s="277"/>
      <c r="C16" s="278" t="s">
        <v>301</v>
      </c>
      <c r="D16" s="292" t="s">
        <v>302</v>
      </c>
      <c r="E16" s="278" t="s">
        <v>299</v>
      </c>
      <c r="F16" s="279">
        <v>1390302</v>
      </c>
      <c r="G16" s="278" t="s">
        <v>293</v>
      </c>
      <c r="H16" s="279">
        <v>11356</v>
      </c>
      <c r="I16" s="278" t="s">
        <v>294</v>
      </c>
      <c r="J16" s="293">
        <v>31576539.024</v>
      </c>
      <c r="K16" s="294">
        <v>3277154.4769623112</v>
      </c>
      <c r="L16" s="295">
        <v>27.899842305318785</v>
      </c>
      <c r="M16" s="296">
        <v>20.999881305078652</v>
      </c>
      <c r="N16" s="4"/>
      <c r="O16" s="107" t="s">
        <v>300</v>
      </c>
      <c r="P16" s="4"/>
      <c r="Q16" s="4"/>
      <c r="R16" s="4"/>
      <c r="S16" s="4"/>
      <c r="T16" s="4"/>
      <c r="U16" s="4"/>
      <c r="V16" s="4"/>
      <c r="W16" s="4"/>
      <c r="X16" s="4"/>
      <c r="Y16" s="4"/>
      <c r="Z16" s="4"/>
    </row>
    <row r="17" spans="1:26" x14ac:dyDescent="0.25">
      <c r="A17" s="4"/>
      <c r="B17" s="297"/>
      <c r="C17" s="298"/>
      <c r="D17" s="299"/>
      <c r="E17" s="298"/>
      <c r="F17" s="300"/>
      <c r="G17" s="298"/>
      <c r="H17" s="300"/>
      <c r="I17" s="298"/>
      <c r="J17" s="301"/>
      <c r="K17" s="302"/>
      <c r="L17" s="303"/>
      <c r="M17" s="304"/>
      <c r="N17" s="4"/>
      <c r="O17" s="107"/>
      <c r="P17" s="4"/>
      <c r="Q17" s="4"/>
      <c r="R17" s="4"/>
      <c r="S17" s="4"/>
      <c r="T17" s="4"/>
      <c r="U17" s="4"/>
      <c r="V17" s="4"/>
      <c r="W17" s="4"/>
      <c r="X17" s="4"/>
      <c r="Y17" s="4"/>
      <c r="Z17" s="4"/>
    </row>
    <row r="18" spans="1:26" x14ac:dyDescent="0.25">
      <c r="A18" s="4"/>
      <c r="B18" s="283" t="s">
        <v>303</v>
      </c>
      <c r="C18" s="284" t="s">
        <v>304</v>
      </c>
      <c r="D18" s="305"/>
      <c r="E18" s="285"/>
      <c r="F18" s="286"/>
      <c r="G18" s="285"/>
      <c r="H18" s="286"/>
      <c r="I18" s="285"/>
      <c r="J18" s="306"/>
      <c r="K18" s="307"/>
      <c r="L18" s="308"/>
      <c r="M18" s="309"/>
      <c r="N18" s="4"/>
      <c r="O18" s="107"/>
      <c r="P18" s="4"/>
      <c r="Q18" s="4"/>
      <c r="R18" s="4"/>
      <c r="S18" s="4"/>
      <c r="T18" s="4"/>
      <c r="U18" s="4"/>
      <c r="V18" s="4"/>
      <c r="W18" s="4"/>
      <c r="X18" s="4"/>
      <c r="Y18" s="4"/>
      <c r="Z18" s="4"/>
    </row>
    <row r="19" spans="1:26" x14ac:dyDescent="0.25">
      <c r="A19" s="4"/>
      <c r="B19" s="277"/>
      <c r="C19" s="278" t="s">
        <v>305</v>
      </c>
      <c r="D19" s="292" t="s">
        <v>306</v>
      </c>
      <c r="E19" s="278" t="s">
        <v>299</v>
      </c>
      <c r="F19" s="279">
        <v>292475</v>
      </c>
      <c r="G19" s="278" t="s">
        <v>293</v>
      </c>
      <c r="H19" s="279">
        <v>11356</v>
      </c>
      <c r="I19" s="278" t="s">
        <v>294</v>
      </c>
      <c r="J19" s="293">
        <v>5451461</v>
      </c>
      <c r="K19" s="294">
        <v>571745.729123089</v>
      </c>
      <c r="L19" s="295">
        <v>1.5285499572084535</v>
      </c>
      <c r="M19" s="296">
        <v>13.056775118348337</v>
      </c>
      <c r="N19" s="4"/>
      <c r="O19" s="107" t="s">
        <v>300</v>
      </c>
      <c r="P19" s="4"/>
      <c r="Q19" s="4"/>
      <c r="R19" s="4"/>
      <c r="S19" s="4"/>
      <c r="T19" s="4"/>
      <c r="U19" s="4"/>
      <c r="V19" s="4"/>
      <c r="W19" s="4"/>
      <c r="X19" s="4"/>
      <c r="Y19" s="4"/>
      <c r="Z19" s="4"/>
    </row>
    <row r="20" spans="1:26" x14ac:dyDescent="0.25">
      <c r="A20" s="4"/>
      <c r="B20" s="277"/>
      <c r="C20" s="278"/>
      <c r="D20" s="292"/>
      <c r="E20" s="278"/>
      <c r="F20" s="279"/>
      <c r="G20" s="278"/>
      <c r="H20" s="279"/>
      <c r="I20" s="278"/>
      <c r="J20" s="293"/>
      <c r="K20" s="294"/>
      <c r="L20" s="295"/>
      <c r="M20" s="296"/>
      <c r="N20" s="4"/>
      <c r="O20" s="107"/>
      <c r="P20" s="4"/>
      <c r="Q20" s="4"/>
      <c r="R20" s="4"/>
      <c r="S20" s="4"/>
      <c r="T20" s="4"/>
      <c r="U20" s="4"/>
      <c r="V20" s="4"/>
      <c r="W20" s="4"/>
      <c r="X20" s="4"/>
      <c r="Y20" s="4"/>
      <c r="Z20" s="4"/>
    </row>
    <row r="21" spans="1:26" ht="15.75" customHeight="1" x14ac:dyDescent="0.25">
      <c r="A21" s="4"/>
      <c r="B21" s="277"/>
      <c r="C21" s="278" t="s">
        <v>307</v>
      </c>
      <c r="D21" s="292" t="s">
        <v>308</v>
      </c>
      <c r="E21" s="278" t="s">
        <v>299</v>
      </c>
      <c r="F21" s="279">
        <v>296297</v>
      </c>
      <c r="G21" s="278" t="s">
        <v>293</v>
      </c>
      <c r="H21" s="279">
        <v>11356</v>
      </c>
      <c r="I21" s="278" t="s">
        <v>294</v>
      </c>
      <c r="J21" s="293">
        <v>6257182</v>
      </c>
      <c r="K21" s="294">
        <v>656254.33338566741</v>
      </c>
      <c r="L21" s="295">
        <v>1.5349866627247293</v>
      </c>
      <c r="M21" s="296">
        <v>13.270207277749272</v>
      </c>
      <c r="N21" s="4"/>
      <c r="O21" s="107" t="s">
        <v>300</v>
      </c>
      <c r="P21" s="4"/>
      <c r="Q21" s="4"/>
      <c r="R21" s="4"/>
      <c r="S21" s="4"/>
      <c r="T21" s="4"/>
      <c r="U21" s="4"/>
      <c r="V21" s="4"/>
      <c r="W21" s="4"/>
      <c r="X21" s="4"/>
      <c r="Y21" s="4"/>
      <c r="Z21" s="4"/>
    </row>
    <row r="22" spans="1:26" ht="15.75" customHeight="1" x14ac:dyDescent="0.25">
      <c r="A22" s="4"/>
      <c r="B22" s="297"/>
      <c r="C22" s="298"/>
      <c r="D22" s="299"/>
      <c r="E22" s="298"/>
      <c r="F22" s="300"/>
      <c r="G22" s="298"/>
      <c r="H22" s="300"/>
      <c r="I22" s="298"/>
      <c r="J22" s="301"/>
      <c r="K22" s="302"/>
      <c r="L22" s="303"/>
      <c r="M22" s="304"/>
      <c r="N22" s="4"/>
      <c r="O22" s="107"/>
      <c r="P22" s="4"/>
      <c r="Q22" s="4"/>
      <c r="R22" s="4"/>
      <c r="S22" s="4"/>
      <c r="T22" s="4"/>
      <c r="U22" s="4"/>
      <c r="V22" s="4"/>
      <c r="W22" s="4"/>
      <c r="X22" s="4"/>
      <c r="Y22" s="4"/>
      <c r="Z22" s="4"/>
    </row>
    <row r="23" spans="1:26" ht="15.75" customHeight="1" x14ac:dyDescent="0.25">
      <c r="A23" s="4"/>
      <c r="B23" s="283" t="s">
        <v>309</v>
      </c>
      <c r="C23" s="284" t="s">
        <v>310</v>
      </c>
      <c r="D23" s="305"/>
      <c r="E23" s="285"/>
      <c r="F23" s="286"/>
      <c r="G23" s="285"/>
      <c r="H23" s="286"/>
      <c r="I23" s="285"/>
      <c r="J23" s="306"/>
      <c r="K23" s="307"/>
      <c r="L23" s="308"/>
      <c r="M23" s="309"/>
      <c r="N23" s="4"/>
      <c r="O23" s="107"/>
      <c r="P23" s="4"/>
      <c r="Q23" s="4"/>
      <c r="R23" s="4"/>
      <c r="S23" s="4"/>
      <c r="T23" s="4"/>
      <c r="U23" s="4"/>
      <c r="V23" s="4"/>
      <c r="W23" s="4"/>
      <c r="X23" s="4"/>
      <c r="Y23" s="4"/>
      <c r="Z23" s="4"/>
    </row>
    <row r="24" spans="1:26" ht="15.75" customHeight="1" x14ac:dyDescent="0.25">
      <c r="A24" s="4"/>
      <c r="B24" s="277"/>
      <c r="C24" s="278"/>
      <c r="D24" s="292"/>
      <c r="E24" s="278"/>
      <c r="F24" s="279"/>
      <c r="G24" s="278"/>
      <c r="H24" s="279"/>
      <c r="I24" s="278"/>
      <c r="J24" s="293"/>
      <c r="K24" s="294"/>
      <c r="L24" s="295"/>
      <c r="M24" s="296"/>
      <c r="N24" s="4"/>
      <c r="O24" s="107"/>
      <c r="P24" s="4"/>
      <c r="Q24" s="4"/>
      <c r="R24" s="4"/>
      <c r="S24" s="4"/>
      <c r="T24" s="4"/>
      <c r="U24" s="4"/>
      <c r="V24" s="4"/>
      <c r="W24" s="4"/>
      <c r="X24" s="4"/>
      <c r="Y24" s="4"/>
      <c r="Z24" s="4"/>
    </row>
    <row r="25" spans="1:26" ht="15.75" customHeight="1" x14ac:dyDescent="0.25">
      <c r="A25" s="4"/>
      <c r="B25" s="277"/>
      <c r="C25" s="278" t="s">
        <v>311</v>
      </c>
      <c r="D25" s="292" t="s">
        <v>298</v>
      </c>
      <c r="E25" s="278" t="s">
        <v>219</v>
      </c>
      <c r="F25" s="279">
        <v>575093</v>
      </c>
      <c r="G25" s="278" t="s">
        <v>293</v>
      </c>
      <c r="H25" s="279">
        <v>12971</v>
      </c>
      <c r="I25" s="278" t="s">
        <v>312</v>
      </c>
      <c r="J25" s="293">
        <v>14919062.606000001</v>
      </c>
      <c r="K25" s="294">
        <v>1609435.734807441</v>
      </c>
      <c r="L25" s="295">
        <v>11.762627550617387</v>
      </c>
      <c r="M25" s="296">
        <v>9.4140658576971514</v>
      </c>
      <c r="N25" s="4"/>
      <c r="O25" s="107" t="s">
        <v>300</v>
      </c>
      <c r="P25" s="4"/>
      <c r="Q25" s="4"/>
      <c r="R25" s="4"/>
      <c r="S25" s="4"/>
      <c r="T25" s="4"/>
      <c r="U25" s="4"/>
      <c r="V25" s="4"/>
      <c r="W25" s="4"/>
      <c r="X25" s="4"/>
      <c r="Y25" s="4"/>
      <c r="Z25" s="4"/>
    </row>
    <row r="26" spans="1:26" ht="15.75" customHeight="1" x14ac:dyDescent="0.25">
      <c r="A26" s="4"/>
      <c r="B26" s="277"/>
      <c r="C26" s="278"/>
      <c r="D26" s="292"/>
      <c r="E26" s="278"/>
      <c r="F26" s="279"/>
      <c r="G26" s="278"/>
      <c r="H26" s="279"/>
      <c r="I26" s="278"/>
      <c r="J26" s="293"/>
      <c r="K26" s="294"/>
      <c r="L26" s="295"/>
      <c r="M26" s="296"/>
      <c r="N26" s="4"/>
      <c r="O26" s="107"/>
      <c r="P26" s="4"/>
      <c r="Q26" s="4"/>
      <c r="R26" s="4"/>
      <c r="S26" s="4"/>
      <c r="T26" s="4"/>
      <c r="U26" s="4"/>
      <c r="V26" s="4"/>
      <c r="W26" s="4"/>
      <c r="X26" s="4"/>
      <c r="Y26" s="4"/>
      <c r="Z26" s="4"/>
    </row>
    <row r="27" spans="1:26" ht="15.75" customHeight="1" x14ac:dyDescent="0.25">
      <c r="A27" s="4"/>
      <c r="B27" s="277"/>
      <c r="C27" s="278" t="s">
        <v>313</v>
      </c>
      <c r="D27" s="292" t="s">
        <v>302</v>
      </c>
      <c r="E27" s="278" t="s">
        <v>219</v>
      </c>
      <c r="F27" s="279">
        <v>781584</v>
      </c>
      <c r="G27" s="278" t="s">
        <v>293</v>
      </c>
      <c r="H27" s="279">
        <v>12976</v>
      </c>
      <c r="I27" s="278" t="s">
        <v>312</v>
      </c>
      <c r="J27" s="293">
        <v>20283667.967999998</v>
      </c>
      <c r="K27" s="294">
        <v>2177032.1726198266</v>
      </c>
      <c r="L27" s="295">
        <v>15.912165354062218</v>
      </c>
      <c r="M27" s="296">
        <v>12.729732283249774</v>
      </c>
      <c r="N27" s="4"/>
      <c r="O27" s="107" t="s">
        <v>300</v>
      </c>
      <c r="P27" s="4"/>
      <c r="Q27" s="4"/>
      <c r="R27" s="4"/>
      <c r="S27" s="4"/>
      <c r="T27" s="4"/>
      <c r="U27" s="4"/>
      <c r="V27" s="4"/>
      <c r="W27" s="4"/>
      <c r="X27" s="4"/>
      <c r="Y27" s="4"/>
      <c r="Z27" s="4"/>
    </row>
    <row r="28" spans="1:26" ht="15.75" customHeight="1" x14ac:dyDescent="0.25">
      <c r="A28" s="4"/>
      <c r="B28" s="297"/>
      <c r="C28" s="298"/>
      <c r="D28" s="299"/>
      <c r="E28" s="298"/>
      <c r="F28" s="300"/>
      <c r="G28" s="298"/>
      <c r="H28" s="300"/>
      <c r="I28" s="298"/>
      <c r="J28" s="301"/>
      <c r="K28" s="302"/>
      <c r="L28" s="303"/>
      <c r="M28" s="304"/>
      <c r="N28" s="4"/>
      <c r="O28" s="107"/>
      <c r="P28" s="4"/>
      <c r="Q28" s="4"/>
      <c r="R28" s="4"/>
      <c r="S28" s="4"/>
      <c r="T28" s="4"/>
      <c r="U28" s="4"/>
      <c r="V28" s="4"/>
      <c r="W28" s="4"/>
      <c r="X28" s="4"/>
      <c r="Y28" s="4"/>
      <c r="Z28" s="4"/>
    </row>
    <row r="29" spans="1:26" ht="15.75" customHeight="1" x14ac:dyDescent="0.25">
      <c r="A29" s="4"/>
      <c r="B29" s="283" t="s">
        <v>314</v>
      </c>
      <c r="C29" s="284" t="s">
        <v>315</v>
      </c>
      <c r="D29" s="305"/>
      <c r="E29" s="285"/>
      <c r="F29" s="286"/>
      <c r="G29" s="285"/>
      <c r="H29" s="286"/>
      <c r="I29" s="285"/>
      <c r="J29" s="306"/>
      <c r="K29" s="307"/>
      <c r="L29" s="308"/>
      <c r="M29" s="309"/>
      <c r="N29" s="4"/>
      <c r="O29" s="107"/>
      <c r="P29" s="4"/>
      <c r="Q29" s="4"/>
      <c r="R29" s="4"/>
      <c r="S29" s="4"/>
      <c r="T29" s="4"/>
      <c r="U29" s="4"/>
      <c r="V29" s="4"/>
      <c r="W29" s="4"/>
      <c r="X29" s="4"/>
      <c r="Y29" s="4"/>
      <c r="Z29" s="4"/>
    </row>
    <row r="30" spans="1:26" ht="15.75" customHeight="1" x14ac:dyDescent="0.25">
      <c r="A30" s="4"/>
      <c r="B30" s="277"/>
      <c r="C30" s="278" t="s">
        <v>316</v>
      </c>
      <c r="D30" s="292" t="s">
        <v>302</v>
      </c>
      <c r="E30" s="278" t="s">
        <v>299</v>
      </c>
      <c r="F30" s="279">
        <v>199564</v>
      </c>
      <c r="G30" s="278" t="s">
        <v>293</v>
      </c>
      <c r="H30" s="279">
        <v>24</v>
      </c>
      <c r="I30" s="278" t="s">
        <v>317</v>
      </c>
      <c r="J30" s="293">
        <v>4789536</v>
      </c>
      <c r="K30" s="310">
        <v>525116.26597364293</v>
      </c>
      <c r="L30" s="295">
        <v>3.9634557151596383</v>
      </c>
      <c r="M30" s="296">
        <v>3.0122263435213257</v>
      </c>
      <c r="N30" s="4"/>
      <c r="O30" s="107" t="s">
        <v>300</v>
      </c>
      <c r="P30" s="4"/>
      <c r="Q30" s="4"/>
      <c r="R30" s="4"/>
      <c r="S30" s="4"/>
      <c r="T30" s="4"/>
      <c r="U30" s="4"/>
      <c r="V30" s="4"/>
      <c r="W30" s="4"/>
      <c r="X30" s="4"/>
      <c r="Y30" s="4"/>
      <c r="Z30" s="4"/>
    </row>
    <row r="31" spans="1:26" ht="15.75" customHeight="1" x14ac:dyDescent="0.25">
      <c r="A31" s="4"/>
      <c r="B31" s="277"/>
      <c r="C31" s="278"/>
      <c r="D31" s="292"/>
      <c r="E31" s="278"/>
      <c r="F31" s="279"/>
      <c r="G31" s="278"/>
      <c r="H31" s="279"/>
      <c r="I31" s="278"/>
      <c r="J31" s="293"/>
      <c r="K31" s="294"/>
      <c r="L31" s="295"/>
      <c r="M31" s="296"/>
      <c r="N31" s="4"/>
      <c r="O31" s="107"/>
      <c r="P31" s="4"/>
      <c r="Q31" s="4"/>
      <c r="R31" s="4"/>
      <c r="S31" s="4"/>
      <c r="T31" s="4"/>
      <c r="U31" s="4"/>
      <c r="V31" s="4"/>
      <c r="W31" s="4"/>
      <c r="X31" s="4"/>
      <c r="Y31" s="4"/>
      <c r="Z31" s="4"/>
    </row>
    <row r="32" spans="1:26" ht="15.75" customHeight="1" x14ac:dyDescent="0.25">
      <c r="A32" s="4"/>
      <c r="B32" s="277"/>
      <c r="C32" s="278" t="s">
        <v>318</v>
      </c>
      <c r="D32" s="292" t="s">
        <v>319</v>
      </c>
      <c r="E32" s="278" t="s">
        <v>299</v>
      </c>
      <c r="F32" s="279">
        <v>466140</v>
      </c>
      <c r="G32" s="278" t="s">
        <v>293</v>
      </c>
      <c r="H32" s="279">
        <v>24</v>
      </c>
      <c r="I32" s="278" t="s">
        <v>317</v>
      </c>
      <c r="J32" s="293">
        <v>11187360</v>
      </c>
      <c r="K32" s="294">
        <v>1164559.7234139137</v>
      </c>
      <c r="L32" s="295">
        <v>9.2040739734544754</v>
      </c>
      <c r="M32" s="296">
        <v>4.5755887880307072E-2</v>
      </c>
      <c r="N32" s="4"/>
      <c r="O32" s="107" t="s">
        <v>300</v>
      </c>
      <c r="P32" s="4"/>
      <c r="Q32" s="4"/>
      <c r="R32" s="4"/>
      <c r="S32" s="4"/>
      <c r="T32" s="4"/>
      <c r="U32" s="4"/>
      <c r="V32" s="4"/>
      <c r="W32" s="4"/>
      <c r="X32" s="4"/>
      <c r="Y32" s="4"/>
      <c r="Z32" s="4"/>
    </row>
    <row r="33" spans="1:26" ht="15.75" customHeight="1" x14ac:dyDescent="0.25">
      <c r="A33" s="4"/>
      <c r="B33" s="297"/>
      <c r="C33" s="298"/>
      <c r="D33" s="299"/>
      <c r="E33" s="298"/>
      <c r="F33" s="300"/>
      <c r="G33" s="298"/>
      <c r="H33" s="300"/>
      <c r="I33" s="298"/>
      <c r="J33" s="301"/>
      <c r="K33" s="302"/>
      <c r="L33" s="303"/>
      <c r="M33" s="304"/>
      <c r="N33" s="4"/>
      <c r="O33" s="107"/>
      <c r="P33" s="4"/>
      <c r="Q33" s="4"/>
      <c r="R33" s="4"/>
      <c r="S33" s="4"/>
      <c r="T33" s="4"/>
      <c r="U33" s="4"/>
      <c r="V33" s="4"/>
      <c r="W33" s="4"/>
      <c r="X33" s="4"/>
      <c r="Y33" s="4"/>
      <c r="Z33" s="4"/>
    </row>
    <row r="34" spans="1:26" ht="15.75" customHeight="1" x14ac:dyDescent="0.25">
      <c r="A34" s="4"/>
      <c r="B34" s="283" t="s">
        <v>320</v>
      </c>
      <c r="C34" s="284" t="s">
        <v>321</v>
      </c>
      <c r="D34" s="305"/>
      <c r="E34" s="285"/>
      <c r="F34" s="286"/>
      <c r="G34" s="285"/>
      <c r="H34" s="286"/>
      <c r="I34" s="285"/>
      <c r="J34" s="306"/>
      <c r="K34" s="307"/>
      <c r="L34" s="308"/>
      <c r="M34" s="309"/>
      <c r="N34" s="4"/>
      <c r="O34" s="107"/>
      <c r="P34" s="4"/>
      <c r="Q34" s="4"/>
      <c r="R34" s="4"/>
      <c r="S34" s="4"/>
      <c r="T34" s="4"/>
      <c r="U34" s="4"/>
      <c r="V34" s="4"/>
      <c r="W34" s="4"/>
      <c r="X34" s="4"/>
      <c r="Y34" s="4"/>
      <c r="Z34" s="4"/>
    </row>
    <row r="35" spans="1:26" ht="15.75" customHeight="1" x14ac:dyDescent="0.25">
      <c r="A35" s="4"/>
      <c r="B35" s="277"/>
      <c r="C35" s="278" t="s">
        <v>322</v>
      </c>
      <c r="D35" s="292" t="s">
        <v>323</v>
      </c>
      <c r="E35" s="278" t="s">
        <v>219</v>
      </c>
      <c r="F35" s="279">
        <v>6836</v>
      </c>
      <c r="G35" s="278" t="s">
        <v>293</v>
      </c>
      <c r="H35" s="279">
        <v>11260</v>
      </c>
      <c r="I35" s="278" t="s">
        <v>294</v>
      </c>
      <c r="J35" s="293">
        <v>153946.72</v>
      </c>
      <c r="K35" s="294">
        <v>18404.817463953248</v>
      </c>
      <c r="L35" s="295">
        <v>9.6204157984178806E-2</v>
      </c>
      <c r="M35" s="296">
        <v>9.6204157984178806E-2</v>
      </c>
      <c r="N35" s="4"/>
      <c r="O35" s="107" t="s">
        <v>300</v>
      </c>
      <c r="P35" s="4"/>
      <c r="Q35" s="4"/>
      <c r="R35" s="4"/>
      <c r="S35" s="4"/>
      <c r="T35" s="4"/>
      <c r="U35" s="4"/>
      <c r="V35" s="4"/>
      <c r="W35" s="4"/>
      <c r="X35" s="4"/>
      <c r="Y35" s="4"/>
      <c r="Z35" s="4"/>
    </row>
    <row r="36" spans="1:26" ht="15.75" customHeight="1" x14ac:dyDescent="0.25">
      <c r="A36" s="4"/>
      <c r="B36" s="277"/>
      <c r="C36" s="278"/>
      <c r="D36" s="292"/>
      <c r="E36" s="278"/>
      <c r="F36" s="279"/>
      <c r="G36" s="278"/>
      <c r="H36" s="279"/>
      <c r="I36" s="278"/>
      <c r="J36" s="293"/>
      <c r="K36" s="294"/>
      <c r="L36" s="295"/>
      <c r="M36" s="296"/>
      <c r="N36" s="4"/>
      <c r="O36" s="107"/>
      <c r="P36" s="4"/>
      <c r="Q36" s="4"/>
      <c r="R36" s="4"/>
      <c r="S36" s="4"/>
      <c r="T36" s="4"/>
      <c r="U36" s="4"/>
      <c r="V36" s="4"/>
      <c r="W36" s="4"/>
      <c r="X36" s="4"/>
      <c r="Y36" s="4"/>
      <c r="Z36" s="4"/>
    </row>
    <row r="37" spans="1:26" ht="15.75" customHeight="1" x14ac:dyDescent="0.25">
      <c r="A37" s="4"/>
      <c r="B37" s="277"/>
      <c r="C37" s="278" t="s">
        <v>324</v>
      </c>
      <c r="D37" s="292" t="s">
        <v>325</v>
      </c>
      <c r="E37" s="278" t="s">
        <v>219</v>
      </c>
      <c r="F37" s="279">
        <v>39204</v>
      </c>
      <c r="G37" s="278" t="s">
        <v>293</v>
      </c>
      <c r="H37" s="279">
        <v>11260</v>
      </c>
      <c r="I37" s="278" t="s">
        <v>294</v>
      </c>
      <c r="J37" s="293">
        <v>882874.08</v>
      </c>
      <c r="K37" s="294">
        <v>87436</v>
      </c>
      <c r="L37" s="295">
        <v>0.79</v>
      </c>
      <c r="M37" s="296">
        <v>1.57</v>
      </c>
      <c r="N37" s="4"/>
      <c r="O37" s="107" t="s">
        <v>300</v>
      </c>
      <c r="P37" s="4"/>
      <c r="Q37" s="4"/>
      <c r="R37" s="4"/>
      <c r="S37" s="4"/>
      <c r="T37" s="4"/>
      <c r="U37" s="4"/>
      <c r="V37" s="4"/>
      <c r="W37" s="4"/>
      <c r="X37" s="4"/>
      <c r="Y37" s="4"/>
      <c r="Z37" s="4"/>
    </row>
    <row r="38" spans="1:26" ht="15.75" customHeight="1" x14ac:dyDescent="0.25">
      <c r="A38" s="4"/>
      <c r="B38" s="297"/>
      <c r="C38" s="298"/>
      <c r="D38" s="299"/>
      <c r="E38" s="298"/>
      <c r="F38" s="300"/>
      <c r="G38" s="298"/>
      <c r="H38" s="300"/>
      <c r="I38" s="298"/>
      <c r="J38" s="301"/>
      <c r="K38" s="302"/>
      <c r="L38" s="303"/>
      <c r="M38" s="304"/>
      <c r="N38" s="4"/>
      <c r="O38" s="107"/>
      <c r="P38" s="4"/>
      <c r="Q38" s="4"/>
      <c r="R38" s="4"/>
      <c r="S38" s="4"/>
      <c r="T38" s="4"/>
      <c r="U38" s="4"/>
      <c r="V38" s="4"/>
      <c r="W38" s="4"/>
      <c r="X38" s="4"/>
      <c r="Y38" s="4"/>
      <c r="Z38" s="4"/>
    </row>
    <row r="39" spans="1:26" ht="15.75" customHeight="1" x14ac:dyDescent="0.25">
      <c r="A39" s="4"/>
      <c r="B39" s="283" t="s">
        <v>326</v>
      </c>
      <c r="C39" s="284" t="s">
        <v>327</v>
      </c>
      <c r="D39" s="305"/>
      <c r="E39" s="285"/>
      <c r="F39" s="286"/>
      <c r="G39" s="285"/>
      <c r="H39" s="286"/>
      <c r="I39" s="285"/>
      <c r="J39" s="306"/>
      <c r="K39" s="307"/>
      <c r="L39" s="308"/>
      <c r="M39" s="309"/>
      <c r="N39" s="4"/>
      <c r="O39" s="107"/>
      <c r="P39" s="4"/>
      <c r="Q39" s="4"/>
      <c r="R39" s="4"/>
      <c r="S39" s="4"/>
      <c r="T39" s="4"/>
      <c r="U39" s="4"/>
      <c r="V39" s="4"/>
      <c r="W39" s="4"/>
      <c r="X39" s="4"/>
      <c r="Y39" s="4"/>
      <c r="Z39" s="4"/>
    </row>
    <row r="40" spans="1:26" ht="15.75" customHeight="1" x14ac:dyDescent="0.25">
      <c r="A40" s="4"/>
      <c r="B40" s="290"/>
      <c r="C40" s="291" t="s">
        <v>328</v>
      </c>
      <c r="D40" s="292" t="s">
        <v>329</v>
      </c>
      <c r="E40" s="278" t="s">
        <v>219</v>
      </c>
      <c r="F40" s="279">
        <v>161730</v>
      </c>
      <c r="G40" s="278" t="s">
        <v>293</v>
      </c>
      <c r="H40" s="279">
        <v>12900</v>
      </c>
      <c r="I40" s="278" t="s">
        <v>294</v>
      </c>
      <c r="J40" s="293">
        <v>4172634</v>
      </c>
      <c r="K40" s="294">
        <v>406756.89772644348</v>
      </c>
      <c r="L40" s="295">
        <v>2.9739850923786126</v>
      </c>
      <c r="M40" s="296">
        <v>6.3445015304077073</v>
      </c>
      <c r="N40" s="4"/>
      <c r="O40" s="107" t="s">
        <v>300</v>
      </c>
      <c r="P40" s="4"/>
      <c r="Q40" s="4"/>
      <c r="R40" s="4"/>
      <c r="S40" s="4"/>
      <c r="T40" s="4"/>
      <c r="U40" s="4"/>
      <c r="V40" s="4"/>
      <c r="W40" s="4"/>
      <c r="X40" s="4"/>
      <c r="Y40" s="4"/>
      <c r="Z40" s="4"/>
    </row>
    <row r="41" spans="1:26" ht="15.75" customHeight="1" x14ac:dyDescent="0.25">
      <c r="A41" s="4"/>
      <c r="B41" s="277"/>
      <c r="C41" s="278"/>
      <c r="D41" s="292"/>
      <c r="E41" s="278"/>
      <c r="F41" s="279"/>
      <c r="G41" s="278"/>
      <c r="H41" s="279"/>
      <c r="I41" s="278"/>
      <c r="J41" s="293"/>
      <c r="K41" s="294"/>
      <c r="L41" s="295"/>
      <c r="M41" s="296"/>
      <c r="N41" s="4"/>
      <c r="O41" s="107"/>
      <c r="P41" s="4"/>
      <c r="Q41" s="4"/>
      <c r="R41" s="4"/>
      <c r="S41" s="4"/>
      <c r="T41" s="4"/>
      <c r="U41" s="4"/>
      <c r="V41" s="4"/>
      <c r="W41" s="4"/>
      <c r="X41" s="4"/>
      <c r="Y41" s="4"/>
      <c r="Z41" s="4"/>
    </row>
    <row r="42" spans="1:26" ht="15.75" customHeight="1" x14ac:dyDescent="0.25">
      <c r="A42" s="4"/>
      <c r="B42" s="277"/>
      <c r="C42" s="278" t="s">
        <v>330</v>
      </c>
      <c r="D42" s="292" t="s">
        <v>331</v>
      </c>
      <c r="E42" s="278" t="s">
        <v>219</v>
      </c>
      <c r="F42" s="279">
        <v>198171</v>
      </c>
      <c r="G42" s="278" t="s">
        <v>293</v>
      </c>
      <c r="H42" s="279">
        <v>12891</v>
      </c>
      <c r="I42" s="278" t="s">
        <v>294</v>
      </c>
      <c r="J42" s="293">
        <v>5109244.7220000001</v>
      </c>
      <c r="K42" s="294">
        <v>520348.90453150572</v>
      </c>
      <c r="L42" s="295">
        <v>3.8009415962856519</v>
      </c>
      <c r="M42" s="296">
        <v>8.1377861852590971</v>
      </c>
      <c r="N42" s="4"/>
      <c r="O42" s="107" t="s">
        <v>300</v>
      </c>
      <c r="P42" s="4"/>
      <c r="Q42" s="4"/>
      <c r="R42" s="4"/>
      <c r="S42" s="4"/>
      <c r="T42" s="4"/>
      <c r="U42" s="4"/>
      <c r="V42" s="4"/>
      <c r="W42" s="4"/>
      <c r="X42" s="4"/>
      <c r="Y42" s="4"/>
      <c r="Z42" s="4"/>
    </row>
    <row r="43" spans="1:26" ht="15.75" customHeight="1" x14ac:dyDescent="0.25">
      <c r="A43" s="4"/>
      <c r="B43" s="277"/>
      <c r="C43" s="278"/>
      <c r="D43" s="292"/>
      <c r="E43" s="278"/>
      <c r="F43" s="279"/>
      <c r="G43" s="278"/>
      <c r="H43" s="279"/>
      <c r="I43" s="278"/>
      <c r="J43" s="293"/>
      <c r="K43" s="294"/>
      <c r="L43" s="295"/>
      <c r="M43" s="296"/>
      <c r="N43" s="4"/>
      <c r="O43" s="107"/>
      <c r="P43" s="4"/>
      <c r="Q43" s="4"/>
      <c r="R43" s="4"/>
      <c r="S43" s="4"/>
      <c r="T43" s="4"/>
      <c r="U43" s="4"/>
      <c r="V43" s="4"/>
      <c r="W43" s="4"/>
      <c r="X43" s="4"/>
      <c r="Y43" s="4"/>
      <c r="Z43" s="4"/>
    </row>
    <row r="44" spans="1:26" ht="15.75" customHeight="1" x14ac:dyDescent="0.25">
      <c r="A44" s="4"/>
      <c r="B44" s="277"/>
      <c r="C44" s="278" t="s">
        <v>332</v>
      </c>
      <c r="D44" s="292" t="s">
        <v>333</v>
      </c>
      <c r="E44" s="278" t="s">
        <v>219</v>
      </c>
      <c r="F44" s="279">
        <v>197128</v>
      </c>
      <c r="G44" s="278" t="s">
        <v>293</v>
      </c>
      <c r="H44" s="279">
        <v>12895</v>
      </c>
      <c r="I44" s="278" t="s">
        <v>294</v>
      </c>
      <c r="J44" s="293">
        <v>5083931.12</v>
      </c>
      <c r="K44" s="294">
        <v>512116.49878776021</v>
      </c>
      <c r="L44" s="295">
        <v>3.7435053649600403</v>
      </c>
      <c r="M44" s="296">
        <v>7.9437779627799259</v>
      </c>
      <c r="N44" s="4"/>
      <c r="O44" s="107" t="s">
        <v>300</v>
      </c>
      <c r="P44" s="4"/>
      <c r="Q44" s="4"/>
      <c r="R44" s="4"/>
      <c r="S44" s="4"/>
      <c r="T44" s="4"/>
      <c r="U44" s="4"/>
      <c r="V44" s="4"/>
      <c r="W44" s="4"/>
      <c r="X44" s="4"/>
      <c r="Y44" s="4"/>
      <c r="Z44" s="4"/>
    </row>
    <row r="45" spans="1:26" ht="15.75" customHeight="1" x14ac:dyDescent="0.25">
      <c r="A45" s="4"/>
      <c r="B45" s="297"/>
      <c r="C45" s="298"/>
      <c r="D45" s="299"/>
      <c r="E45" s="298"/>
      <c r="F45" s="300"/>
      <c r="G45" s="298"/>
      <c r="H45" s="300"/>
      <c r="I45" s="298"/>
      <c r="J45" s="301"/>
      <c r="K45" s="302"/>
      <c r="L45" s="303"/>
      <c r="M45" s="304"/>
      <c r="N45" s="4"/>
      <c r="O45" s="107"/>
      <c r="P45" s="4"/>
      <c r="Q45" s="4"/>
      <c r="R45" s="4"/>
      <c r="S45" s="4"/>
      <c r="T45" s="4"/>
      <c r="U45" s="4"/>
      <c r="V45" s="4"/>
      <c r="W45" s="4"/>
      <c r="X45" s="4"/>
      <c r="Y45" s="4"/>
      <c r="Z45" s="4"/>
    </row>
    <row r="46" spans="1:26" ht="15.75" customHeight="1" x14ac:dyDescent="0.25">
      <c r="A46" s="4"/>
      <c r="B46" s="283" t="s">
        <v>334</v>
      </c>
      <c r="C46" s="284" t="s">
        <v>335</v>
      </c>
      <c r="D46" s="305"/>
      <c r="E46" s="285"/>
      <c r="F46" s="286"/>
      <c r="G46" s="285"/>
      <c r="H46" s="286"/>
      <c r="I46" s="285"/>
      <c r="J46" s="306"/>
      <c r="K46" s="307"/>
      <c r="L46" s="308"/>
      <c r="M46" s="309"/>
      <c r="N46" s="4"/>
      <c r="O46" s="107"/>
      <c r="P46" s="4"/>
      <c r="Q46" s="4"/>
      <c r="R46" s="4"/>
      <c r="S46" s="4"/>
      <c r="T46" s="4"/>
      <c r="U46" s="4"/>
      <c r="V46" s="4"/>
      <c r="W46" s="4"/>
      <c r="X46" s="4"/>
      <c r="Y46" s="4"/>
      <c r="Z46" s="4"/>
    </row>
    <row r="47" spans="1:26" ht="15.75" customHeight="1" x14ac:dyDescent="0.25">
      <c r="A47" s="4"/>
      <c r="B47" s="277"/>
      <c r="C47" s="278" t="s">
        <v>336</v>
      </c>
      <c r="D47" s="292">
        <v>1</v>
      </c>
      <c r="E47" s="278" t="s">
        <v>219</v>
      </c>
      <c r="F47" s="279">
        <v>1141923</v>
      </c>
      <c r="G47" s="278" t="s">
        <v>293</v>
      </c>
      <c r="H47" s="279">
        <v>13025</v>
      </c>
      <c r="I47" s="278" t="s">
        <v>294</v>
      </c>
      <c r="J47" s="293">
        <v>29747094.149999999</v>
      </c>
      <c r="K47" s="294">
        <v>3377171.0602952191</v>
      </c>
      <c r="L47" s="295">
        <v>24.684830526299731</v>
      </c>
      <c r="M47" s="296">
        <v>52.660971789439422</v>
      </c>
      <c r="N47" s="4"/>
      <c r="O47" s="107" t="s">
        <v>300</v>
      </c>
      <c r="P47" s="4"/>
      <c r="Q47" s="4"/>
      <c r="R47" s="4"/>
      <c r="S47" s="4"/>
      <c r="T47" s="4"/>
      <c r="U47" s="4"/>
      <c r="V47" s="4"/>
      <c r="W47" s="4"/>
      <c r="X47" s="4"/>
      <c r="Y47" s="4"/>
      <c r="Z47" s="4"/>
    </row>
    <row r="48" spans="1:26" ht="15.75" customHeight="1" x14ac:dyDescent="0.25">
      <c r="A48" s="4"/>
      <c r="B48" s="277"/>
      <c r="C48" s="278"/>
      <c r="D48" s="292"/>
      <c r="E48" s="278"/>
      <c r="F48" s="279"/>
      <c r="G48" s="278"/>
      <c r="H48" s="279"/>
      <c r="I48" s="278"/>
      <c r="J48" s="293"/>
      <c r="K48" s="294"/>
      <c r="L48" s="295"/>
      <c r="M48" s="296"/>
      <c r="N48" s="4"/>
      <c r="O48" s="107"/>
      <c r="P48" s="4"/>
      <c r="Q48" s="4"/>
      <c r="R48" s="4"/>
      <c r="S48" s="4"/>
      <c r="T48" s="4"/>
      <c r="U48" s="4"/>
      <c r="V48" s="4"/>
      <c r="W48" s="4"/>
      <c r="X48" s="4"/>
      <c r="Y48" s="4"/>
      <c r="Z48" s="4"/>
    </row>
    <row r="49" spans="1:26" ht="15.75" customHeight="1" x14ac:dyDescent="0.25">
      <c r="A49" s="4"/>
      <c r="B49" s="277"/>
      <c r="C49" s="278" t="s">
        <v>337</v>
      </c>
      <c r="D49" s="292">
        <v>2</v>
      </c>
      <c r="E49" s="278" t="s">
        <v>219</v>
      </c>
      <c r="F49" s="279">
        <v>1248983</v>
      </c>
      <c r="G49" s="278" t="s">
        <v>293</v>
      </c>
      <c r="H49" s="279">
        <v>13025</v>
      </c>
      <c r="I49" s="278" t="s">
        <v>294</v>
      </c>
      <c r="J49" s="293">
        <v>32536007.149999999</v>
      </c>
      <c r="K49" s="294">
        <v>3292474.5069769244</v>
      </c>
      <c r="L49" s="295">
        <v>25.513668463846166</v>
      </c>
      <c r="M49" s="296">
        <v>54.422502202724694</v>
      </c>
      <c r="N49" s="4"/>
      <c r="O49" s="107" t="s">
        <v>300</v>
      </c>
      <c r="P49" s="4"/>
      <c r="Q49" s="4"/>
      <c r="R49" s="4"/>
      <c r="S49" s="4"/>
      <c r="T49" s="4"/>
      <c r="U49" s="4"/>
      <c r="V49" s="4"/>
      <c r="W49" s="4"/>
      <c r="X49" s="4"/>
      <c r="Y49" s="4"/>
      <c r="Z49" s="4"/>
    </row>
    <row r="50" spans="1:26" ht="15.75" customHeight="1" x14ac:dyDescent="0.25">
      <c r="A50" s="4"/>
      <c r="B50" s="277"/>
      <c r="C50" s="278"/>
      <c r="D50" s="292"/>
      <c r="E50" s="278"/>
      <c r="F50" s="279"/>
      <c r="G50" s="278"/>
      <c r="H50" s="279"/>
      <c r="I50" s="278"/>
      <c r="J50" s="293"/>
      <c r="K50" s="294"/>
      <c r="L50" s="295"/>
      <c r="M50" s="296"/>
      <c r="N50" s="4"/>
      <c r="O50" s="107"/>
      <c r="P50" s="4"/>
      <c r="Q50" s="4"/>
      <c r="R50" s="4"/>
      <c r="S50" s="4"/>
      <c r="T50" s="4"/>
      <c r="U50" s="4"/>
      <c r="V50" s="4"/>
      <c r="W50" s="4"/>
      <c r="X50" s="4"/>
      <c r="Y50" s="4"/>
      <c r="Z50" s="4"/>
    </row>
    <row r="51" spans="1:26" ht="15.75" customHeight="1" x14ac:dyDescent="0.25">
      <c r="A51" s="4"/>
      <c r="B51" s="297"/>
      <c r="C51" s="298"/>
      <c r="D51" s="299"/>
      <c r="E51" s="298"/>
      <c r="F51" s="300"/>
      <c r="G51" s="298"/>
      <c r="H51" s="300"/>
      <c r="I51" s="298"/>
      <c r="J51" s="301"/>
      <c r="K51" s="302"/>
      <c r="L51" s="303"/>
      <c r="M51" s="304"/>
      <c r="N51" s="4"/>
      <c r="O51" s="107"/>
      <c r="P51" s="4"/>
      <c r="Q51" s="4"/>
      <c r="R51" s="4"/>
      <c r="S51" s="4"/>
      <c r="T51" s="4"/>
      <c r="U51" s="4"/>
      <c r="V51" s="4"/>
      <c r="W51" s="4"/>
      <c r="X51" s="4"/>
      <c r="Y51" s="4"/>
      <c r="Z51" s="4"/>
    </row>
    <row r="52" spans="1:26" ht="15.75" customHeight="1" x14ac:dyDescent="0.25">
      <c r="A52" s="4"/>
      <c r="B52" s="283" t="s">
        <v>338</v>
      </c>
      <c r="C52" s="284" t="s">
        <v>339</v>
      </c>
      <c r="D52" s="292"/>
      <c r="E52" s="278"/>
      <c r="F52" s="279"/>
      <c r="G52" s="278"/>
      <c r="H52" s="279"/>
      <c r="I52" s="278"/>
      <c r="J52" s="293"/>
      <c r="K52" s="294"/>
      <c r="L52" s="295"/>
      <c r="M52" s="296"/>
      <c r="N52" s="4"/>
      <c r="O52" s="107"/>
      <c r="P52" s="4"/>
      <c r="Q52" s="4"/>
      <c r="R52" s="4"/>
      <c r="S52" s="4"/>
      <c r="T52" s="4"/>
      <c r="U52" s="4"/>
      <c r="V52" s="4"/>
      <c r="W52" s="4"/>
      <c r="X52" s="4"/>
      <c r="Y52" s="4"/>
      <c r="Z52" s="4"/>
    </row>
    <row r="53" spans="1:26" ht="15.75" customHeight="1" x14ac:dyDescent="0.25">
      <c r="A53" s="4"/>
      <c r="B53" s="277"/>
      <c r="C53" s="278" t="s">
        <v>340</v>
      </c>
      <c r="D53" s="292" t="s">
        <v>341</v>
      </c>
      <c r="E53" s="278" t="s">
        <v>219</v>
      </c>
      <c r="F53" s="279">
        <v>425900</v>
      </c>
      <c r="G53" s="278" t="s">
        <v>293</v>
      </c>
      <c r="H53" s="279">
        <v>10862</v>
      </c>
      <c r="I53" s="311" t="s">
        <v>342</v>
      </c>
      <c r="J53" s="312">
        <f>Luke!D16</f>
        <v>9252251.5999999996</v>
      </c>
      <c r="K53" s="313">
        <f>(Luke!D18+Luke!D22+Luke!D26)</f>
        <v>929165.49600373663</v>
      </c>
      <c r="L53" s="295">
        <f>Luke!D19+Luke!D23+Luke!D27</f>
        <v>110.44585485141323</v>
      </c>
      <c r="M53" s="296">
        <f>Luke!D20+Luke!D24+Luke!D28</f>
        <v>16.260877546577824</v>
      </c>
      <c r="N53" s="4"/>
      <c r="O53" s="107" t="s">
        <v>300</v>
      </c>
      <c r="P53" s="4"/>
      <c r="Q53" s="4"/>
      <c r="R53" s="4"/>
      <c r="S53" s="4"/>
      <c r="T53" s="4"/>
      <c r="U53" s="4"/>
      <c r="V53" s="4"/>
      <c r="W53" s="4"/>
      <c r="X53" s="4"/>
      <c r="Y53" s="4"/>
      <c r="Z53" s="4"/>
    </row>
    <row r="54" spans="1:26" ht="15.75" customHeight="1" x14ac:dyDescent="0.25">
      <c r="A54" s="4"/>
      <c r="B54" s="297"/>
      <c r="C54" s="298"/>
      <c r="D54" s="292"/>
      <c r="E54" s="278"/>
      <c r="F54" s="279"/>
      <c r="G54" s="278"/>
      <c r="H54" s="279"/>
      <c r="I54" s="311"/>
      <c r="J54" s="312"/>
      <c r="K54" s="313"/>
      <c r="L54" s="295"/>
      <c r="M54" s="296"/>
      <c r="N54" s="4"/>
      <c r="O54" s="107"/>
      <c r="P54" s="4"/>
      <c r="Q54" s="4"/>
      <c r="R54" s="4"/>
      <c r="S54" s="4"/>
      <c r="T54" s="4"/>
      <c r="U54" s="4"/>
      <c r="V54" s="4"/>
      <c r="W54" s="4"/>
      <c r="X54" s="4"/>
      <c r="Y54" s="4"/>
      <c r="Z54" s="4"/>
    </row>
    <row r="55" spans="1:26" ht="15.75" customHeight="1" x14ac:dyDescent="0.25">
      <c r="A55" s="4"/>
      <c r="B55" s="314"/>
      <c r="C55" s="315"/>
      <c r="D55" s="315"/>
      <c r="E55" s="316" t="s">
        <v>343</v>
      </c>
      <c r="F55" s="317">
        <f>SUM(F11:F53)</f>
        <v>9378663</v>
      </c>
      <c r="G55" s="315"/>
      <c r="H55" s="318"/>
      <c r="I55" s="315"/>
      <c r="J55" s="317">
        <f t="shared" ref="J55:M55" si="0">SUM(J11:J53)</f>
        <v>225562126.86800003</v>
      </c>
      <c r="K55" s="317">
        <f t="shared" si="0"/>
        <v>24082981.027080312</v>
      </c>
      <c r="L55" s="317">
        <f t="shared" si="0"/>
        <v>460.99202746854405</v>
      </c>
      <c r="M55" s="319">
        <f t="shared" si="0"/>
        <v>266.71715641568943</v>
      </c>
      <c r="N55" s="4"/>
      <c r="O55" s="107"/>
      <c r="P55" s="4"/>
      <c r="Q55" s="4"/>
      <c r="R55" s="4"/>
      <c r="S55" s="4"/>
      <c r="T55" s="4"/>
      <c r="U55" s="4"/>
      <c r="V55" s="4"/>
      <c r="W55" s="4"/>
      <c r="X55" s="4"/>
      <c r="Y55" s="4"/>
      <c r="Z55" s="4"/>
    </row>
    <row r="56" spans="1:26" ht="15.75" customHeight="1" x14ac:dyDescent="0.25">
      <c r="A56" s="4"/>
      <c r="B56" s="277"/>
      <c r="C56" s="278"/>
      <c r="D56" s="278"/>
      <c r="E56" s="291"/>
      <c r="F56" s="320"/>
      <c r="G56" s="278"/>
      <c r="H56" s="279"/>
      <c r="I56" s="311"/>
      <c r="J56" s="320"/>
      <c r="K56" s="321"/>
      <c r="L56" s="320"/>
      <c r="M56" s="322"/>
      <c r="N56" s="4"/>
      <c r="O56" s="107"/>
      <c r="P56" s="4"/>
      <c r="Q56" s="4"/>
      <c r="R56" s="4"/>
      <c r="S56" s="4"/>
      <c r="T56" s="4"/>
      <c r="U56" s="4"/>
      <c r="V56" s="4"/>
      <c r="W56" s="4"/>
      <c r="X56" s="4"/>
      <c r="Y56" s="4"/>
      <c r="Z56" s="4"/>
    </row>
    <row r="57" spans="1:26" ht="15.75" customHeight="1" x14ac:dyDescent="0.25">
      <c r="A57" s="4"/>
      <c r="B57" s="277"/>
      <c r="C57" s="278"/>
      <c r="D57" s="278"/>
      <c r="E57" s="323" t="s">
        <v>344</v>
      </c>
      <c r="F57" s="324"/>
      <c r="G57" s="325"/>
      <c r="H57" s="326"/>
      <c r="I57" s="327"/>
      <c r="J57" s="324"/>
      <c r="K57" s="328">
        <f>(K55*0.90718474)/1000000</f>
        <v>21.847712881476784</v>
      </c>
      <c r="L57" s="329">
        <f>(L55*$J$425*0.90718474)/1000000</f>
        <v>1.1709738112271472E-2</v>
      </c>
      <c r="M57" s="330">
        <f>(M55*$J$426*0.90718474)/1000000</f>
        <v>6.4119859562074236E-2</v>
      </c>
      <c r="N57" s="4"/>
      <c r="O57" s="107"/>
      <c r="P57" s="4"/>
      <c r="Q57" s="4"/>
      <c r="R57" s="4"/>
      <c r="S57" s="4"/>
      <c r="T57" s="4"/>
      <c r="U57" s="4"/>
      <c r="V57" s="4"/>
      <c r="W57" s="4"/>
      <c r="X57" s="4"/>
      <c r="Y57" s="4"/>
      <c r="Z57" s="4"/>
    </row>
    <row r="58" spans="1:26" ht="15.75" customHeight="1" x14ac:dyDescent="0.25">
      <c r="A58" s="4"/>
      <c r="B58" s="277"/>
      <c r="C58" s="278"/>
      <c r="D58" s="292"/>
      <c r="E58" s="278"/>
      <c r="F58" s="279"/>
      <c r="G58" s="278"/>
      <c r="H58" s="279"/>
      <c r="I58" s="311"/>
      <c r="J58" s="279"/>
      <c r="K58" s="331"/>
      <c r="L58" s="295"/>
      <c r="M58" s="296"/>
      <c r="N58" s="4"/>
      <c r="O58" s="107"/>
      <c r="P58" s="4"/>
      <c r="Q58" s="4"/>
      <c r="R58" s="4"/>
      <c r="S58" s="4"/>
      <c r="T58" s="4"/>
      <c r="U58" s="4"/>
      <c r="V58" s="4"/>
      <c r="W58" s="4"/>
      <c r="X58" s="4"/>
      <c r="Y58" s="4"/>
      <c r="Z58" s="4"/>
    </row>
    <row r="59" spans="1:26" ht="15.75" customHeight="1" x14ac:dyDescent="0.25">
      <c r="A59" s="4"/>
      <c r="B59" s="277"/>
      <c r="C59" s="278"/>
      <c r="D59" s="292"/>
      <c r="E59" s="278"/>
      <c r="F59" s="279"/>
      <c r="G59" s="278"/>
      <c r="H59" s="279"/>
      <c r="I59" s="311"/>
      <c r="J59" s="279"/>
      <c r="K59" s="331"/>
      <c r="L59" s="295"/>
      <c r="M59" s="296"/>
      <c r="N59" s="4"/>
      <c r="O59" s="107"/>
      <c r="P59" s="4"/>
      <c r="Q59" s="4"/>
      <c r="R59" s="4"/>
      <c r="S59" s="4"/>
      <c r="T59" s="4"/>
      <c r="U59" s="4"/>
      <c r="V59" s="4"/>
      <c r="W59" s="4"/>
      <c r="X59" s="4"/>
      <c r="Y59" s="4"/>
      <c r="Z59" s="4"/>
    </row>
    <row r="60" spans="1:26" ht="15.75" customHeight="1" x14ac:dyDescent="0.25">
      <c r="A60" s="4"/>
      <c r="B60" s="290" t="s">
        <v>338</v>
      </c>
      <c r="C60" s="291" t="s">
        <v>339</v>
      </c>
      <c r="D60" s="292"/>
      <c r="E60" s="278"/>
      <c r="F60" s="279"/>
      <c r="G60" s="278"/>
      <c r="H60" s="279"/>
      <c r="I60" s="311"/>
      <c r="J60" s="279"/>
      <c r="K60" s="331"/>
      <c r="L60" s="295"/>
      <c r="M60" s="296"/>
      <c r="N60" s="4"/>
      <c r="O60" s="107"/>
      <c r="P60" s="4"/>
      <c r="Q60" s="4"/>
      <c r="R60" s="4"/>
      <c r="S60" s="4"/>
      <c r="T60" s="4"/>
      <c r="U60" s="4"/>
      <c r="V60" s="4"/>
      <c r="W60" s="4"/>
      <c r="X60" s="4"/>
      <c r="Y60" s="4"/>
      <c r="Z60" s="4"/>
    </row>
    <row r="61" spans="1:26" ht="15.75" customHeight="1" x14ac:dyDescent="0.25">
      <c r="A61" s="4"/>
      <c r="B61" s="277"/>
      <c r="C61" s="278" t="s">
        <v>345</v>
      </c>
      <c r="D61" s="292"/>
      <c r="E61" s="278"/>
      <c r="F61" s="279"/>
      <c r="G61" s="278"/>
      <c r="H61" s="279"/>
      <c r="I61" s="278"/>
      <c r="J61" s="295"/>
      <c r="K61" s="295"/>
      <c r="L61" s="295"/>
      <c r="M61" s="296"/>
      <c r="N61" s="4"/>
      <c r="O61" s="107"/>
      <c r="P61" s="4"/>
      <c r="Q61" s="4"/>
      <c r="R61" s="4"/>
      <c r="S61" s="4"/>
      <c r="T61" s="4"/>
      <c r="U61" s="4"/>
      <c r="V61" s="4"/>
      <c r="W61" s="4"/>
      <c r="X61" s="4"/>
      <c r="Y61" s="4"/>
      <c r="Z61" s="4"/>
    </row>
    <row r="62" spans="1:26" ht="15.75" customHeight="1" x14ac:dyDescent="0.25">
      <c r="A62" s="4"/>
      <c r="B62" s="332"/>
      <c r="C62" s="315" t="s">
        <v>346</v>
      </c>
      <c r="D62" s="333" t="s">
        <v>341</v>
      </c>
      <c r="E62" s="316" t="s">
        <v>238</v>
      </c>
      <c r="F62" s="317">
        <v>5518</v>
      </c>
      <c r="G62" s="316" t="s">
        <v>293</v>
      </c>
      <c r="H62" s="317">
        <v>4643</v>
      </c>
      <c r="I62" s="334" t="s">
        <v>294</v>
      </c>
      <c r="J62" s="317">
        <f>Luke!G16</f>
        <v>51240.148000000001</v>
      </c>
      <c r="K62" s="335">
        <f>Luke!G18+Luke!G22+Luke!G26</f>
        <v>5145.8368827459108</v>
      </c>
      <c r="L62" s="335">
        <f>Luke!G19+Luke!G23+Luke!G27</f>
        <v>0.61166321380332234</v>
      </c>
      <c r="M62" s="336">
        <f>Luke!G20+Luke!G24+Luke!G28</f>
        <v>9.0054811317120301E-2</v>
      </c>
      <c r="N62" s="4"/>
      <c r="O62" s="107" t="s">
        <v>300</v>
      </c>
      <c r="P62" s="4"/>
      <c r="Q62" s="4"/>
      <c r="R62" s="4"/>
      <c r="S62" s="4"/>
      <c r="T62" s="4"/>
      <c r="U62" s="4"/>
      <c r="V62" s="4"/>
      <c r="W62" s="4"/>
      <c r="X62" s="4"/>
      <c r="Y62" s="4"/>
      <c r="Z62" s="4"/>
    </row>
    <row r="63" spans="1:26" ht="15.75" customHeight="1" x14ac:dyDescent="0.25">
      <c r="A63" s="4"/>
      <c r="B63" s="277"/>
      <c r="C63" s="278"/>
      <c r="D63" s="292"/>
      <c r="E63" s="291"/>
      <c r="F63" s="320"/>
      <c r="G63" s="291"/>
      <c r="H63" s="320"/>
      <c r="I63" s="337"/>
      <c r="J63" s="320"/>
      <c r="K63" s="338"/>
      <c r="L63" s="338"/>
      <c r="M63" s="339"/>
      <c r="N63" s="4"/>
      <c r="O63" s="107"/>
      <c r="P63" s="4"/>
      <c r="Q63" s="4"/>
      <c r="R63" s="4"/>
      <c r="S63" s="4"/>
      <c r="T63" s="4"/>
      <c r="U63" s="4"/>
      <c r="V63" s="4"/>
      <c r="W63" s="4"/>
      <c r="X63" s="4"/>
      <c r="Y63" s="4"/>
      <c r="Z63" s="4"/>
    </row>
    <row r="64" spans="1:26" ht="15.75" customHeight="1" x14ac:dyDescent="0.25">
      <c r="A64" s="4"/>
      <c r="B64" s="277"/>
      <c r="C64" s="278"/>
      <c r="D64" s="292"/>
      <c r="E64" s="323" t="s">
        <v>347</v>
      </c>
      <c r="F64" s="324"/>
      <c r="G64" s="323"/>
      <c r="H64" s="324"/>
      <c r="I64" s="340"/>
      <c r="J64" s="324"/>
      <c r="K64" s="341">
        <f>(K62*0.90718474)/1000000</f>
        <v>4.6682246945562601E-3</v>
      </c>
      <c r="L64" s="342">
        <f>(L62*$J$425*0.90718474)/1000000</f>
        <v>1.5536962940288479E-5</v>
      </c>
      <c r="M64" s="343">
        <f>(M62*$J$426*0.90718474)/1000000</f>
        <v>2.1649532906474776E-5</v>
      </c>
      <c r="N64" s="4"/>
      <c r="O64" s="107"/>
      <c r="P64" s="4"/>
      <c r="Q64" s="4"/>
      <c r="R64" s="4"/>
      <c r="S64" s="4"/>
      <c r="T64" s="4"/>
      <c r="U64" s="4"/>
      <c r="V64" s="4"/>
      <c r="W64" s="4"/>
      <c r="X64" s="4"/>
      <c r="Y64" s="4"/>
      <c r="Z64" s="4"/>
    </row>
    <row r="65" spans="1:26" ht="15.75" customHeight="1" x14ac:dyDescent="0.25">
      <c r="A65" s="4"/>
      <c r="B65" s="277"/>
      <c r="C65" s="278"/>
      <c r="D65" s="292"/>
      <c r="E65" s="278"/>
      <c r="F65" s="279"/>
      <c r="G65" s="278"/>
      <c r="H65" s="279"/>
      <c r="I65" s="278"/>
      <c r="J65" s="295"/>
      <c r="K65" s="295"/>
      <c r="L65" s="295"/>
      <c r="M65" s="296"/>
      <c r="N65" s="4"/>
      <c r="O65" s="107"/>
      <c r="P65" s="4"/>
      <c r="Q65" s="4"/>
      <c r="R65" s="4"/>
      <c r="S65" s="4"/>
      <c r="T65" s="4"/>
      <c r="U65" s="4"/>
      <c r="V65" s="4"/>
      <c r="W65" s="4"/>
      <c r="X65" s="4"/>
      <c r="Y65" s="4"/>
      <c r="Z65" s="4"/>
    </row>
    <row r="66" spans="1:26" ht="15.75" customHeight="1" x14ac:dyDescent="0.25">
      <c r="A66" s="4"/>
      <c r="B66" s="140"/>
      <c r="C66" s="141"/>
      <c r="D66" s="344"/>
      <c r="E66" s="141"/>
      <c r="F66" s="345"/>
      <c r="G66" s="141"/>
      <c r="H66" s="345"/>
      <c r="I66" s="141"/>
      <c r="J66" s="346"/>
      <c r="K66" s="346"/>
      <c r="L66" s="346"/>
      <c r="M66" s="347"/>
      <c r="N66" s="4"/>
      <c r="O66" s="107"/>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107"/>
      <c r="P67" s="4"/>
      <c r="Q67" s="4"/>
      <c r="R67" s="4"/>
      <c r="S67" s="4"/>
      <c r="T67" s="4"/>
      <c r="U67" s="4"/>
      <c r="V67" s="4"/>
      <c r="W67" s="4"/>
      <c r="X67" s="4"/>
      <c r="Y67" s="4"/>
      <c r="Z67" s="4"/>
    </row>
    <row r="68" spans="1:26" ht="15.75" customHeight="1" x14ac:dyDescent="0.25">
      <c r="A68" s="4"/>
      <c r="B68" s="4"/>
      <c r="C68" s="4"/>
      <c r="D68" s="4"/>
      <c r="E68" s="4"/>
      <c r="F68" s="4"/>
      <c r="G68" s="4"/>
      <c r="H68" s="4"/>
      <c r="I68" s="4"/>
      <c r="J68" s="4"/>
      <c r="K68" s="4"/>
      <c r="L68" s="4"/>
      <c r="M68" s="4"/>
      <c r="N68" s="4"/>
      <c r="O68" s="107"/>
      <c r="P68" s="4"/>
      <c r="Q68" s="4"/>
      <c r="R68" s="4"/>
      <c r="S68" s="4"/>
      <c r="T68" s="4"/>
      <c r="U68" s="4"/>
      <c r="V68" s="4"/>
      <c r="W68" s="4"/>
      <c r="X68" s="4"/>
      <c r="Y68" s="4"/>
      <c r="Z68" s="4"/>
    </row>
    <row r="69" spans="1:26" ht="15.75" customHeight="1" x14ac:dyDescent="0.25">
      <c r="A69" s="4"/>
      <c r="B69" s="4"/>
      <c r="C69" s="4"/>
      <c r="D69" s="4"/>
      <c r="E69" s="4"/>
      <c r="F69" s="4"/>
      <c r="G69" s="4"/>
      <c r="H69" s="4"/>
      <c r="I69" s="4"/>
      <c r="J69" s="4"/>
      <c r="K69" s="4"/>
      <c r="L69" s="4"/>
      <c r="M69" s="4"/>
      <c r="N69" s="4"/>
      <c r="O69" s="107"/>
      <c r="P69" s="4"/>
      <c r="Q69" s="4"/>
      <c r="R69" s="4"/>
      <c r="S69" s="4"/>
      <c r="T69" s="4"/>
      <c r="U69" s="4"/>
      <c r="V69" s="4"/>
      <c r="W69" s="4"/>
      <c r="X69" s="4"/>
      <c r="Y69" s="4"/>
      <c r="Z69" s="4"/>
    </row>
    <row r="70" spans="1:26" ht="15.75" customHeight="1" x14ac:dyDescent="0.25">
      <c r="A70" s="4"/>
      <c r="B70" s="4"/>
      <c r="C70" s="4"/>
      <c r="D70" s="4"/>
      <c r="E70" s="4"/>
      <c r="F70" s="4"/>
      <c r="G70" s="4"/>
      <c r="H70" s="4"/>
      <c r="I70" s="4"/>
      <c r="J70" s="4"/>
      <c r="K70" s="4"/>
      <c r="L70" s="4"/>
      <c r="M70" s="4"/>
      <c r="N70" s="4"/>
      <c r="O70" s="107"/>
      <c r="P70" s="4"/>
      <c r="Q70" s="4"/>
      <c r="R70" s="4"/>
      <c r="S70" s="4"/>
      <c r="T70" s="4"/>
      <c r="U70" s="4"/>
      <c r="V70" s="4"/>
      <c r="W70" s="4"/>
      <c r="X70" s="4"/>
      <c r="Y70" s="4"/>
      <c r="Z70" s="4"/>
    </row>
    <row r="71" spans="1:26" ht="15.75" customHeight="1" x14ac:dyDescent="0.25">
      <c r="A71" s="4"/>
      <c r="B71" s="262" t="s">
        <v>348</v>
      </c>
      <c r="C71" s="263"/>
      <c r="D71" s="4"/>
      <c r="E71" s="4"/>
      <c r="F71" s="4"/>
      <c r="G71" s="4"/>
      <c r="H71" s="4"/>
      <c r="I71" s="4"/>
      <c r="J71" s="4"/>
      <c r="K71" s="4"/>
      <c r="L71" s="4"/>
      <c r="M71" s="4"/>
      <c r="N71" s="4"/>
      <c r="O71" s="107"/>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107"/>
      <c r="P72" s="4"/>
      <c r="Q72" s="4"/>
      <c r="R72" s="4"/>
      <c r="S72" s="4"/>
      <c r="T72" s="4"/>
      <c r="U72" s="4"/>
      <c r="V72" s="4"/>
      <c r="W72" s="4"/>
      <c r="X72" s="4"/>
      <c r="Y72" s="4"/>
      <c r="Z72" s="4"/>
    </row>
    <row r="73" spans="1:26" ht="15.75" customHeight="1" x14ac:dyDescent="0.25">
      <c r="A73" s="4"/>
      <c r="B73" s="348" t="s">
        <v>274</v>
      </c>
      <c r="C73" s="349" t="s">
        <v>275</v>
      </c>
      <c r="D73" s="349" t="s">
        <v>276</v>
      </c>
      <c r="E73" s="349" t="s">
        <v>277</v>
      </c>
      <c r="F73" s="349" t="s">
        <v>278</v>
      </c>
      <c r="G73" s="349" t="s">
        <v>279</v>
      </c>
      <c r="H73" s="349" t="s">
        <v>280</v>
      </c>
      <c r="I73" s="349" t="s">
        <v>281</v>
      </c>
      <c r="J73" s="350" t="s">
        <v>282</v>
      </c>
      <c r="K73" s="351" t="s">
        <v>349</v>
      </c>
      <c r="L73" s="349" t="s">
        <v>350</v>
      </c>
      <c r="M73" s="352" t="s">
        <v>351</v>
      </c>
      <c r="N73" s="4"/>
      <c r="O73" s="107"/>
      <c r="P73" s="4"/>
      <c r="Q73" s="4"/>
      <c r="R73" s="4"/>
      <c r="S73" s="4"/>
      <c r="T73" s="4"/>
      <c r="U73" s="4"/>
      <c r="V73" s="4"/>
      <c r="W73" s="4"/>
      <c r="X73" s="4"/>
      <c r="Y73" s="4"/>
      <c r="Z73" s="4"/>
    </row>
    <row r="74" spans="1:26" ht="15.75" customHeight="1" x14ac:dyDescent="0.25">
      <c r="A74" s="4"/>
      <c r="B74" s="353"/>
      <c r="C74" s="87"/>
      <c r="D74" s="87"/>
      <c r="E74" s="354" t="s">
        <v>352</v>
      </c>
      <c r="F74" s="87"/>
      <c r="G74" s="87"/>
      <c r="H74" s="87"/>
      <c r="I74" s="87"/>
      <c r="J74" s="355" t="s">
        <v>288</v>
      </c>
      <c r="K74" s="92" t="s">
        <v>243</v>
      </c>
      <c r="L74" s="87" t="s">
        <v>243</v>
      </c>
      <c r="M74" s="356" t="s">
        <v>243</v>
      </c>
      <c r="N74" s="4"/>
      <c r="O74" s="107"/>
      <c r="P74" s="4"/>
      <c r="Q74" s="4"/>
      <c r="R74" s="4"/>
      <c r="S74" s="4"/>
      <c r="T74" s="4"/>
      <c r="U74" s="4"/>
      <c r="V74" s="4"/>
      <c r="W74" s="4"/>
      <c r="X74" s="4"/>
      <c r="Y74" s="4"/>
      <c r="Z74" s="4"/>
    </row>
    <row r="75" spans="1:26" ht="15.75" customHeight="1" x14ac:dyDescent="0.25">
      <c r="A75" s="4"/>
      <c r="B75" s="357"/>
      <c r="C75" s="358"/>
      <c r="D75" s="358"/>
      <c r="E75" s="358"/>
      <c r="F75" s="358"/>
      <c r="G75" s="358"/>
      <c r="H75" s="358"/>
      <c r="I75" s="358"/>
      <c r="J75" s="359"/>
      <c r="K75" s="360"/>
      <c r="L75" s="86"/>
      <c r="M75" s="361"/>
      <c r="N75" s="4"/>
      <c r="O75" s="107"/>
      <c r="P75" s="4"/>
      <c r="Q75" s="4"/>
      <c r="R75" s="4"/>
      <c r="S75" s="4"/>
      <c r="T75" s="4"/>
      <c r="U75" s="4"/>
      <c r="V75" s="4"/>
      <c r="W75" s="4"/>
      <c r="X75" s="4"/>
      <c r="Y75" s="4"/>
      <c r="Z75" s="4"/>
    </row>
    <row r="76" spans="1:26" ht="15.75" customHeight="1" x14ac:dyDescent="0.25">
      <c r="A76" s="4"/>
      <c r="B76" s="362" t="s">
        <v>289</v>
      </c>
      <c r="C76" s="46" t="s">
        <v>290</v>
      </c>
      <c r="D76" s="45"/>
      <c r="E76" s="45"/>
      <c r="F76" s="363"/>
      <c r="G76" s="45"/>
      <c r="H76" s="45"/>
      <c r="I76" s="45"/>
      <c r="J76" s="364"/>
      <c r="K76" s="365"/>
      <c r="L76" s="45"/>
      <c r="M76" s="366"/>
      <c r="N76" s="4"/>
      <c r="O76" s="107"/>
      <c r="P76" s="4"/>
      <c r="Q76" s="4"/>
      <c r="R76" s="4"/>
      <c r="S76" s="4"/>
      <c r="T76" s="4"/>
      <c r="U76" s="4"/>
      <c r="V76" s="4"/>
      <c r="W76" s="4"/>
      <c r="X76" s="4"/>
      <c r="Y76" s="4"/>
      <c r="Z76" s="4"/>
    </row>
    <row r="77" spans="1:26" ht="15.75" customHeight="1" x14ac:dyDescent="0.25">
      <c r="A77" s="4"/>
      <c r="B77" s="126"/>
      <c r="C77" s="367" t="s">
        <v>291</v>
      </c>
      <c r="D77" s="367" t="s">
        <v>292</v>
      </c>
      <c r="E77" s="367" t="s">
        <v>353</v>
      </c>
      <c r="F77" s="368">
        <v>113500</v>
      </c>
      <c r="G77" s="367" t="s">
        <v>354</v>
      </c>
      <c r="H77" s="63">
        <v>140000</v>
      </c>
      <c r="I77" s="367" t="s">
        <v>355</v>
      </c>
      <c r="J77" s="369">
        <v>15890</v>
      </c>
      <c r="K77" s="370">
        <v>1627.9107228017742</v>
      </c>
      <c r="L77" s="370">
        <v>0.19253149772228581</v>
      </c>
      <c r="M77" s="371">
        <v>2.8009313712211079E-2</v>
      </c>
      <c r="N77" s="4"/>
      <c r="O77" s="107" t="s">
        <v>356</v>
      </c>
      <c r="P77" s="4"/>
      <c r="Q77" s="4"/>
      <c r="R77" s="4"/>
      <c r="S77" s="4"/>
      <c r="T77" s="4"/>
      <c r="U77" s="4"/>
      <c r="V77" s="4"/>
      <c r="W77" s="4"/>
      <c r="X77" s="4"/>
      <c r="Y77" s="4"/>
      <c r="Z77" s="4"/>
    </row>
    <row r="78" spans="1:26" ht="15.75" customHeight="1" x14ac:dyDescent="0.25">
      <c r="A78" s="4"/>
      <c r="B78" s="126"/>
      <c r="C78" s="54"/>
      <c r="D78" s="54"/>
      <c r="E78" s="54"/>
      <c r="F78" s="372"/>
      <c r="G78" s="54"/>
      <c r="H78" s="53"/>
      <c r="I78" s="54"/>
      <c r="J78" s="373"/>
      <c r="K78" s="374"/>
      <c r="L78" s="375"/>
      <c r="M78" s="376"/>
      <c r="N78" s="4"/>
      <c r="O78" s="107"/>
      <c r="P78" s="4"/>
      <c r="Q78" s="4"/>
      <c r="R78" s="4"/>
      <c r="S78" s="4"/>
      <c r="T78" s="4"/>
      <c r="U78" s="4"/>
      <c r="V78" s="4"/>
      <c r="W78" s="4"/>
      <c r="X78" s="4"/>
      <c r="Y78" s="4"/>
      <c r="Z78" s="4"/>
    </row>
    <row r="79" spans="1:26" ht="15.75" customHeight="1" x14ac:dyDescent="0.25">
      <c r="A79" s="4"/>
      <c r="B79" s="126"/>
      <c r="C79" s="54" t="s">
        <v>357</v>
      </c>
      <c r="D79" s="54" t="s">
        <v>358</v>
      </c>
      <c r="E79" s="54" t="s">
        <v>353</v>
      </c>
      <c r="F79" s="372">
        <v>665</v>
      </c>
      <c r="G79" s="54" t="s">
        <v>354</v>
      </c>
      <c r="H79" s="53">
        <v>140000</v>
      </c>
      <c r="I79" s="54" t="s">
        <v>355</v>
      </c>
      <c r="J79" s="377">
        <v>93.1</v>
      </c>
      <c r="K79" s="378">
        <v>7.48</v>
      </c>
      <c r="L79" s="379">
        <v>0</v>
      </c>
      <c r="M79" s="380">
        <v>0</v>
      </c>
      <c r="N79" s="4"/>
      <c r="O79" s="107" t="s">
        <v>356</v>
      </c>
      <c r="P79" s="4"/>
      <c r="Q79" s="4"/>
      <c r="R79" s="4"/>
      <c r="S79" s="4"/>
      <c r="T79" s="4"/>
      <c r="U79" s="4"/>
      <c r="V79" s="4"/>
      <c r="W79" s="4"/>
      <c r="X79" s="4"/>
      <c r="Y79" s="4"/>
      <c r="Z79" s="4"/>
    </row>
    <row r="80" spans="1:26" ht="15.75" customHeight="1" x14ac:dyDescent="0.25">
      <c r="A80" s="4"/>
      <c r="B80" s="143"/>
      <c r="C80" s="358"/>
      <c r="D80" s="86"/>
      <c r="E80" s="86"/>
      <c r="F80" s="206"/>
      <c r="G80" s="86"/>
      <c r="H80" s="206"/>
      <c r="I80" s="86"/>
      <c r="J80" s="381"/>
      <c r="K80" s="360"/>
      <c r="L80" s="382"/>
      <c r="M80" s="383"/>
      <c r="N80" s="4"/>
      <c r="O80" s="107"/>
      <c r="P80" s="4"/>
      <c r="Q80" s="4"/>
      <c r="R80" s="4"/>
      <c r="S80" s="4"/>
      <c r="T80" s="4"/>
      <c r="U80" s="4"/>
      <c r="V80" s="4"/>
      <c r="W80" s="4"/>
      <c r="X80" s="4"/>
      <c r="Y80" s="4"/>
      <c r="Z80" s="4"/>
    </row>
    <row r="81" spans="1:26" ht="15.75" customHeight="1" x14ac:dyDescent="0.25">
      <c r="A81" s="4"/>
      <c r="B81" s="362" t="s">
        <v>295</v>
      </c>
      <c r="C81" s="46" t="s">
        <v>296</v>
      </c>
      <c r="D81" s="45"/>
      <c r="E81" s="45"/>
      <c r="F81" s="363"/>
      <c r="G81" s="45"/>
      <c r="H81" s="363"/>
      <c r="I81" s="45"/>
      <c r="J81" s="364"/>
      <c r="K81" s="365"/>
      <c r="L81" s="384"/>
      <c r="M81" s="385"/>
      <c r="N81" s="4"/>
      <c r="O81" s="107"/>
      <c r="P81" s="4"/>
      <c r="Q81" s="4"/>
      <c r="R81" s="4"/>
      <c r="S81" s="4"/>
      <c r="T81" s="4"/>
      <c r="U81" s="4"/>
      <c r="V81" s="4"/>
      <c r="W81" s="4"/>
      <c r="X81" s="4"/>
      <c r="Y81" s="4"/>
      <c r="Z81" s="4"/>
    </row>
    <row r="82" spans="1:26" ht="15.75" customHeight="1" x14ac:dyDescent="0.25">
      <c r="A82" s="4"/>
      <c r="B82" s="126"/>
      <c r="C82" s="367" t="s">
        <v>297</v>
      </c>
      <c r="D82" s="386" t="s">
        <v>298</v>
      </c>
      <c r="E82" s="367" t="s">
        <v>359</v>
      </c>
      <c r="F82" s="368">
        <v>1080000</v>
      </c>
      <c r="G82" s="367" t="s">
        <v>354</v>
      </c>
      <c r="H82" s="63">
        <v>139</v>
      </c>
      <c r="I82" s="367" t="s">
        <v>360</v>
      </c>
      <c r="J82" s="387">
        <v>150.12</v>
      </c>
      <c r="K82" s="388">
        <v>17.680268317647489</v>
      </c>
      <c r="L82" s="389">
        <v>1.3260544686342993E-4</v>
      </c>
      <c r="M82" s="390">
        <v>9.9719296041299302E-5</v>
      </c>
      <c r="N82" s="4"/>
      <c r="O82" s="107" t="s">
        <v>356</v>
      </c>
      <c r="P82" s="4"/>
      <c r="Q82" s="4"/>
      <c r="R82" s="4"/>
      <c r="S82" s="4"/>
      <c r="T82" s="4"/>
      <c r="U82" s="4"/>
      <c r="V82" s="4"/>
      <c r="W82" s="4"/>
      <c r="X82" s="4"/>
      <c r="Y82" s="4"/>
      <c r="Z82" s="4"/>
    </row>
    <row r="83" spans="1:26" ht="15.75" customHeight="1" x14ac:dyDescent="0.25">
      <c r="A83" s="4"/>
      <c r="B83" s="126"/>
      <c r="C83" s="54"/>
      <c r="D83" s="77"/>
      <c r="E83" s="54"/>
      <c r="F83" s="53"/>
      <c r="G83" s="54"/>
      <c r="H83" s="53"/>
      <c r="I83" s="54"/>
      <c r="J83" s="391"/>
      <c r="K83" s="374"/>
      <c r="L83" s="392"/>
      <c r="M83" s="393"/>
      <c r="N83" s="4"/>
      <c r="O83" s="107"/>
      <c r="P83" s="4"/>
      <c r="Q83" s="4"/>
      <c r="R83" s="4"/>
      <c r="S83" s="4"/>
      <c r="T83" s="4"/>
      <c r="U83" s="4"/>
      <c r="V83" s="4"/>
      <c r="W83" s="4"/>
      <c r="X83" s="4"/>
      <c r="Y83" s="4"/>
      <c r="Z83" s="4"/>
    </row>
    <row r="84" spans="1:26" ht="15.75" customHeight="1" x14ac:dyDescent="0.25">
      <c r="A84" s="4"/>
      <c r="B84" s="126"/>
      <c r="C84" s="367" t="s">
        <v>301</v>
      </c>
      <c r="D84" s="386" t="s">
        <v>302</v>
      </c>
      <c r="E84" s="367" t="s">
        <v>359</v>
      </c>
      <c r="F84" s="368">
        <v>1284000</v>
      </c>
      <c r="G84" s="367" t="s">
        <v>354</v>
      </c>
      <c r="H84" s="63">
        <v>139</v>
      </c>
      <c r="I84" s="367" t="s">
        <v>360</v>
      </c>
      <c r="J84" s="387">
        <v>178.476</v>
      </c>
      <c r="K84" s="374">
        <v>18.523037689018818</v>
      </c>
      <c r="L84" s="394">
        <v>1.5769468121567734E-4</v>
      </c>
      <c r="M84" s="395">
        <v>1.1869492134513347E-4</v>
      </c>
      <c r="N84" s="4"/>
      <c r="O84" s="107" t="s">
        <v>356</v>
      </c>
      <c r="P84" s="4"/>
      <c r="Q84" s="4"/>
      <c r="R84" s="4"/>
      <c r="S84" s="4"/>
      <c r="T84" s="4"/>
      <c r="U84" s="4"/>
      <c r="V84" s="4"/>
      <c r="W84" s="4"/>
      <c r="X84" s="4"/>
      <c r="Y84" s="4"/>
      <c r="Z84" s="4"/>
    </row>
    <row r="85" spans="1:26" ht="15.75" customHeight="1" x14ac:dyDescent="0.25">
      <c r="A85" s="4"/>
      <c r="B85" s="396"/>
      <c r="C85" s="68"/>
      <c r="D85" s="397"/>
      <c r="E85" s="68"/>
      <c r="F85" s="202"/>
      <c r="G85" s="68"/>
      <c r="H85" s="202"/>
      <c r="I85" s="68"/>
      <c r="J85" s="398"/>
      <c r="K85" s="399"/>
      <c r="L85" s="400"/>
      <c r="M85" s="401"/>
      <c r="N85" s="4"/>
      <c r="O85" s="107"/>
      <c r="P85" s="4"/>
      <c r="Q85" s="4"/>
      <c r="R85" s="4"/>
      <c r="S85" s="4"/>
      <c r="T85" s="4"/>
      <c r="U85" s="4"/>
      <c r="V85" s="4"/>
      <c r="W85" s="4"/>
      <c r="X85" s="4"/>
      <c r="Y85" s="4"/>
      <c r="Z85" s="4"/>
    </row>
    <row r="86" spans="1:26" ht="15.75" customHeight="1" x14ac:dyDescent="0.25">
      <c r="A86" s="4"/>
      <c r="B86" s="362" t="s">
        <v>303</v>
      </c>
      <c r="C86" s="46" t="s">
        <v>304</v>
      </c>
      <c r="D86" s="50"/>
      <c r="E86" s="45"/>
      <c r="F86" s="363"/>
      <c r="G86" s="45"/>
      <c r="H86" s="363"/>
      <c r="I86" s="45"/>
      <c r="J86" s="364"/>
      <c r="K86" s="365"/>
      <c r="L86" s="384"/>
      <c r="M86" s="385"/>
      <c r="N86" s="4"/>
      <c r="O86" s="107"/>
      <c r="P86" s="4"/>
      <c r="Q86" s="4"/>
      <c r="R86" s="4"/>
      <c r="S86" s="4"/>
      <c r="T86" s="4"/>
      <c r="U86" s="4"/>
      <c r="V86" s="4"/>
      <c r="W86" s="4"/>
      <c r="X86" s="4"/>
      <c r="Y86" s="4"/>
      <c r="Z86" s="4"/>
    </row>
    <row r="87" spans="1:26" ht="15.75" customHeight="1" x14ac:dyDescent="0.25">
      <c r="A87" s="4"/>
      <c r="B87" s="126"/>
      <c r="C87" s="54" t="s">
        <v>361</v>
      </c>
      <c r="D87" s="77" t="s">
        <v>362</v>
      </c>
      <c r="E87" s="54" t="s">
        <v>359</v>
      </c>
      <c r="F87" s="372">
        <v>121000</v>
      </c>
      <c r="G87" s="54" t="s">
        <v>354</v>
      </c>
      <c r="H87" s="53">
        <v>139</v>
      </c>
      <c r="I87" s="54" t="s">
        <v>360</v>
      </c>
      <c r="J87" s="402">
        <v>16819</v>
      </c>
      <c r="K87" s="374">
        <v>1320</v>
      </c>
      <c r="L87" s="403">
        <v>1.2999999999999999E-2</v>
      </c>
      <c r="M87" s="376">
        <v>1.6E-2</v>
      </c>
      <c r="N87" s="4"/>
      <c r="O87" s="107" t="s">
        <v>356</v>
      </c>
      <c r="P87" s="4"/>
      <c r="Q87" s="4"/>
      <c r="R87" s="4"/>
      <c r="S87" s="4"/>
      <c r="T87" s="4"/>
      <c r="U87" s="4"/>
      <c r="V87" s="4"/>
      <c r="W87" s="4"/>
      <c r="X87" s="4"/>
      <c r="Y87" s="4"/>
      <c r="Z87" s="4"/>
    </row>
    <row r="88" spans="1:26" ht="15.75" customHeight="1" x14ac:dyDescent="0.25">
      <c r="A88" s="4"/>
      <c r="B88" s="126"/>
      <c r="C88" s="54"/>
      <c r="D88" s="77"/>
      <c r="E88" s="54"/>
      <c r="F88" s="53"/>
      <c r="G88" s="54"/>
      <c r="H88" s="53"/>
      <c r="I88" s="54"/>
      <c r="J88" s="404"/>
      <c r="K88" s="368"/>
      <c r="L88" s="405"/>
      <c r="M88" s="393"/>
      <c r="N88" s="4"/>
      <c r="O88" s="107"/>
      <c r="P88" s="4"/>
      <c r="Q88" s="4"/>
      <c r="R88" s="4"/>
      <c r="S88" s="4"/>
      <c r="T88" s="4"/>
      <c r="U88" s="4"/>
      <c r="V88" s="4"/>
      <c r="W88" s="4"/>
      <c r="X88" s="4"/>
      <c r="Y88" s="4"/>
      <c r="Z88" s="4"/>
    </row>
    <row r="89" spans="1:26" ht="15.75" customHeight="1" x14ac:dyDescent="0.25">
      <c r="A89" s="4"/>
      <c r="B89" s="126"/>
      <c r="C89" s="54" t="s">
        <v>363</v>
      </c>
      <c r="D89" s="77" t="s">
        <v>364</v>
      </c>
      <c r="E89" s="54" t="s">
        <v>359</v>
      </c>
      <c r="F89" s="372">
        <v>15000</v>
      </c>
      <c r="G89" s="54" t="s">
        <v>354</v>
      </c>
      <c r="H89" s="53">
        <v>139</v>
      </c>
      <c r="I89" s="54" t="s">
        <v>360</v>
      </c>
      <c r="J89" s="402">
        <v>2085</v>
      </c>
      <c r="K89" s="374">
        <v>164</v>
      </c>
      <c r="L89" s="403">
        <v>2E-3</v>
      </c>
      <c r="M89" s="376">
        <v>2E-3</v>
      </c>
      <c r="N89" s="4"/>
      <c r="O89" s="107" t="s">
        <v>356</v>
      </c>
      <c r="P89" s="4"/>
      <c r="Q89" s="4"/>
      <c r="R89" s="4"/>
      <c r="S89" s="4"/>
      <c r="T89" s="4"/>
      <c r="U89" s="4"/>
      <c r="V89" s="4"/>
      <c r="W89" s="4"/>
      <c r="X89" s="4"/>
      <c r="Y89" s="4"/>
      <c r="Z89" s="4"/>
    </row>
    <row r="90" spans="1:26" ht="15.75" customHeight="1" x14ac:dyDescent="0.25">
      <c r="A90" s="4"/>
      <c r="B90" s="126"/>
      <c r="C90" s="54"/>
      <c r="D90" s="77"/>
      <c r="E90" s="54"/>
      <c r="F90" s="372"/>
      <c r="G90" s="54"/>
      <c r="H90" s="53"/>
      <c r="I90" s="54"/>
      <c r="J90" s="404"/>
      <c r="K90" s="368"/>
      <c r="L90" s="405"/>
      <c r="M90" s="393"/>
      <c r="N90" s="4"/>
      <c r="O90" s="107"/>
      <c r="P90" s="4"/>
      <c r="Q90" s="4"/>
      <c r="R90" s="4"/>
      <c r="S90" s="4"/>
      <c r="T90" s="4"/>
      <c r="U90" s="4"/>
      <c r="V90" s="4"/>
      <c r="W90" s="4"/>
      <c r="X90" s="4"/>
      <c r="Y90" s="4"/>
      <c r="Z90" s="4"/>
    </row>
    <row r="91" spans="1:26" ht="15.75" customHeight="1" x14ac:dyDescent="0.25">
      <c r="A91" s="4"/>
      <c r="B91" s="396"/>
      <c r="C91" s="68" t="s">
        <v>365</v>
      </c>
      <c r="D91" s="397" t="s">
        <v>366</v>
      </c>
      <c r="E91" s="68" t="s">
        <v>359</v>
      </c>
      <c r="F91" s="406">
        <v>89000</v>
      </c>
      <c r="G91" s="68" t="s">
        <v>354</v>
      </c>
      <c r="H91" s="202">
        <v>139</v>
      </c>
      <c r="I91" s="68" t="s">
        <v>360</v>
      </c>
      <c r="J91" s="407">
        <v>12371</v>
      </c>
      <c r="K91" s="399">
        <v>968</v>
      </c>
      <c r="L91" s="408">
        <v>0.01</v>
      </c>
      <c r="M91" s="409">
        <v>1.2E-2</v>
      </c>
      <c r="N91" s="4"/>
      <c r="O91" s="107" t="s">
        <v>356</v>
      </c>
      <c r="P91" s="4"/>
      <c r="Q91" s="4"/>
      <c r="R91" s="4"/>
      <c r="S91" s="4"/>
      <c r="T91" s="4"/>
      <c r="U91" s="4"/>
      <c r="V91" s="4"/>
      <c r="W91" s="4"/>
      <c r="X91" s="4"/>
      <c r="Y91" s="4"/>
      <c r="Z91" s="4"/>
    </row>
    <row r="92" spans="1:26" ht="15.75" customHeight="1" x14ac:dyDescent="0.25">
      <c r="A92" s="4"/>
      <c r="B92" s="143"/>
      <c r="C92" s="86"/>
      <c r="D92" s="86"/>
      <c r="E92" s="86"/>
      <c r="F92" s="206"/>
      <c r="G92" s="86"/>
      <c r="H92" s="206"/>
      <c r="I92" s="86"/>
      <c r="J92" s="381"/>
      <c r="K92" s="360"/>
      <c r="L92" s="382"/>
      <c r="M92" s="383"/>
      <c r="N92" s="4"/>
      <c r="O92" s="107"/>
      <c r="P92" s="4"/>
      <c r="Q92" s="4"/>
      <c r="R92" s="4"/>
      <c r="S92" s="4"/>
      <c r="T92" s="4"/>
      <c r="U92" s="4"/>
      <c r="V92" s="4"/>
      <c r="W92" s="4"/>
      <c r="X92" s="4"/>
      <c r="Y92" s="4"/>
      <c r="Z92" s="4"/>
    </row>
    <row r="93" spans="1:26" ht="15.75" customHeight="1" x14ac:dyDescent="0.25">
      <c r="A93" s="4"/>
      <c r="B93" s="362" t="s">
        <v>309</v>
      </c>
      <c r="C93" s="46" t="s">
        <v>310</v>
      </c>
      <c r="D93" s="45"/>
      <c r="E93" s="45"/>
      <c r="F93" s="363"/>
      <c r="G93" s="45"/>
      <c r="H93" s="363"/>
      <c r="I93" s="45"/>
      <c r="J93" s="410"/>
      <c r="K93" s="365"/>
      <c r="L93" s="384"/>
      <c r="M93" s="385"/>
      <c r="N93" s="4"/>
      <c r="O93" s="107"/>
      <c r="P93" s="4"/>
      <c r="Q93" s="4"/>
      <c r="R93" s="4"/>
      <c r="S93" s="4"/>
      <c r="T93" s="4"/>
      <c r="U93" s="4"/>
      <c r="V93" s="4"/>
      <c r="W93" s="4"/>
      <c r="X93" s="4"/>
      <c r="Y93" s="4"/>
      <c r="Z93" s="4"/>
    </row>
    <row r="94" spans="1:26" ht="15.75" customHeight="1" x14ac:dyDescent="0.25">
      <c r="A94" s="4"/>
      <c r="B94" s="126"/>
      <c r="C94" s="54"/>
      <c r="D94" s="54"/>
      <c r="E94" s="54"/>
      <c r="F94" s="53"/>
      <c r="G94" s="54"/>
      <c r="H94" s="53"/>
      <c r="I94" s="54"/>
      <c r="J94" s="404"/>
      <c r="K94" s="368"/>
      <c r="L94" s="392"/>
      <c r="M94" s="393"/>
      <c r="N94" s="4"/>
      <c r="O94" s="107"/>
      <c r="P94" s="4"/>
      <c r="Q94" s="4"/>
      <c r="R94" s="4"/>
      <c r="S94" s="4"/>
      <c r="T94" s="4"/>
      <c r="U94" s="4"/>
      <c r="V94" s="4"/>
      <c r="W94" s="4"/>
      <c r="X94" s="4"/>
      <c r="Y94" s="4"/>
      <c r="Z94" s="4"/>
    </row>
    <row r="95" spans="1:26" ht="15.75" customHeight="1" x14ac:dyDescent="0.25">
      <c r="A95" s="4"/>
      <c r="B95" s="126"/>
      <c r="C95" s="367" t="s">
        <v>311</v>
      </c>
      <c r="D95" s="386" t="s">
        <v>298</v>
      </c>
      <c r="E95" s="367" t="s">
        <v>367</v>
      </c>
      <c r="F95" s="368">
        <v>757726</v>
      </c>
      <c r="G95" s="367" t="s">
        <v>354</v>
      </c>
      <c r="H95" s="63">
        <v>137572</v>
      </c>
      <c r="I95" s="367" t="s">
        <v>355</v>
      </c>
      <c r="J95" s="387">
        <v>104241.881272</v>
      </c>
      <c r="K95" s="374">
        <v>11245.385398090562</v>
      </c>
      <c r="L95" s="394">
        <v>8.2187363707763347E-2</v>
      </c>
      <c r="M95" s="395">
        <v>6.5777586792228462E-2</v>
      </c>
      <c r="N95" s="4"/>
      <c r="O95" s="107" t="s">
        <v>356</v>
      </c>
      <c r="P95" s="4"/>
      <c r="Q95" s="4"/>
      <c r="R95" s="4"/>
      <c r="S95" s="4"/>
      <c r="T95" s="4"/>
      <c r="U95" s="4"/>
      <c r="V95" s="4"/>
      <c r="W95" s="4"/>
      <c r="X95" s="4"/>
      <c r="Y95" s="4"/>
      <c r="Z95" s="4"/>
    </row>
    <row r="96" spans="1:26" ht="15.75" customHeight="1" x14ac:dyDescent="0.25">
      <c r="A96" s="4"/>
      <c r="B96" s="126"/>
      <c r="C96" s="54"/>
      <c r="D96" s="54"/>
      <c r="E96" s="54"/>
      <c r="F96" s="53"/>
      <c r="G96" s="54"/>
      <c r="H96" s="53"/>
      <c r="I96" s="54"/>
      <c r="J96" s="402"/>
      <c r="K96" s="368"/>
      <c r="L96" s="392"/>
      <c r="M96" s="393"/>
      <c r="N96" s="4"/>
      <c r="O96" s="107"/>
      <c r="P96" s="4"/>
      <c r="Q96" s="4"/>
      <c r="R96" s="4"/>
      <c r="S96" s="4"/>
      <c r="T96" s="4"/>
      <c r="U96" s="4"/>
      <c r="V96" s="4"/>
      <c r="W96" s="4"/>
      <c r="X96" s="4"/>
      <c r="Y96" s="4"/>
      <c r="Z96" s="4"/>
    </row>
    <row r="97" spans="1:26" ht="15.75" customHeight="1" x14ac:dyDescent="0.25">
      <c r="A97" s="4"/>
      <c r="B97" s="126"/>
      <c r="C97" s="367" t="s">
        <v>313</v>
      </c>
      <c r="D97" s="386" t="s">
        <v>302</v>
      </c>
      <c r="E97" s="367" t="s">
        <v>367</v>
      </c>
      <c r="F97" s="368">
        <v>47448</v>
      </c>
      <c r="G97" s="367" t="s">
        <v>354</v>
      </c>
      <c r="H97" s="63">
        <v>137658</v>
      </c>
      <c r="I97" s="367" t="s">
        <v>355</v>
      </c>
      <c r="J97" s="387">
        <v>6531.5967840000003</v>
      </c>
      <c r="K97" s="374">
        <v>701.03180350719674</v>
      </c>
      <c r="L97" s="394">
        <v>5.1239178346359441E-3</v>
      </c>
      <c r="M97" s="395">
        <v>4.0991342677087553E-3</v>
      </c>
      <c r="N97" s="4"/>
      <c r="O97" s="107" t="s">
        <v>356</v>
      </c>
      <c r="P97" s="4"/>
      <c r="Q97" s="4"/>
      <c r="R97" s="4"/>
      <c r="S97" s="4"/>
      <c r="T97" s="4"/>
      <c r="U97" s="4"/>
      <c r="V97" s="4"/>
      <c r="W97" s="4"/>
      <c r="X97" s="4"/>
      <c r="Y97" s="4"/>
      <c r="Z97" s="4"/>
    </row>
    <row r="98" spans="1:26" ht="15.75" customHeight="1" x14ac:dyDescent="0.25">
      <c r="A98" s="4"/>
      <c r="B98" s="126"/>
      <c r="C98" s="54"/>
      <c r="D98" s="77"/>
      <c r="E98" s="54"/>
      <c r="F98" s="53"/>
      <c r="G98" s="54"/>
      <c r="H98" s="53"/>
      <c r="I98" s="54"/>
      <c r="J98" s="402"/>
      <c r="K98" s="368"/>
      <c r="L98" s="392"/>
      <c r="M98" s="393"/>
      <c r="N98" s="4"/>
      <c r="O98" s="107"/>
      <c r="P98" s="4"/>
      <c r="Q98" s="4"/>
      <c r="R98" s="4"/>
      <c r="S98" s="4"/>
      <c r="T98" s="4"/>
      <c r="U98" s="4"/>
      <c r="V98" s="4"/>
      <c r="W98" s="4"/>
      <c r="X98" s="4"/>
      <c r="Y98" s="4"/>
      <c r="Z98" s="4"/>
    </row>
    <row r="99" spans="1:26" ht="15.75" customHeight="1" x14ac:dyDescent="0.25">
      <c r="A99" s="4"/>
      <c r="B99" s="126"/>
      <c r="C99" s="54" t="s">
        <v>368</v>
      </c>
      <c r="D99" s="77" t="s">
        <v>369</v>
      </c>
      <c r="E99" s="54" t="s">
        <v>367</v>
      </c>
      <c r="F99" s="372">
        <v>63080</v>
      </c>
      <c r="G99" s="54" t="s">
        <v>354</v>
      </c>
      <c r="H99" s="53">
        <v>137630</v>
      </c>
      <c r="I99" s="54" t="s">
        <v>355</v>
      </c>
      <c r="J99" s="402">
        <v>8681.7003999999997</v>
      </c>
      <c r="K99" s="374">
        <v>1550</v>
      </c>
      <c r="L99" s="411">
        <v>2.0000000000000001E-4</v>
      </c>
      <c r="M99" s="376">
        <v>3.5000000000000003E-2</v>
      </c>
      <c r="N99" s="4"/>
      <c r="O99" s="107" t="s">
        <v>356</v>
      </c>
      <c r="P99" s="4"/>
      <c r="Q99" s="4"/>
      <c r="R99" s="4"/>
      <c r="S99" s="4"/>
      <c r="T99" s="4"/>
      <c r="U99" s="4"/>
      <c r="V99" s="4"/>
      <c r="W99" s="4"/>
      <c r="X99" s="4"/>
      <c r="Y99" s="4"/>
      <c r="Z99" s="4"/>
    </row>
    <row r="100" spans="1:26" ht="15.75" customHeight="1" x14ac:dyDescent="0.25">
      <c r="A100" s="4"/>
      <c r="B100" s="126"/>
      <c r="C100" s="54"/>
      <c r="D100" s="77"/>
      <c r="E100" s="54"/>
      <c r="F100" s="53"/>
      <c r="G100" s="54"/>
      <c r="H100" s="53"/>
      <c r="I100" s="54"/>
      <c r="J100" s="404"/>
      <c r="K100" s="368"/>
      <c r="L100" s="392"/>
      <c r="M100" s="393"/>
      <c r="N100" s="4"/>
      <c r="O100" s="107"/>
      <c r="P100" s="4"/>
      <c r="Q100" s="4"/>
      <c r="R100" s="4"/>
      <c r="S100" s="4"/>
      <c r="T100" s="4"/>
      <c r="U100" s="4"/>
      <c r="V100" s="4"/>
      <c r="W100" s="4"/>
      <c r="X100" s="4"/>
      <c r="Y100" s="4"/>
      <c r="Z100" s="4"/>
    </row>
    <row r="101" spans="1:26" ht="15.75" customHeight="1" x14ac:dyDescent="0.25">
      <c r="A101" s="4"/>
      <c r="B101" s="126"/>
      <c r="C101" s="54" t="s">
        <v>370</v>
      </c>
      <c r="D101" s="77" t="s">
        <v>371</v>
      </c>
      <c r="E101" s="54" t="s">
        <v>367</v>
      </c>
      <c r="F101" s="372">
        <v>111736</v>
      </c>
      <c r="G101" s="54" t="s">
        <v>354</v>
      </c>
      <c r="H101" s="53">
        <v>137630</v>
      </c>
      <c r="I101" s="54" t="s">
        <v>355</v>
      </c>
      <c r="J101" s="402">
        <v>10527</v>
      </c>
      <c r="K101" s="368">
        <v>854</v>
      </c>
      <c r="L101" s="412">
        <v>2.9999999999999997E-4</v>
      </c>
      <c r="M101" s="393">
        <v>6.2E-2</v>
      </c>
      <c r="N101" s="4"/>
      <c r="O101" s="107" t="s">
        <v>270</v>
      </c>
      <c r="P101" s="4"/>
      <c r="Q101" s="4"/>
      <c r="R101" s="4"/>
      <c r="S101" s="4"/>
      <c r="T101" s="4"/>
      <c r="U101" s="4"/>
      <c r="V101" s="4"/>
      <c r="W101" s="4"/>
      <c r="X101" s="4"/>
      <c r="Y101" s="4"/>
      <c r="Z101" s="4"/>
    </row>
    <row r="102" spans="1:26" ht="15.75" customHeight="1" x14ac:dyDescent="0.25">
      <c r="A102" s="4"/>
      <c r="B102" s="126"/>
      <c r="C102" s="54"/>
      <c r="D102" s="77"/>
      <c r="E102" s="54"/>
      <c r="F102" s="53"/>
      <c r="G102" s="54"/>
      <c r="H102" s="53"/>
      <c r="I102" s="54"/>
      <c r="J102" s="404"/>
      <c r="K102" s="368"/>
      <c r="L102" s="392"/>
      <c r="M102" s="393"/>
      <c r="N102" s="4"/>
      <c r="O102" s="107"/>
      <c r="P102" s="4"/>
      <c r="Q102" s="4"/>
      <c r="R102" s="4"/>
      <c r="S102" s="4"/>
      <c r="T102" s="4"/>
      <c r="U102" s="4"/>
      <c r="V102" s="4"/>
      <c r="W102" s="4"/>
      <c r="X102" s="4"/>
      <c r="Y102" s="4"/>
      <c r="Z102" s="4"/>
    </row>
    <row r="103" spans="1:26" ht="15.75" customHeight="1" x14ac:dyDescent="0.25">
      <c r="A103" s="4"/>
      <c r="B103" s="126"/>
      <c r="C103" s="367" t="s">
        <v>372</v>
      </c>
      <c r="D103" s="386" t="s">
        <v>373</v>
      </c>
      <c r="E103" s="367" t="s">
        <v>367</v>
      </c>
      <c r="F103" s="368">
        <v>269708</v>
      </c>
      <c r="G103" s="367" t="s">
        <v>354</v>
      </c>
      <c r="H103" s="63">
        <v>139001</v>
      </c>
      <c r="I103" s="367" t="s">
        <v>355</v>
      </c>
      <c r="J103" s="387">
        <v>37489.681707999996</v>
      </c>
      <c r="K103" s="374">
        <v>2444.017633327051</v>
      </c>
      <c r="L103" s="394">
        <v>1.4580915764344652E-2</v>
      </c>
      <c r="M103" s="395">
        <v>5.9111820666262097E-2</v>
      </c>
      <c r="N103" s="4"/>
      <c r="O103" s="107" t="s">
        <v>356</v>
      </c>
      <c r="P103" s="4"/>
      <c r="Q103" s="4"/>
      <c r="R103" s="4"/>
      <c r="S103" s="4"/>
      <c r="T103" s="4"/>
      <c r="U103" s="4"/>
      <c r="V103" s="4"/>
      <c r="W103" s="4"/>
      <c r="X103" s="4"/>
      <c r="Y103" s="4"/>
      <c r="Z103" s="4"/>
    </row>
    <row r="104" spans="1:26" ht="15.75" customHeight="1" x14ac:dyDescent="0.25">
      <c r="A104" s="4"/>
      <c r="B104" s="126"/>
      <c r="C104" s="54"/>
      <c r="D104" s="77"/>
      <c r="E104" s="54"/>
      <c r="F104" s="53"/>
      <c r="G104" s="54"/>
      <c r="H104" s="53"/>
      <c r="I104" s="54"/>
      <c r="J104" s="402"/>
      <c r="K104" s="368"/>
      <c r="L104" s="392"/>
      <c r="M104" s="393"/>
      <c r="N104" s="4"/>
      <c r="O104" s="107"/>
      <c r="P104" s="4"/>
      <c r="Q104" s="4"/>
      <c r="R104" s="4"/>
      <c r="S104" s="4"/>
      <c r="T104" s="4"/>
      <c r="U104" s="4"/>
      <c r="V104" s="4"/>
      <c r="W104" s="4"/>
      <c r="X104" s="4"/>
      <c r="Y104" s="4"/>
      <c r="Z104" s="4"/>
    </row>
    <row r="105" spans="1:26" ht="15.75" customHeight="1" x14ac:dyDescent="0.25">
      <c r="A105" s="4"/>
      <c r="B105" s="126"/>
      <c r="C105" s="367" t="s">
        <v>374</v>
      </c>
      <c r="D105" s="386" t="s">
        <v>375</v>
      </c>
      <c r="E105" s="367" t="s">
        <v>367</v>
      </c>
      <c r="F105" s="368">
        <v>66485</v>
      </c>
      <c r="G105" s="367" t="s">
        <v>354</v>
      </c>
      <c r="H105" s="63">
        <v>139001</v>
      </c>
      <c r="I105" s="367" t="s">
        <v>355</v>
      </c>
      <c r="J105" s="387">
        <v>9241.4814850000002</v>
      </c>
      <c r="K105" s="374">
        <v>565.3152868808354</v>
      </c>
      <c r="L105" s="394">
        <v>3.7826957772946995E-3</v>
      </c>
      <c r="M105" s="395">
        <v>1.0316443028985546E-2</v>
      </c>
      <c r="N105" s="4"/>
      <c r="O105" s="107" t="s">
        <v>356</v>
      </c>
      <c r="P105" s="4"/>
      <c r="Q105" s="4"/>
      <c r="R105" s="4"/>
      <c r="S105" s="4"/>
      <c r="T105" s="4"/>
      <c r="U105" s="4"/>
      <c r="V105" s="4"/>
      <c r="W105" s="4"/>
      <c r="X105" s="4"/>
      <c r="Y105" s="4"/>
      <c r="Z105" s="4"/>
    </row>
    <row r="106" spans="1:26" ht="15.75" customHeight="1" x14ac:dyDescent="0.25">
      <c r="A106" s="4"/>
      <c r="B106" s="126"/>
      <c r="C106" s="54"/>
      <c r="D106" s="77"/>
      <c r="E106" s="54"/>
      <c r="F106" s="53"/>
      <c r="G106" s="54"/>
      <c r="H106" s="53"/>
      <c r="I106" s="54"/>
      <c r="J106" s="402"/>
      <c r="K106" s="368"/>
      <c r="L106" s="392"/>
      <c r="M106" s="393"/>
      <c r="N106" s="4"/>
      <c r="O106" s="107"/>
      <c r="P106" s="4"/>
      <c r="Q106" s="4"/>
      <c r="R106" s="4"/>
      <c r="S106" s="4"/>
      <c r="T106" s="4"/>
      <c r="U106" s="4"/>
      <c r="V106" s="4"/>
      <c r="W106" s="4"/>
      <c r="X106" s="4"/>
      <c r="Y106" s="4"/>
      <c r="Z106" s="4"/>
    </row>
    <row r="107" spans="1:26" ht="15.75" customHeight="1" x14ac:dyDescent="0.25">
      <c r="A107" s="4"/>
      <c r="B107" s="126"/>
      <c r="C107" s="367" t="s">
        <v>376</v>
      </c>
      <c r="D107" s="386" t="s">
        <v>377</v>
      </c>
      <c r="E107" s="367" t="s">
        <v>367</v>
      </c>
      <c r="F107" s="368">
        <v>145075</v>
      </c>
      <c r="G107" s="367" t="s">
        <v>354</v>
      </c>
      <c r="H107" s="63">
        <v>139001</v>
      </c>
      <c r="I107" s="367" t="s">
        <v>355</v>
      </c>
      <c r="J107" s="387">
        <v>20165.570075</v>
      </c>
      <c r="K107" s="374">
        <v>1167.5515959444067</v>
      </c>
      <c r="L107" s="394">
        <v>7.3810337159427898E-3</v>
      </c>
      <c r="M107" s="395">
        <v>2.0666894404639813E-2</v>
      </c>
      <c r="N107" s="4"/>
      <c r="O107" s="107" t="s">
        <v>356</v>
      </c>
      <c r="P107" s="4"/>
      <c r="Q107" s="4"/>
      <c r="R107" s="4"/>
      <c r="S107" s="4"/>
      <c r="T107" s="4"/>
      <c r="U107" s="4"/>
      <c r="V107" s="4"/>
      <c r="W107" s="4"/>
      <c r="X107" s="4"/>
      <c r="Y107" s="4"/>
      <c r="Z107" s="4"/>
    </row>
    <row r="108" spans="1:26" ht="15.75" customHeight="1" x14ac:dyDescent="0.25">
      <c r="A108" s="4"/>
      <c r="B108" s="126"/>
      <c r="C108" s="54"/>
      <c r="D108" s="77"/>
      <c r="E108" s="54"/>
      <c r="F108" s="53"/>
      <c r="G108" s="54"/>
      <c r="H108" s="53"/>
      <c r="I108" s="54"/>
      <c r="J108" s="402"/>
      <c r="K108" s="368"/>
      <c r="L108" s="392"/>
      <c r="M108" s="393"/>
      <c r="N108" s="4"/>
      <c r="O108" s="107"/>
      <c r="P108" s="4"/>
      <c r="Q108" s="4"/>
      <c r="R108" s="4"/>
      <c r="S108" s="4"/>
      <c r="T108" s="4"/>
      <c r="U108" s="4"/>
      <c r="V108" s="4"/>
      <c r="W108" s="4"/>
      <c r="X108" s="4"/>
      <c r="Y108" s="4"/>
      <c r="Z108" s="4"/>
    </row>
    <row r="109" spans="1:26" ht="15.75" customHeight="1" x14ac:dyDescent="0.25">
      <c r="A109" s="4"/>
      <c r="B109" s="126"/>
      <c r="C109" s="367" t="s">
        <v>378</v>
      </c>
      <c r="D109" s="386" t="s">
        <v>379</v>
      </c>
      <c r="E109" s="367" t="s">
        <v>367</v>
      </c>
      <c r="F109" s="368">
        <v>209727</v>
      </c>
      <c r="G109" s="367" t="s">
        <v>354</v>
      </c>
      <c r="H109" s="63">
        <v>139001</v>
      </c>
      <c r="I109" s="367" t="s">
        <v>355</v>
      </c>
      <c r="J109" s="387">
        <v>29152.262727000001</v>
      </c>
      <c r="K109" s="374">
        <v>1960.3415059859005</v>
      </c>
      <c r="L109" s="394">
        <v>1.2381211735791457E-2</v>
      </c>
      <c r="M109" s="395">
        <v>3.9568821011292277E-2</v>
      </c>
      <c r="N109" s="4"/>
      <c r="O109" s="107" t="s">
        <v>356</v>
      </c>
      <c r="P109" s="4"/>
      <c r="Q109" s="4"/>
      <c r="R109" s="4"/>
      <c r="S109" s="4"/>
      <c r="T109" s="4"/>
      <c r="U109" s="4"/>
      <c r="V109" s="4"/>
      <c r="W109" s="4"/>
      <c r="X109" s="4"/>
      <c r="Y109" s="4"/>
      <c r="Z109" s="4"/>
    </row>
    <row r="110" spans="1:26" ht="15.75" customHeight="1" x14ac:dyDescent="0.25">
      <c r="A110" s="4"/>
      <c r="B110" s="126"/>
      <c r="C110" s="54"/>
      <c r="D110" s="77"/>
      <c r="E110" s="54"/>
      <c r="F110" s="53"/>
      <c r="G110" s="54"/>
      <c r="H110" s="53"/>
      <c r="I110" s="54"/>
      <c r="J110" s="402"/>
      <c r="K110" s="368"/>
      <c r="L110" s="392"/>
      <c r="M110" s="393"/>
      <c r="N110" s="4"/>
      <c r="O110" s="107"/>
      <c r="P110" s="4"/>
      <c r="Q110" s="4"/>
      <c r="R110" s="4"/>
      <c r="S110" s="4"/>
      <c r="T110" s="4"/>
      <c r="U110" s="4"/>
      <c r="V110" s="4"/>
      <c r="W110" s="4"/>
      <c r="X110" s="4"/>
      <c r="Y110" s="4"/>
      <c r="Z110" s="4"/>
    </row>
    <row r="111" spans="1:26" ht="15.75" customHeight="1" x14ac:dyDescent="0.25">
      <c r="A111" s="4"/>
      <c r="B111" s="126"/>
      <c r="C111" s="54" t="s">
        <v>380</v>
      </c>
      <c r="D111" s="77" t="s">
        <v>381</v>
      </c>
      <c r="E111" s="54" t="s">
        <v>367</v>
      </c>
      <c r="F111" s="372">
        <v>661277</v>
      </c>
      <c r="G111" s="54" t="s">
        <v>354</v>
      </c>
      <c r="H111" s="53">
        <v>139001</v>
      </c>
      <c r="I111" s="54" t="s">
        <v>355</v>
      </c>
      <c r="J111" s="391">
        <v>91918.164277000003</v>
      </c>
      <c r="K111" s="368">
        <v>7510</v>
      </c>
      <c r="L111" s="392">
        <v>0.24</v>
      </c>
      <c r="M111" s="393">
        <v>0.37</v>
      </c>
      <c r="N111" s="4"/>
      <c r="O111" s="107" t="s">
        <v>356</v>
      </c>
      <c r="P111" s="4"/>
      <c r="Q111" s="4"/>
      <c r="R111" s="4"/>
      <c r="S111" s="4"/>
      <c r="T111" s="4"/>
      <c r="U111" s="4"/>
      <c r="V111" s="4"/>
      <c r="W111" s="4"/>
      <c r="X111" s="4"/>
      <c r="Y111" s="4"/>
      <c r="Z111" s="4"/>
    </row>
    <row r="112" spans="1:26" ht="15.75" customHeight="1" x14ac:dyDescent="0.25">
      <c r="A112" s="4"/>
      <c r="B112" s="126"/>
      <c r="C112" s="54" t="s">
        <v>382</v>
      </c>
      <c r="D112" s="77" t="s">
        <v>383</v>
      </c>
      <c r="E112" s="54" t="s">
        <v>367</v>
      </c>
      <c r="F112" s="372">
        <v>761546</v>
      </c>
      <c r="G112" s="54" t="s">
        <v>354</v>
      </c>
      <c r="H112" s="53">
        <v>139001</v>
      </c>
      <c r="I112" s="54" t="s">
        <v>355</v>
      </c>
      <c r="J112" s="391">
        <v>105855.65554599999</v>
      </c>
      <c r="K112" s="368">
        <v>8648</v>
      </c>
      <c r="L112" s="392">
        <v>0.28000000000000003</v>
      </c>
      <c r="M112" s="393">
        <v>0.42</v>
      </c>
      <c r="N112" s="4"/>
      <c r="O112" s="107" t="s">
        <v>356</v>
      </c>
      <c r="P112" s="4"/>
      <c r="Q112" s="4"/>
      <c r="R112" s="4"/>
      <c r="S112" s="4"/>
      <c r="T112" s="4"/>
      <c r="U112" s="4"/>
      <c r="V112" s="4"/>
      <c r="W112" s="4"/>
      <c r="X112" s="4"/>
      <c r="Y112" s="4"/>
      <c r="Z112" s="4"/>
    </row>
    <row r="113" spans="1:26" ht="15.75" customHeight="1" x14ac:dyDescent="0.25">
      <c r="A113" s="4"/>
      <c r="B113" s="126"/>
      <c r="C113" s="54" t="s">
        <v>384</v>
      </c>
      <c r="D113" s="77" t="s">
        <v>385</v>
      </c>
      <c r="E113" s="54" t="s">
        <v>367</v>
      </c>
      <c r="F113" s="372">
        <v>390</v>
      </c>
      <c r="G113" s="54" t="s">
        <v>354</v>
      </c>
      <c r="H113" s="53">
        <v>139001</v>
      </c>
      <c r="I113" s="54" t="s">
        <v>355</v>
      </c>
      <c r="J113" s="391">
        <v>54.210389999999997</v>
      </c>
      <c r="K113" s="368">
        <v>4</v>
      </c>
      <c r="L113" s="413">
        <v>1.3999999999999999E-4</v>
      </c>
      <c r="M113" s="414">
        <v>2.2000000000000001E-4</v>
      </c>
      <c r="N113" s="4"/>
      <c r="O113" s="107" t="s">
        <v>356</v>
      </c>
      <c r="P113" s="4"/>
      <c r="Q113" s="4"/>
      <c r="R113" s="4"/>
      <c r="S113" s="4"/>
      <c r="T113" s="4"/>
      <c r="U113" s="4"/>
      <c r="V113" s="4"/>
      <c r="W113" s="4"/>
      <c r="X113" s="4"/>
      <c r="Y113" s="4"/>
      <c r="Z113" s="4"/>
    </row>
    <row r="114" spans="1:26" ht="15.75" customHeight="1" x14ac:dyDescent="0.25">
      <c r="A114" s="4"/>
      <c r="B114" s="396"/>
      <c r="C114" s="68"/>
      <c r="D114" s="68"/>
      <c r="E114" s="68"/>
      <c r="F114" s="202"/>
      <c r="G114" s="68"/>
      <c r="H114" s="202"/>
      <c r="I114" s="68"/>
      <c r="J114" s="415"/>
      <c r="K114" s="416"/>
      <c r="L114" s="400"/>
      <c r="M114" s="401"/>
      <c r="N114" s="4"/>
      <c r="O114" s="107"/>
      <c r="P114" s="4"/>
      <c r="Q114" s="4"/>
      <c r="R114" s="4"/>
      <c r="S114" s="4"/>
      <c r="T114" s="4"/>
      <c r="U114" s="4"/>
      <c r="V114" s="4"/>
      <c r="W114" s="4"/>
      <c r="X114" s="4"/>
      <c r="Y114" s="4"/>
      <c r="Z114" s="4"/>
    </row>
    <row r="115" spans="1:26" ht="15.75" customHeight="1" x14ac:dyDescent="0.25">
      <c r="A115" s="4"/>
      <c r="B115" s="143"/>
      <c r="C115" s="86"/>
      <c r="D115" s="86"/>
      <c r="E115" s="86"/>
      <c r="F115" s="206"/>
      <c r="G115" s="86"/>
      <c r="H115" s="206"/>
      <c r="I115" s="86"/>
      <c r="J115" s="381"/>
      <c r="K115" s="360"/>
      <c r="L115" s="382"/>
      <c r="M115" s="383"/>
      <c r="N115" s="4"/>
      <c r="O115" s="107"/>
      <c r="P115" s="4"/>
      <c r="Q115" s="4"/>
      <c r="R115" s="4"/>
      <c r="S115" s="4"/>
      <c r="T115" s="4"/>
      <c r="U115" s="4"/>
      <c r="V115" s="4"/>
      <c r="W115" s="4"/>
      <c r="X115" s="4"/>
      <c r="Y115" s="4"/>
      <c r="Z115" s="4"/>
    </row>
    <row r="116" spans="1:26" ht="15.75" customHeight="1" x14ac:dyDescent="0.25">
      <c r="A116" s="4"/>
      <c r="B116" s="362" t="s">
        <v>386</v>
      </c>
      <c r="C116" s="46" t="s">
        <v>387</v>
      </c>
      <c r="D116" s="45"/>
      <c r="E116" s="45"/>
      <c r="F116" s="363"/>
      <c r="G116" s="45"/>
      <c r="H116" s="363"/>
      <c r="I116" s="45"/>
      <c r="J116" s="410"/>
      <c r="K116" s="365"/>
      <c r="L116" s="384"/>
      <c r="M116" s="385"/>
      <c r="N116" s="4"/>
      <c r="O116" s="107"/>
      <c r="P116" s="4"/>
      <c r="Q116" s="4"/>
      <c r="R116" s="4"/>
      <c r="S116" s="4"/>
      <c r="T116" s="4"/>
      <c r="U116" s="4"/>
      <c r="V116" s="4"/>
      <c r="W116" s="4"/>
      <c r="X116" s="4"/>
      <c r="Y116" s="4"/>
      <c r="Z116" s="4"/>
    </row>
    <row r="117" spans="1:26" ht="15.75" customHeight="1" x14ac:dyDescent="0.25">
      <c r="A117" s="4"/>
      <c r="B117" s="126"/>
      <c r="C117" s="367" t="s">
        <v>388</v>
      </c>
      <c r="D117" s="367" t="s">
        <v>389</v>
      </c>
      <c r="E117" s="367" t="s">
        <v>367</v>
      </c>
      <c r="F117" s="368">
        <v>148903</v>
      </c>
      <c r="G117" s="367" t="s">
        <v>354</v>
      </c>
      <c r="H117" s="63">
        <v>138464</v>
      </c>
      <c r="I117" s="367" t="s">
        <v>355</v>
      </c>
      <c r="J117" s="387">
        <v>20617.704991999999</v>
      </c>
      <c r="K117" s="194">
        <v>1208.7965920985203</v>
      </c>
      <c r="L117" s="370">
        <v>1.9890445045749772E-2</v>
      </c>
      <c r="M117" s="371">
        <v>3.9780890091499543E-2</v>
      </c>
      <c r="N117" s="4"/>
      <c r="O117" s="107" t="s">
        <v>356</v>
      </c>
      <c r="P117" s="4"/>
      <c r="Q117" s="4"/>
      <c r="R117" s="4"/>
      <c r="S117" s="4"/>
      <c r="T117" s="4"/>
      <c r="U117" s="4"/>
      <c r="V117" s="4"/>
      <c r="W117" s="4"/>
      <c r="X117" s="4"/>
      <c r="Y117" s="4"/>
      <c r="Z117" s="4"/>
    </row>
    <row r="118" spans="1:26" ht="15.75" customHeight="1" x14ac:dyDescent="0.25">
      <c r="A118" s="4"/>
      <c r="B118" s="396"/>
      <c r="C118" s="68"/>
      <c r="D118" s="68"/>
      <c r="E118" s="68"/>
      <c r="F118" s="202"/>
      <c r="G118" s="68"/>
      <c r="H118" s="202"/>
      <c r="I118" s="68"/>
      <c r="J118" s="407"/>
      <c r="K118" s="399"/>
      <c r="L118" s="400"/>
      <c r="M118" s="401"/>
      <c r="N118" s="4"/>
      <c r="O118" s="107"/>
      <c r="P118" s="4"/>
      <c r="Q118" s="4"/>
      <c r="R118" s="4"/>
      <c r="S118" s="4"/>
      <c r="T118" s="4"/>
      <c r="U118" s="4"/>
      <c r="V118" s="4"/>
      <c r="W118" s="4"/>
      <c r="X118" s="4"/>
      <c r="Y118" s="4"/>
      <c r="Z118" s="4"/>
    </row>
    <row r="119" spans="1:26" ht="15.75" customHeight="1" x14ac:dyDescent="0.25">
      <c r="A119" s="4"/>
      <c r="B119" s="362" t="s">
        <v>314</v>
      </c>
      <c r="C119" s="46" t="s">
        <v>315</v>
      </c>
      <c r="D119" s="45"/>
      <c r="E119" s="45"/>
      <c r="F119" s="363"/>
      <c r="G119" s="45"/>
      <c r="H119" s="363"/>
      <c r="I119" s="45"/>
      <c r="J119" s="410"/>
      <c r="K119" s="365"/>
      <c r="L119" s="384"/>
      <c r="M119" s="385"/>
      <c r="N119" s="4"/>
      <c r="O119" s="107"/>
      <c r="P119" s="4"/>
      <c r="Q119" s="4"/>
      <c r="R119" s="4"/>
      <c r="S119" s="4"/>
      <c r="T119" s="4"/>
      <c r="U119" s="4"/>
      <c r="V119" s="4"/>
      <c r="W119" s="4"/>
      <c r="X119" s="4"/>
      <c r="Y119" s="4"/>
      <c r="Z119" s="4"/>
    </row>
    <row r="120" spans="1:26" ht="15.75" customHeight="1" x14ac:dyDescent="0.25">
      <c r="A120" s="4"/>
      <c r="B120" s="126"/>
      <c r="C120" s="54"/>
      <c r="D120" s="54"/>
      <c r="E120" s="54"/>
      <c r="F120" s="53"/>
      <c r="G120" s="54"/>
      <c r="H120" s="53"/>
      <c r="I120" s="54"/>
      <c r="J120" s="417"/>
      <c r="K120" s="374"/>
      <c r="L120" s="375"/>
      <c r="M120" s="376"/>
      <c r="N120" s="4"/>
      <c r="O120" s="107"/>
      <c r="P120" s="4"/>
      <c r="Q120" s="4"/>
      <c r="R120" s="4"/>
      <c r="S120" s="4"/>
      <c r="T120" s="4"/>
      <c r="U120" s="4"/>
      <c r="V120" s="4"/>
      <c r="W120" s="4"/>
      <c r="X120" s="4"/>
      <c r="Y120" s="4"/>
      <c r="Z120" s="4"/>
    </row>
    <row r="121" spans="1:26" ht="15.75" customHeight="1" x14ac:dyDescent="0.25">
      <c r="A121" s="4"/>
      <c r="B121" s="396"/>
      <c r="C121" s="68" t="s">
        <v>390</v>
      </c>
      <c r="D121" s="68" t="s">
        <v>391</v>
      </c>
      <c r="E121" s="68" t="s">
        <v>392</v>
      </c>
      <c r="F121" s="406">
        <v>44000</v>
      </c>
      <c r="G121" s="68" t="s">
        <v>354</v>
      </c>
      <c r="H121" s="202">
        <v>139</v>
      </c>
      <c r="I121" s="68" t="s">
        <v>393</v>
      </c>
      <c r="J121" s="418">
        <v>6116</v>
      </c>
      <c r="K121" s="399">
        <v>478.5</v>
      </c>
      <c r="L121" s="419">
        <v>0</v>
      </c>
      <c r="M121" s="409">
        <v>0.01</v>
      </c>
      <c r="N121" s="4"/>
      <c r="O121" s="107" t="s">
        <v>356</v>
      </c>
      <c r="P121" s="4"/>
      <c r="Q121" s="4"/>
      <c r="R121" s="4"/>
      <c r="S121" s="4"/>
      <c r="T121" s="4"/>
      <c r="U121" s="4"/>
      <c r="V121" s="4"/>
      <c r="W121" s="4"/>
      <c r="X121" s="4"/>
      <c r="Y121" s="4"/>
      <c r="Z121" s="4"/>
    </row>
    <row r="122" spans="1:26" ht="15.75" customHeight="1" x14ac:dyDescent="0.25">
      <c r="A122" s="4"/>
      <c r="B122" s="362" t="s">
        <v>394</v>
      </c>
      <c r="C122" s="46" t="s">
        <v>395</v>
      </c>
      <c r="D122" s="45"/>
      <c r="E122" s="45"/>
      <c r="F122" s="363"/>
      <c r="G122" s="45"/>
      <c r="H122" s="363"/>
      <c r="I122" s="45"/>
      <c r="J122" s="410"/>
      <c r="K122" s="365"/>
      <c r="L122" s="384"/>
      <c r="M122" s="385"/>
      <c r="N122" s="4"/>
      <c r="O122" s="107"/>
      <c r="P122" s="4"/>
      <c r="Q122" s="4"/>
      <c r="R122" s="4"/>
      <c r="S122" s="4"/>
      <c r="T122" s="4"/>
      <c r="U122" s="4"/>
      <c r="V122" s="4"/>
      <c r="W122" s="4"/>
      <c r="X122" s="4"/>
      <c r="Y122" s="4"/>
      <c r="Z122" s="4"/>
    </row>
    <row r="123" spans="1:26" ht="15.75" customHeight="1" x14ac:dyDescent="0.25">
      <c r="A123" s="4"/>
      <c r="B123" s="126"/>
      <c r="C123" s="367" t="s">
        <v>396</v>
      </c>
      <c r="D123" s="367" t="s">
        <v>397</v>
      </c>
      <c r="E123" s="367" t="s">
        <v>392</v>
      </c>
      <c r="F123" s="368">
        <v>1512000</v>
      </c>
      <c r="G123" s="367" t="s">
        <v>354</v>
      </c>
      <c r="H123" s="63">
        <v>138</v>
      </c>
      <c r="I123" s="367" t="s">
        <v>393</v>
      </c>
      <c r="J123" s="420">
        <v>208656</v>
      </c>
      <c r="K123" s="374">
        <v>13718.601982468434</v>
      </c>
      <c r="L123" s="394">
        <v>0.64750574504260394</v>
      </c>
      <c r="M123" s="395">
        <v>0.2726339979126754</v>
      </c>
      <c r="N123" s="4"/>
      <c r="O123" s="107" t="s">
        <v>356</v>
      </c>
      <c r="P123" s="4"/>
      <c r="Q123" s="4"/>
      <c r="R123" s="4"/>
      <c r="S123" s="4"/>
      <c r="T123" s="4"/>
      <c r="U123" s="4"/>
      <c r="V123" s="4"/>
      <c r="W123" s="4"/>
      <c r="X123" s="4"/>
      <c r="Y123" s="4"/>
      <c r="Z123" s="4"/>
    </row>
    <row r="124" spans="1:26" ht="15.75" customHeight="1" x14ac:dyDescent="0.25">
      <c r="A124" s="4"/>
      <c r="B124" s="126"/>
      <c r="C124" s="54"/>
      <c r="D124" s="54"/>
      <c r="E124" s="54"/>
      <c r="F124" s="372"/>
      <c r="G124" s="54"/>
      <c r="H124" s="53"/>
      <c r="I124" s="54"/>
      <c r="J124" s="391"/>
      <c r="K124" s="368"/>
      <c r="L124" s="392"/>
      <c r="M124" s="393"/>
      <c r="N124" s="4"/>
      <c r="O124" s="107"/>
      <c r="P124" s="4"/>
      <c r="Q124" s="4"/>
      <c r="R124" s="4"/>
      <c r="S124" s="4"/>
      <c r="T124" s="4"/>
      <c r="U124" s="4"/>
      <c r="V124" s="4"/>
      <c r="W124" s="4"/>
      <c r="X124" s="4"/>
      <c r="Y124" s="4"/>
      <c r="Z124" s="4"/>
    </row>
    <row r="125" spans="1:26" ht="15.75" customHeight="1" x14ac:dyDescent="0.25">
      <c r="A125" s="4"/>
      <c r="B125" s="126"/>
      <c r="C125" s="54"/>
      <c r="D125" s="54"/>
      <c r="E125" s="54"/>
      <c r="F125" s="372"/>
      <c r="G125" s="54"/>
      <c r="H125" s="53"/>
      <c r="I125" s="54"/>
      <c r="J125" s="404"/>
      <c r="K125" s="368"/>
      <c r="L125" s="392"/>
      <c r="M125" s="393"/>
      <c r="N125" s="4"/>
      <c r="O125" s="107"/>
      <c r="P125" s="4"/>
      <c r="Q125" s="4"/>
      <c r="R125" s="4"/>
      <c r="S125" s="4"/>
      <c r="T125" s="4"/>
      <c r="U125" s="4"/>
      <c r="V125" s="4"/>
      <c r="W125" s="4"/>
      <c r="X125" s="4"/>
      <c r="Y125" s="4"/>
      <c r="Z125" s="4"/>
    </row>
    <row r="126" spans="1:26" ht="15.75" customHeight="1" x14ac:dyDescent="0.25">
      <c r="A126" s="4"/>
      <c r="B126" s="126"/>
      <c r="C126" s="54" t="s">
        <v>398</v>
      </c>
      <c r="D126" s="421" t="s">
        <v>399</v>
      </c>
      <c r="E126" s="54" t="s">
        <v>392</v>
      </c>
      <c r="F126" s="372">
        <v>533000</v>
      </c>
      <c r="G126" s="54" t="s">
        <v>354</v>
      </c>
      <c r="H126" s="53">
        <v>138</v>
      </c>
      <c r="I126" s="54" t="s">
        <v>393</v>
      </c>
      <c r="J126" s="391">
        <v>73554</v>
      </c>
      <c r="K126" s="368">
        <v>5773</v>
      </c>
      <c r="L126" s="392">
        <v>0.06</v>
      </c>
      <c r="M126" s="393">
        <v>7.0000000000000007E-2</v>
      </c>
      <c r="N126" s="4"/>
      <c r="O126" s="107" t="s">
        <v>356</v>
      </c>
      <c r="P126" s="4"/>
      <c r="Q126" s="4"/>
      <c r="R126" s="4"/>
      <c r="S126" s="4"/>
      <c r="T126" s="4"/>
      <c r="U126" s="4"/>
      <c r="V126" s="4"/>
      <c r="W126" s="4"/>
      <c r="X126" s="4"/>
      <c r="Y126" s="4"/>
      <c r="Z126" s="4"/>
    </row>
    <row r="127" spans="1:26" ht="15.75" customHeight="1" x14ac:dyDescent="0.25">
      <c r="A127" s="4"/>
      <c r="B127" s="126"/>
      <c r="C127" s="54"/>
      <c r="D127" s="54"/>
      <c r="E127" s="54"/>
      <c r="F127" s="372"/>
      <c r="G127" s="54"/>
      <c r="H127" s="53"/>
      <c r="I127" s="54"/>
      <c r="J127" s="404"/>
      <c r="K127" s="368"/>
      <c r="L127" s="392"/>
      <c r="M127" s="393"/>
      <c r="N127" s="4"/>
      <c r="O127" s="107"/>
      <c r="P127" s="4"/>
      <c r="Q127" s="4"/>
      <c r="R127" s="4"/>
      <c r="S127" s="4"/>
      <c r="T127" s="4"/>
      <c r="U127" s="4"/>
      <c r="V127" s="4"/>
      <c r="W127" s="4"/>
      <c r="X127" s="4"/>
      <c r="Y127" s="4"/>
      <c r="Z127" s="4"/>
    </row>
    <row r="128" spans="1:26" ht="15.75" customHeight="1" x14ac:dyDescent="0.25">
      <c r="A128" s="4"/>
      <c r="B128" s="126"/>
      <c r="C128" s="54" t="s">
        <v>400</v>
      </c>
      <c r="D128" s="421" t="s">
        <v>401</v>
      </c>
      <c r="E128" s="54" t="s">
        <v>392</v>
      </c>
      <c r="F128" s="372">
        <v>517000</v>
      </c>
      <c r="G128" s="54" t="s">
        <v>354</v>
      </c>
      <c r="H128" s="53">
        <v>138</v>
      </c>
      <c r="I128" s="54" t="s">
        <v>393</v>
      </c>
      <c r="J128" s="391">
        <v>71346</v>
      </c>
      <c r="K128" s="368">
        <v>5603</v>
      </c>
      <c r="L128" s="392">
        <v>0.06</v>
      </c>
      <c r="M128" s="393">
        <v>7.0000000000000007E-2</v>
      </c>
      <c r="N128" s="4"/>
      <c r="O128" s="107" t="s">
        <v>356</v>
      </c>
      <c r="P128" s="4"/>
      <c r="Q128" s="4"/>
      <c r="R128" s="4"/>
      <c r="S128" s="4"/>
      <c r="T128" s="4"/>
      <c r="U128" s="4"/>
      <c r="V128" s="4"/>
      <c r="W128" s="4"/>
      <c r="X128" s="4"/>
      <c r="Y128" s="4"/>
      <c r="Z128" s="4"/>
    </row>
    <row r="129" spans="1:26" ht="15.75" customHeight="1" x14ac:dyDescent="0.25">
      <c r="A129" s="4"/>
      <c r="B129" s="126"/>
      <c r="C129" s="54"/>
      <c r="D129" s="54"/>
      <c r="E129" s="54"/>
      <c r="F129" s="372"/>
      <c r="G129" s="54"/>
      <c r="H129" s="53"/>
      <c r="I129" s="54"/>
      <c r="J129" s="404"/>
      <c r="K129" s="368"/>
      <c r="L129" s="392"/>
      <c r="M129" s="393"/>
      <c r="N129" s="4"/>
      <c r="O129" s="107"/>
      <c r="P129" s="4"/>
      <c r="Q129" s="4"/>
      <c r="R129" s="4"/>
      <c r="S129" s="4"/>
      <c r="T129" s="4"/>
      <c r="U129" s="4"/>
      <c r="V129" s="4"/>
      <c r="W129" s="4"/>
      <c r="X129" s="4"/>
      <c r="Y129" s="4"/>
      <c r="Z129" s="4"/>
    </row>
    <row r="130" spans="1:26" ht="15.75" customHeight="1" x14ac:dyDescent="0.25">
      <c r="A130" s="4"/>
      <c r="B130" s="126"/>
      <c r="C130" s="54" t="s">
        <v>402</v>
      </c>
      <c r="D130" s="421" t="s">
        <v>403</v>
      </c>
      <c r="E130" s="54" t="s">
        <v>392</v>
      </c>
      <c r="F130" s="372">
        <v>611000</v>
      </c>
      <c r="G130" s="54" t="s">
        <v>354</v>
      </c>
      <c r="H130" s="53">
        <v>138</v>
      </c>
      <c r="I130" s="54" t="s">
        <v>393</v>
      </c>
      <c r="J130" s="391">
        <v>84318</v>
      </c>
      <c r="K130" s="368">
        <v>6619</v>
      </c>
      <c r="L130" s="392">
        <v>7.0000000000000007E-2</v>
      </c>
      <c r="M130" s="393">
        <v>0.08</v>
      </c>
      <c r="N130" s="4"/>
      <c r="O130" s="107" t="s">
        <v>356</v>
      </c>
      <c r="P130" s="4"/>
      <c r="Q130" s="4"/>
      <c r="R130" s="4"/>
      <c r="S130" s="4"/>
      <c r="T130" s="4"/>
      <c r="U130" s="4"/>
      <c r="V130" s="4"/>
      <c r="W130" s="4"/>
      <c r="X130" s="4"/>
      <c r="Y130" s="4"/>
      <c r="Z130" s="4"/>
    </row>
    <row r="131" spans="1:26" ht="15.75" customHeight="1" x14ac:dyDescent="0.25">
      <c r="A131" s="4"/>
      <c r="B131" s="126"/>
      <c r="C131" s="54"/>
      <c r="D131" s="54"/>
      <c r="E131" s="54"/>
      <c r="F131" s="372"/>
      <c r="G131" s="54"/>
      <c r="H131" s="53"/>
      <c r="I131" s="54"/>
      <c r="J131" s="404"/>
      <c r="K131" s="368"/>
      <c r="L131" s="392"/>
      <c r="M131" s="393"/>
      <c r="N131" s="4"/>
      <c r="O131" s="107"/>
      <c r="P131" s="4"/>
      <c r="Q131" s="4"/>
      <c r="R131" s="4"/>
      <c r="S131" s="4"/>
      <c r="T131" s="4"/>
      <c r="U131" s="4"/>
      <c r="V131" s="4"/>
      <c r="W131" s="4"/>
      <c r="X131" s="4"/>
      <c r="Y131" s="4"/>
      <c r="Z131" s="4"/>
    </row>
    <row r="132" spans="1:26" ht="15.75" customHeight="1" x14ac:dyDescent="0.25">
      <c r="A132" s="4"/>
      <c r="B132" s="396"/>
      <c r="C132" s="68" t="s">
        <v>404</v>
      </c>
      <c r="D132" s="97" t="s">
        <v>405</v>
      </c>
      <c r="E132" s="68" t="s">
        <v>392</v>
      </c>
      <c r="F132" s="406">
        <v>232000</v>
      </c>
      <c r="G132" s="68" t="s">
        <v>354</v>
      </c>
      <c r="H132" s="202">
        <v>138</v>
      </c>
      <c r="I132" s="68" t="s">
        <v>393</v>
      </c>
      <c r="J132" s="398">
        <v>32016</v>
      </c>
      <c r="K132" s="416">
        <v>2509</v>
      </c>
      <c r="L132" s="400">
        <v>0.03</v>
      </c>
      <c r="M132" s="401">
        <v>0.03</v>
      </c>
      <c r="N132" s="4"/>
      <c r="O132" s="107" t="s">
        <v>356</v>
      </c>
      <c r="P132" s="4"/>
      <c r="Q132" s="4"/>
      <c r="R132" s="4"/>
      <c r="S132" s="4"/>
      <c r="T132" s="4"/>
      <c r="U132" s="4"/>
      <c r="V132" s="4"/>
      <c r="W132" s="4"/>
      <c r="X132" s="4"/>
      <c r="Y132" s="4"/>
      <c r="Z132" s="4"/>
    </row>
    <row r="133" spans="1:26" ht="15.75" customHeight="1" x14ac:dyDescent="0.25">
      <c r="A133" s="4"/>
      <c r="B133" s="143"/>
      <c r="C133" s="86"/>
      <c r="D133" s="86"/>
      <c r="E133" s="86"/>
      <c r="F133" s="206"/>
      <c r="G133" s="86"/>
      <c r="H133" s="206"/>
      <c r="I133" s="86"/>
      <c r="J133" s="381"/>
      <c r="K133" s="360"/>
      <c r="L133" s="382"/>
      <c r="M133" s="383"/>
      <c r="N133" s="4"/>
      <c r="O133" s="107"/>
      <c r="P133" s="4"/>
      <c r="Q133" s="4"/>
      <c r="R133" s="4"/>
      <c r="S133" s="4"/>
      <c r="T133" s="4"/>
      <c r="U133" s="4"/>
      <c r="V133" s="4"/>
      <c r="W133" s="4"/>
      <c r="X133" s="4"/>
      <c r="Y133" s="4"/>
      <c r="Z133" s="4"/>
    </row>
    <row r="134" spans="1:26" ht="15.75" customHeight="1" x14ac:dyDescent="0.25">
      <c r="A134" s="4"/>
      <c r="B134" s="362" t="s">
        <v>320</v>
      </c>
      <c r="C134" s="46" t="s">
        <v>321</v>
      </c>
      <c r="D134" s="45"/>
      <c r="E134" s="45"/>
      <c r="F134" s="363"/>
      <c r="G134" s="45"/>
      <c r="H134" s="363"/>
      <c r="I134" s="45"/>
      <c r="J134" s="364"/>
      <c r="K134" s="365"/>
      <c r="L134" s="384"/>
      <c r="M134" s="385"/>
      <c r="N134" s="4"/>
      <c r="O134" s="107"/>
      <c r="P134" s="4"/>
      <c r="Q134" s="4"/>
      <c r="R134" s="4"/>
      <c r="S134" s="4"/>
      <c r="T134" s="4"/>
      <c r="U134" s="4"/>
      <c r="V134" s="4"/>
      <c r="W134" s="4"/>
      <c r="X134" s="4"/>
      <c r="Y134" s="4"/>
      <c r="Z134" s="4"/>
    </row>
    <row r="135" spans="1:26" ht="15.75" customHeight="1" x14ac:dyDescent="0.25">
      <c r="A135" s="4"/>
      <c r="B135" s="126"/>
      <c r="C135" s="367" t="s">
        <v>322</v>
      </c>
      <c r="D135" s="367" t="s">
        <v>323</v>
      </c>
      <c r="E135" s="367" t="s">
        <v>406</v>
      </c>
      <c r="F135" s="368">
        <v>43079</v>
      </c>
      <c r="G135" s="367" t="s">
        <v>354</v>
      </c>
      <c r="H135" s="63">
        <v>141000</v>
      </c>
      <c r="I135" s="367" t="s">
        <v>407</v>
      </c>
      <c r="J135" s="422">
        <v>6074.1390000000001</v>
      </c>
      <c r="K135" s="374">
        <v>726.18253604675374</v>
      </c>
      <c r="L135" s="394">
        <v>3.7958420158212E-3</v>
      </c>
      <c r="M135" s="395">
        <v>3.7958420158212E-3</v>
      </c>
      <c r="N135" s="4"/>
      <c r="O135" s="107" t="s">
        <v>356</v>
      </c>
      <c r="P135" s="4"/>
      <c r="Q135" s="4"/>
      <c r="R135" s="4"/>
      <c r="S135" s="4"/>
      <c r="T135" s="4"/>
      <c r="U135" s="4"/>
      <c r="V135" s="4"/>
      <c r="W135" s="4"/>
      <c r="X135" s="4"/>
      <c r="Y135" s="4"/>
      <c r="Z135" s="4"/>
    </row>
    <row r="136" spans="1:26" ht="15.75" customHeight="1" x14ac:dyDescent="0.25">
      <c r="A136" s="4"/>
      <c r="B136" s="126"/>
      <c r="C136" s="54"/>
      <c r="D136" s="54"/>
      <c r="E136" s="423"/>
      <c r="F136" s="372"/>
      <c r="G136" s="423"/>
      <c r="H136" s="53"/>
      <c r="I136" s="423"/>
      <c r="J136" s="391"/>
      <c r="K136" s="368"/>
      <c r="L136" s="392"/>
      <c r="M136" s="393"/>
      <c r="N136" s="4"/>
      <c r="O136" s="107"/>
      <c r="P136" s="4"/>
      <c r="Q136" s="4"/>
      <c r="R136" s="4"/>
      <c r="S136" s="4"/>
      <c r="T136" s="4"/>
      <c r="U136" s="4"/>
      <c r="V136" s="4"/>
      <c r="W136" s="4"/>
      <c r="X136" s="4"/>
      <c r="Y136" s="4"/>
      <c r="Z136" s="4"/>
    </row>
    <row r="137" spans="1:26" ht="15.75" customHeight="1" x14ac:dyDescent="0.25">
      <c r="A137" s="4"/>
      <c r="B137" s="126"/>
      <c r="C137" s="367" t="s">
        <v>324</v>
      </c>
      <c r="D137" s="367" t="s">
        <v>325</v>
      </c>
      <c r="E137" s="367" t="s">
        <v>406</v>
      </c>
      <c r="F137" s="368">
        <v>111914</v>
      </c>
      <c r="G137" s="367" t="s">
        <v>354</v>
      </c>
      <c r="H137" s="63">
        <v>141000</v>
      </c>
      <c r="I137" s="367" t="s">
        <v>407</v>
      </c>
      <c r="J137" s="387">
        <v>15779.874</v>
      </c>
      <c r="K137" s="374">
        <v>1562.7739686393236</v>
      </c>
      <c r="L137" s="394">
        <v>1.4047564297480409E-2</v>
      </c>
      <c r="M137" s="395">
        <v>2.8095128594960817E-2</v>
      </c>
      <c r="N137" s="4"/>
      <c r="O137" s="107" t="s">
        <v>356</v>
      </c>
      <c r="P137" s="4"/>
      <c r="Q137" s="4"/>
      <c r="R137" s="4"/>
      <c r="S137" s="4"/>
      <c r="T137" s="4"/>
      <c r="U137" s="4"/>
      <c r="V137" s="4"/>
      <c r="W137" s="4"/>
      <c r="X137" s="4"/>
      <c r="Y137" s="4"/>
      <c r="Z137" s="4"/>
    </row>
    <row r="138" spans="1:26" ht="15.75" customHeight="1" x14ac:dyDescent="0.25">
      <c r="A138" s="4"/>
      <c r="B138" s="143"/>
      <c r="C138" s="86"/>
      <c r="D138" s="86"/>
      <c r="E138" s="86"/>
      <c r="F138" s="424"/>
      <c r="G138" s="86"/>
      <c r="H138" s="206"/>
      <c r="I138" s="86"/>
      <c r="J138" s="425"/>
      <c r="K138" s="426"/>
      <c r="L138" s="382"/>
      <c r="M138" s="383"/>
      <c r="N138" s="4"/>
      <c r="O138" s="107"/>
      <c r="P138" s="4"/>
      <c r="Q138" s="4"/>
      <c r="R138" s="4"/>
      <c r="S138" s="4"/>
      <c r="T138" s="4"/>
      <c r="U138" s="4"/>
      <c r="V138" s="4"/>
      <c r="W138" s="4"/>
      <c r="X138" s="4"/>
      <c r="Y138" s="4"/>
      <c r="Z138" s="4"/>
    </row>
    <row r="139" spans="1:26" ht="15.75" customHeight="1" x14ac:dyDescent="0.25">
      <c r="A139" s="4"/>
      <c r="B139" s="362" t="s">
        <v>408</v>
      </c>
      <c r="C139" s="46" t="s">
        <v>409</v>
      </c>
      <c r="D139" s="45"/>
      <c r="E139" s="45"/>
      <c r="F139" s="363"/>
      <c r="G139" s="45"/>
      <c r="H139" s="363"/>
      <c r="I139" s="45"/>
      <c r="J139" s="364"/>
      <c r="K139" s="365"/>
      <c r="L139" s="384"/>
      <c r="M139" s="385"/>
      <c r="N139" s="4"/>
      <c r="O139" s="107"/>
      <c r="P139" s="4"/>
      <c r="Q139" s="4"/>
      <c r="R139" s="4"/>
      <c r="S139" s="4"/>
      <c r="T139" s="4"/>
      <c r="U139" s="4"/>
      <c r="V139" s="4"/>
      <c r="W139" s="4"/>
      <c r="X139" s="4"/>
      <c r="Y139" s="4"/>
      <c r="Z139" s="4"/>
    </row>
    <row r="140" spans="1:26" ht="15.75" customHeight="1" x14ac:dyDescent="0.25">
      <c r="A140" s="4"/>
      <c r="B140" s="126"/>
      <c r="C140" s="54"/>
      <c r="D140" s="54"/>
      <c r="E140" s="423"/>
      <c r="F140" s="53"/>
      <c r="G140" s="423"/>
      <c r="H140" s="53"/>
      <c r="I140" s="423"/>
      <c r="J140" s="404"/>
      <c r="K140" s="368"/>
      <c r="L140" s="405"/>
      <c r="M140" s="393"/>
      <c r="N140" s="4"/>
      <c r="O140" s="107"/>
      <c r="P140" s="4"/>
      <c r="Q140" s="4"/>
      <c r="R140" s="4"/>
      <c r="S140" s="4"/>
      <c r="T140" s="4"/>
      <c r="U140" s="4"/>
      <c r="V140" s="4"/>
      <c r="W140" s="4"/>
      <c r="X140" s="4"/>
      <c r="Y140" s="4"/>
      <c r="Z140" s="4"/>
    </row>
    <row r="141" spans="1:26" ht="15.75" customHeight="1" x14ac:dyDescent="0.25">
      <c r="A141" s="4"/>
      <c r="B141" s="126"/>
      <c r="C141" s="54" t="s">
        <v>410</v>
      </c>
      <c r="D141" s="54" t="s">
        <v>411</v>
      </c>
      <c r="E141" s="54" t="s">
        <v>406</v>
      </c>
      <c r="F141" s="372">
        <v>97000</v>
      </c>
      <c r="G141" s="54" t="s">
        <v>354</v>
      </c>
      <c r="H141" s="53">
        <v>139</v>
      </c>
      <c r="I141" s="423" t="s">
        <v>393</v>
      </c>
      <c r="J141" s="402">
        <v>13483</v>
      </c>
      <c r="K141" s="374">
        <v>1060</v>
      </c>
      <c r="L141" s="403">
        <v>0.01</v>
      </c>
      <c r="M141" s="376">
        <v>0.01</v>
      </c>
      <c r="N141" s="4"/>
      <c r="O141" s="107" t="s">
        <v>356</v>
      </c>
      <c r="P141" s="4"/>
      <c r="Q141" s="4"/>
      <c r="R141" s="4"/>
      <c r="S141" s="4"/>
      <c r="T141" s="4"/>
      <c r="U141" s="4"/>
      <c r="V141" s="4"/>
      <c r="W141" s="4"/>
      <c r="X141" s="4"/>
      <c r="Y141" s="4"/>
      <c r="Z141" s="4"/>
    </row>
    <row r="142" spans="1:26" ht="15.75" customHeight="1" x14ac:dyDescent="0.25">
      <c r="A142" s="4"/>
      <c r="B142" s="126"/>
      <c r="C142" s="54"/>
      <c r="D142" s="54"/>
      <c r="E142" s="423"/>
      <c r="F142" s="53"/>
      <c r="G142" s="423"/>
      <c r="H142" s="53"/>
      <c r="I142" s="423"/>
      <c r="J142" s="404"/>
      <c r="K142" s="368"/>
      <c r="L142" s="405"/>
      <c r="M142" s="393"/>
      <c r="N142" s="4"/>
      <c r="O142" s="107"/>
      <c r="P142" s="4"/>
      <c r="Q142" s="4"/>
      <c r="R142" s="4"/>
      <c r="S142" s="4"/>
      <c r="T142" s="4"/>
      <c r="U142" s="4"/>
      <c r="V142" s="4"/>
      <c r="W142" s="4"/>
      <c r="X142" s="4"/>
      <c r="Y142" s="4"/>
      <c r="Z142" s="4"/>
    </row>
    <row r="143" spans="1:26" ht="15.75" customHeight="1" x14ac:dyDescent="0.25">
      <c r="A143" s="4"/>
      <c r="B143" s="396"/>
      <c r="C143" s="68" t="s">
        <v>412</v>
      </c>
      <c r="D143" s="68" t="s">
        <v>413</v>
      </c>
      <c r="E143" s="68" t="s">
        <v>406</v>
      </c>
      <c r="F143" s="406">
        <v>105000</v>
      </c>
      <c r="G143" s="68" t="s">
        <v>354</v>
      </c>
      <c r="H143" s="202">
        <v>139</v>
      </c>
      <c r="I143" s="427" t="s">
        <v>393</v>
      </c>
      <c r="J143" s="407">
        <v>14595</v>
      </c>
      <c r="K143" s="399">
        <v>1150</v>
      </c>
      <c r="L143" s="408">
        <v>1.0999999999999999E-2</v>
      </c>
      <c r="M143" s="409">
        <v>0.01</v>
      </c>
      <c r="N143" s="4"/>
      <c r="O143" s="107" t="s">
        <v>356</v>
      </c>
      <c r="P143" s="4"/>
      <c r="Q143" s="4"/>
      <c r="R143" s="4"/>
      <c r="S143" s="4"/>
      <c r="T143" s="4"/>
      <c r="U143" s="4"/>
      <c r="V143" s="4"/>
      <c r="W143" s="4"/>
      <c r="X143" s="4"/>
      <c r="Y143" s="4"/>
      <c r="Z143" s="4"/>
    </row>
    <row r="144" spans="1:26" ht="15.75" customHeight="1" x14ac:dyDescent="0.25">
      <c r="A144" s="4"/>
      <c r="B144" s="143"/>
      <c r="C144" s="86"/>
      <c r="D144" s="86"/>
      <c r="E144" s="428"/>
      <c r="F144" s="206"/>
      <c r="G144" s="428"/>
      <c r="H144" s="206"/>
      <c r="I144" s="428"/>
      <c r="J144" s="381"/>
      <c r="K144" s="360"/>
      <c r="L144" s="382"/>
      <c r="M144" s="383"/>
      <c r="N144" s="4"/>
      <c r="O144" s="107"/>
      <c r="P144" s="4"/>
      <c r="Q144" s="4"/>
      <c r="R144" s="4"/>
      <c r="S144" s="4"/>
      <c r="T144" s="4"/>
      <c r="U144" s="4"/>
      <c r="V144" s="4"/>
      <c r="W144" s="4"/>
      <c r="X144" s="4"/>
      <c r="Y144" s="4"/>
      <c r="Z144" s="4"/>
    </row>
    <row r="145" spans="1:26" ht="15.75" customHeight="1" x14ac:dyDescent="0.25">
      <c r="A145" s="4"/>
      <c r="B145" s="143"/>
      <c r="C145" s="86"/>
      <c r="D145" s="86"/>
      <c r="E145" s="428"/>
      <c r="F145" s="206"/>
      <c r="G145" s="428"/>
      <c r="H145" s="206"/>
      <c r="I145" s="428"/>
      <c r="J145" s="381"/>
      <c r="K145" s="360"/>
      <c r="L145" s="382"/>
      <c r="M145" s="383"/>
      <c r="N145" s="4"/>
      <c r="O145" s="107"/>
      <c r="P145" s="4"/>
      <c r="Q145" s="4"/>
      <c r="R145" s="4"/>
      <c r="S145" s="4"/>
      <c r="T145" s="4"/>
      <c r="U145" s="4"/>
      <c r="V145" s="4"/>
      <c r="W145" s="4"/>
      <c r="X145" s="4"/>
      <c r="Y145" s="4"/>
      <c r="Z145" s="4"/>
    </row>
    <row r="146" spans="1:26" ht="15.75" customHeight="1" x14ac:dyDescent="0.25">
      <c r="A146" s="4"/>
      <c r="B146" s="362" t="s">
        <v>414</v>
      </c>
      <c r="C146" s="46" t="s">
        <v>415</v>
      </c>
      <c r="D146" s="45"/>
      <c r="E146" s="429"/>
      <c r="F146" s="363"/>
      <c r="G146" s="429"/>
      <c r="H146" s="363"/>
      <c r="I146" s="429"/>
      <c r="J146" s="410"/>
      <c r="K146" s="365"/>
      <c r="L146" s="384"/>
      <c r="M146" s="385"/>
      <c r="N146" s="4"/>
      <c r="O146" s="107"/>
      <c r="P146" s="4"/>
      <c r="Q146" s="4"/>
      <c r="R146" s="4"/>
      <c r="S146" s="4"/>
      <c r="T146" s="4"/>
      <c r="U146" s="4"/>
      <c r="V146" s="4"/>
      <c r="W146" s="4"/>
      <c r="X146" s="4"/>
      <c r="Y146" s="4"/>
      <c r="Z146" s="4"/>
    </row>
    <row r="147" spans="1:26" ht="15.75" customHeight="1" x14ac:dyDescent="0.25">
      <c r="A147" s="4"/>
      <c r="B147" s="126"/>
      <c r="C147" s="367" t="s">
        <v>416</v>
      </c>
      <c r="D147" s="367" t="s">
        <v>417</v>
      </c>
      <c r="E147" s="367" t="s">
        <v>406</v>
      </c>
      <c r="F147" s="368">
        <v>72528</v>
      </c>
      <c r="G147" s="367" t="s">
        <v>354</v>
      </c>
      <c r="H147" s="63">
        <v>140208</v>
      </c>
      <c r="I147" s="367" t="s">
        <v>418</v>
      </c>
      <c r="J147" s="422">
        <v>10169.005824</v>
      </c>
      <c r="K147" s="374">
        <v>781.71200395904316</v>
      </c>
      <c r="L147" s="394">
        <v>9.0484903061039471E-3</v>
      </c>
      <c r="M147" s="395">
        <v>1.6804339139907334E-2</v>
      </c>
      <c r="N147" s="4"/>
      <c r="O147" s="107" t="s">
        <v>356</v>
      </c>
      <c r="P147" s="4"/>
      <c r="Q147" s="4"/>
      <c r="R147" s="4"/>
      <c r="S147" s="4"/>
      <c r="T147" s="4"/>
      <c r="U147" s="4"/>
      <c r="V147" s="4"/>
      <c r="W147" s="4"/>
      <c r="X147" s="4"/>
      <c r="Y147" s="4"/>
      <c r="Z147" s="4"/>
    </row>
    <row r="148" spans="1:26" ht="15.75" customHeight="1" x14ac:dyDescent="0.25">
      <c r="A148" s="4"/>
      <c r="B148" s="126"/>
      <c r="C148" s="54"/>
      <c r="D148" s="54"/>
      <c r="E148" s="423"/>
      <c r="F148" s="372"/>
      <c r="G148" s="423"/>
      <c r="H148" s="53"/>
      <c r="I148" s="423"/>
      <c r="J148" s="402"/>
      <c r="K148" s="378"/>
      <c r="L148" s="392"/>
      <c r="M148" s="393"/>
      <c r="N148" s="4"/>
      <c r="O148" s="107"/>
      <c r="P148" s="4"/>
      <c r="Q148" s="4"/>
      <c r="R148" s="4"/>
      <c r="S148" s="4"/>
      <c r="T148" s="4"/>
      <c r="U148" s="4"/>
      <c r="V148" s="4"/>
      <c r="W148" s="4"/>
      <c r="X148" s="4"/>
      <c r="Y148" s="4"/>
      <c r="Z148" s="4"/>
    </row>
    <row r="149" spans="1:26" ht="15.75" customHeight="1" x14ac:dyDescent="0.25">
      <c r="A149" s="4"/>
      <c r="B149" s="126"/>
      <c r="C149" s="54" t="s">
        <v>419</v>
      </c>
      <c r="D149" s="54" t="s">
        <v>420</v>
      </c>
      <c r="E149" s="54" t="s">
        <v>406</v>
      </c>
      <c r="F149" s="372">
        <v>17927</v>
      </c>
      <c r="G149" s="54" t="s">
        <v>354</v>
      </c>
      <c r="H149" s="53">
        <v>140163</v>
      </c>
      <c r="I149" s="54" t="s">
        <v>418</v>
      </c>
      <c r="J149" s="402">
        <v>2512.7021009999999</v>
      </c>
      <c r="K149" s="394">
        <v>199.89</v>
      </c>
      <c r="L149" s="430">
        <v>0</v>
      </c>
      <c r="M149" s="431">
        <v>0.01</v>
      </c>
      <c r="N149" s="4"/>
      <c r="O149" s="107" t="s">
        <v>356</v>
      </c>
      <c r="P149" s="4"/>
      <c r="Q149" s="4"/>
      <c r="R149" s="4"/>
      <c r="S149" s="4"/>
      <c r="T149" s="4"/>
      <c r="U149" s="4"/>
      <c r="V149" s="4"/>
      <c r="W149" s="4"/>
      <c r="X149" s="4"/>
      <c r="Y149" s="4"/>
      <c r="Z149" s="4"/>
    </row>
    <row r="150" spans="1:26" ht="15.75" customHeight="1" x14ac:dyDescent="0.25">
      <c r="A150" s="4"/>
      <c r="B150" s="126"/>
      <c r="C150" s="54"/>
      <c r="D150" s="54"/>
      <c r="E150" s="423"/>
      <c r="F150" s="372"/>
      <c r="G150" s="423"/>
      <c r="H150" s="53"/>
      <c r="I150" s="423"/>
      <c r="J150" s="404"/>
      <c r="K150" s="378"/>
      <c r="L150" s="379"/>
      <c r="M150" s="380"/>
      <c r="N150" s="4"/>
      <c r="O150" s="107"/>
      <c r="P150" s="4"/>
      <c r="Q150" s="4"/>
      <c r="R150" s="4"/>
      <c r="S150" s="4"/>
      <c r="T150" s="4"/>
      <c r="U150" s="4"/>
      <c r="V150" s="4"/>
      <c r="W150" s="4"/>
      <c r="X150" s="4"/>
      <c r="Y150" s="4"/>
      <c r="Z150" s="4"/>
    </row>
    <row r="151" spans="1:26" ht="15.75" customHeight="1" x14ac:dyDescent="0.25">
      <c r="A151" s="4"/>
      <c r="B151" s="396"/>
      <c r="C151" s="68" t="s">
        <v>421</v>
      </c>
      <c r="D151" s="68" t="s">
        <v>389</v>
      </c>
      <c r="E151" s="68" t="s">
        <v>406</v>
      </c>
      <c r="F151" s="406">
        <v>36090</v>
      </c>
      <c r="G151" s="68" t="s">
        <v>354</v>
      </c>
      <c r="H151" s="202">
        <v>140085</v>
      </c>
      <c r="I151" s="68" t="s">
        <v>418</v>
      </c>
      <c r="J151" s="407">
        <v>5055.6676500000003</v>
      </c>
      <c r="K151" s="432">
        <v>396.87</v>
      </c>
      <c r="L151" s="419">
        <v>0</v>
      </c>
      <c r="M151" s="433">
        <v>0</v>
      </c>
      <c r="N151" s="4"/>
      <c r="O151" s="107" t="s">
        <v>356</v>
      </c>
      <c r="P151" s="4"/>
      <c r="Q151" s="4"/>
      <c r="R151" s="4"/>
      <c r="S151" s="4"/>
      <c r="T151" s="4"/>
      <c r="U151" s="4"/>
      <c r="V151" s="4"/>
      <c r="W151" s="4"/>
      <c r="X151" s="4"/>
      <c r="Y151" s="4"/>
      <c r="Z151" s="4"/>
    </row>
    <row r="152" spans="1:26" ht="15.75" customHeight="1" x14ac:dyDescent="0.25">
      <c r="A152" s="4"/>
      <c r="B152" s="143"/>
      <c r="C152" s="86"/>
      <c r="D152" s="86"/>
      <c r="E152" s="428"/>
      <c r="F152" s="206"/>
      <c r="G152" s="428"/>
      <c r="H152" s="206"/>
      <c r="I152" s="428"/>
      <c r="J152" s="381"/>
      <c r="K152" s="426"/>
      <c r="L152" s="382"/>
      <c r="M152" s="383"/>
      <c r="N152" s="4"/>
      <c r="O152" s="107"/>
      <c r="P152" s="4"/>
      <c r="Q152" s="4"/>
      <c r="R152" s="4"/>
      <c r="S152" s="4"/>
      <c r="T152" s="4"/>
      <c r="U152" s="4"/>
      <c r="V152" s="4"/>
      <c r="W152" s="4"/>
      <c r="X152" s="4"/>
      <c r="Y152" s="4"/>
      <c r="Z152" s="4"/>
    </row>
    <row r="153" spans="1:26" ht="15.75" customHeight="1" x14ac:dyDescent="0.25">
      <c r="A153" s="4"/>
      <c r="B153" s="362" t="s">
        <v>326</v>
      </c>
      <c r="C153" s="434" t="s">
        <v>327</v>
      </c>
      <c r="D153" s="45"/>
      <c r="E153" s="45"/>
      <c r="F153" s="363"/>
      <c r="G153" s="45"/>
      <c r="H153" s="363"/>
      <c r="I153" s="45"/>
      <c r="J153" s="364"/>
      <c r="K153" s="435"/>
      <c r="L153" s="384"/>
      <c r="M153" s="385"/>
      <c r="N153" s="4"/>
      <c r="O153" s="107"/>
      <c r="P153" s="4"/>
      <c r="Q153" s="4"/>
      <c r="R153" s="4"/>
      <c r="S153" s="4"/>
      <c r="T153" s="4"/>
      <c r="U153" s="4"/>
      <c r="V153" s="4"/>
      <c r="W153" s="4"/>
      <c r="X153" s="4"/>
      <c r="Y153" s="4"/>
      <c r="Z153" s="4"/>
    </row>
    <row r="154" spans="1:26" ht="15.75" customHeight="1" x14ac:dyDescent="0.25">
      <c r="A154" s="4"/>
      <c r="B154" s="126"/>
      <c r="C154" s="367" t="s">
        <v>328</v>
      </c>
      <c r="D154" s="386" t="s">
        <v>329</v>
      </c>
      <c r="E154" s="367" t="s">
        <v>406</v>
      </c>
      <c r="F154" s="368">
        <v>262249</v>
      </c>
      <c r="G154" s="367" t="s">
        <v>354</v>
      </c>
      <c r="H154" s="63">
        <v>139181</v>
      </c>
      <c r="I154" s="367" t="s">
        <v>355</v>
      </c>
      <c r="J154" s="387">
        <v>36500.078069000003</v>
      </c>
      <c r="K154" s="374">
        <v>3558.102273556568</v>
      </c>
      <c r="L154" s="394">
        <v>2.6014907621387723E-2</v>
      </c>
      <c r="M154" s="395">
        <v>5.5498469592293813E-2</v>
      </c>
      <c r="N154" s="4"/>
      <c r="O154" s="107" t="s">
        <v>356</v>
      </c>
      <c r="P154" s="4"/>
      <c r="Q154" s="4"/>
      <c r="R154" s="4"/>
      <c r="S154" s="4"/>
      <c r="T154" s="4"/>
      <c r="U154" s="4"/>
      <c r="V154" s="4"/>
      <c r="W154" s="4"/>
      <c r="X154" s="4"/>
      <c r="Y154" s="4"/>
      <c r="Z154" s="4"/>
    </row>
    <row r="155" spans="1:26" ht="15.75" customHeight="1" x14ac:dyDescent="0.25">
      <c r="A155" s="4"/>
      <c r="B155" s="126"/>
      <c r="C155" s="54"/>
      <c r="D155" s="77"/>
      <c r="E155" s="54"/>
      <c r="F155" s="372"/>
      <c r="G155" s="54"/>
      <c r="H155" s="53"/>
      <c r="I155" s="54"/>
      <c r="J155" s="402"/>
      <c r="K155" s="368"/>
      <c r="L155" s="392"/>
      <c r="M155" s="393"/>
      <c r="N155" s="4"/>
      <c r="O155" s="107"/>
      <c r="P155" s="4"/>
      <c r="Q155" s="4"/>
      <c r="R155" s="4"/>
      <c r="S155" s="4"/>
      <c r="T155" s="4"/>
      <c r="U155" s="4"/>
      <c r="V155" s="4"/>
      <c r="W155" s="4"/>
      <c r="X155" s="4"/>
      <c r="Y155" s="4"/>
      <c r="Z155" s="4"/>
    </row>
    <row r="156" spans="1:26" ht="15.75" customHeight="1" x14ac:dyDescent="0.25">
      <c r="A156" s="4"/>
      <c r="B156" s="126"/>
      <c r="C156" s="367" t="s">
        <v>330</v>
      </c>
      <c r="D156" s="386" t="s">
        <v>331</v>
      </c>
      <c r="E156" s="367" t="s">
        <v>406</v>
      </c>
      <c r="F156" s="368">
        <v>280645</v>
      </c>
      <c r="G156" s="367" t="s">
        <v>354</v>
      </c>
      <c r="H156" s="63">
        <v>139181</v>
      </c>
      <c r="I156" s="367" t="s">
        <v>355</v>
      </c>
      <c r="J156" s="387">
        <v>39060.451744999998</v>
      </c>
      <c r="K156" s="374">
        <v>3978.0954684942749</v>
      </c>
      <c r="L156" s="394">
        <v>2.9058403714348247E-2</v>
      </c>
      <c r="M156" s="395">
        <v>6.2213814740902249E-2</v>
      </c>
      <c r="N156" s="4"/>
      <c r="O156" s="107" t="s">
        <v>356</v>
      </c>
      <c r="P156" s="4"/>
      <c r="Q156" s="4"/>
      <c r="R156" s="4"/>
      <c r="S156" s="4"/>
      <c r="T156" s="4"/>
      <c r="U156" s="4"/>
      <c r="V156" s="4"/>
      <c r="W156" s="4"/>
      <c r="X156" s="4"/>
      <c r="Y156" s="4"/>
      <c r="Z156" s="4"/>
    </row>
    <row r="157" spans="1:26" ht="15.75" customHeight="1" x14ac:dyDescent="0.25">
      <c r="A157" s="4"/>
      <c r="B157" s="126"/>
      <c r="C157" s="54"/>
      <c r="D157" s="77"/>
      <c r="E157" s="54"/>
      <c r="F157" s="372"/>
      <c r="G157" s="54"/>
      <c r="H157" s="53"/>
      <c r="I157" s="54"/>
      <c r="J157" s="402"/>
      <c r="K157" s="374"/>
      <c r="L157" s="392"/>
      <c r="M157" s="393"/>
      <c r="N157" s="4"/>
      <c r="O157" s="107"/>
      <c r="P157" s="4"/>
      <c r="Q157" s="4"/>
      <c r="R157" s="4"/>
      <c r="S157" s="4"/>
      <c r="T157" s="4"/>
      <c r="U157" s="4"/>
      <c r="V157" s="4"/>
      <c r="W157" s="4"/>
      <c r="X157" s="4"/>
      <c r="Y157" s="4"/>
      <c r="Z157" s="4"/>
    </row>
    <row r="158" spans="1:26" ht="15.75" customHeight="1" x14ac:dyDescent="0.25">
      <c r="A158" s="4"/>
      <c r="B158" s="126"/>
      <c r="C158" s="367" t="s">
        <v>332</v>
      </c>
      <c r="D158" s="386" t="s">
        <v>333</v>
      </c>
      <c r="E158" s="367" t="s">
        <v>406</v>
      </c>
      <c r="F158" s="368">
        <v>258523</v>
      </c>
      <c r="G158" s="367" t="s">
        <v>354</v>
      </c>
      <c r="H158" s="63">
        <v>139181</v>
      </c>
      <c r="I158" s="367" t="s">
        <v>355</v>
      </c>
      <c r="J158" s="387">
        <v>35981.489663</v>
      </c>
      <c r="K158" s="374">
        <v>3624.5012122397807</v>
      </c>
      <c r="L158" s="394">
        <v>2.6494635039959927E-2</v>
      </c>
      <c r="M158" s="395">
        <v>5.6222037220074114E-2</v>
      </c>
      <c r="N158" s="4"/>
      <c r="O158" s="107" t="s">
        <v>356</v>
      </c>
      <c r="P158" s="4"/>
      <c r="Q158" s="4"/>
      <c r="R158" s="4"/>
      <c r="S158" s="4"/>
      <c r="T158" s="4"/>
      <c r="U158" s="4"/>
      <c r="V158" s="4"/>
      <c r="W158" s="4"/>
      <c r="X158" s="4"/>
      <c r="Y158" s="4"/>
      <c r="Z158" s="4"/>
    </row>
    <row r="159" spans="1:26" ht="15.75" customHeight="1" x14ac:dyDescent="0.25">
      <c r="A159" s="4"/>
      <c r="B159" s="126"/>
      <c r="C159" s="54"/>
      <c r="D159" s="54"/>
      <c r="E159" s="54"/>
      <c r="F159" s="372"/>
      <c r="G159" s="54"/>
      <c r="H159" s="53"/>
      <c r="I159" s="54"/>
      <c r="J159" s="402"/>
      <c r="K159" s="374"/>
      <c r="L159" s="392"/>
      <c r="M159" s="393"/>
      <c r="N159" s="4"/>
      <c r="O159" s="107"/>
      <c r="P159" s="4"/>
      <c r="Q159" s="4"/>
      <c r="R159" s="4"/>
      <c r="S159" s="4"/>
      <c r="T159" s="4"/>
      <c r="U159" s="4"/>
      <c r="V159" s="4"/>
      <c r="W159" s="4"/>
      <c r="X159" s="4"/>
      <c r="Y159" s="4"/>
      <c r="Z159" s="4"/>
    </row>
    <row r="160" spans="1:26" ht="15.75" customHeight="1" x14ac:dyDescent="0.25">
      <c r="A160" s="4"/>
      <c r="B160" s="126"/>
      <c r="C160" s="54" t="s">
        <v>422</v>
      </c>
      <c r="D160" s="77" t="s">
        <v>423</v>
      </c>
      <c r="E160" s="54" t="s">
        <v>424</v>
      </c>
      <c r="F160" s="372">
        <v>25757</v>
      </c>
      <c r="G160" s="54" t="s">
        <v>354</v>
      </c>
      <c r="H160" s="53">
        <v>139181</v>
      </c>
      <c r="I160" s="54" t="s">
        <v>355</v>
      </c>
      <c r="J160" s="417">
        <v>3584.8850170000001</v>
      </c>
      <c r="K160" s="374">
        <v>293</v>
      </c>
      <c r="L160" s="411">
        <v>6.9999999999999999E-4</v>
      </c>
      <c r="M160" s="376">
        <v>0.01</v>
      </c>
      <c r="N160" s="4"/>
      <c r="O160" s="107" t="s">
        <v>356</v>
      </c>
      <c r="P160" s="4"/>
      <c r="Q160" s="4"/>
      <c r="R160" s="4"/>
      <c r="S160" s="4"/>
      <c r="T160" s="4"/>
      <c r="U160" s="4"/>
      <c r="V160" s="4"/>
      <c r="W160" s="4"/>
      <c r="X160" s="4"/>
      <c r="Y160" s="4"/>
      <c r="Z160" s="4"/>
    </row>
    <row r="161" spans="1:26" ht="15.75" customHeight="1" x14ac:dyDescent="0.25">
      <c r="A161" s="4"/>
      <c r="B161" s="396"/>
      <c r="C161" s="68"/>
      <c r="D161" s="397"/>
      <c r="E161" s="68"/>
      <c r="F161" s="406"/>
      <c r="G161" s="68"/>
      <c r="H161" s="202"/>
      <c r="I161" s="68"/>
      <c r="J161" s="398"/>
      <c r="K161" s="416"/>
      <c r="L161" s="400"/>
      <c r="M161" s="401"/>
      <c r="N161" s="4"/>
      <c r="O161" s="107"/>
      <c r="P161" s="4"/>
      <c r="Q161" s="4"/>
      <c r="R161" s="4"/>
      <c r="S161" s="4"/>
      <c r="T161" s="4"/>
      <c r="U161" s="4"/>
      <c r="V161" s="4"/>
      <c r="W161" s="4"/>
      <c r="X161" s="4"/>
      <c r="Y161" s="4"/>
      <c r="Z161" s="4"/>
    </row>
    <row r="162" spans="1:26" ht="15.75" customHeight="1" x14ac:dyDescent="0.25">
      <c r="A162" s="4"/>
      <c r="B162" s="143"/>
      <c r="C162" s="86"/>
      <c r="D162" s="436"/>
      <c r="E162" s="86"/>
      <c r="F162" s="424"/>
      <c r="G162" s="86"/>
      <c r="H162" s="206"/>
      <c r="I162" s="86"/>
      <c r="J162" s="437"/>
      <c r="K162" s="360"/>
      <c r="L162" s="382"/>
      <c r="M162" s="383"/>
      <c r="N162" s="4"/>
      <c r="O162" s="107"/>
      <c r="P162" s="4"/>
      <c r="Q162" s="4"/>
      <c r="R162" s="4"/>
      <c r="S162" s="4"/>
      <c r="T162" s="4"/>
      <c r="U162" s="4"/>
      <c r="V162" s="4"/>
      <c r="W162" s="4"/>
      <c r="X162" s="4"/>
      <c r="Y162" s="4"/>
      <c r="Z162" s="4"/>
    </row>
    <row r="163" spans="1:26" ht="15.75" customHeight="1" x14ac:dyDescent="0.25">
      <c r="A163" s="4"/>
      <c r="B163" s="362" t="s">
        <v>425</v>
      </c>
      <c r="C163" s="434" t="s">
        <v>426</v>
      </c>
      <c r="D163" s="50"/>
      <c r="E163" s="45"/>
      <c r="F163" s="438"/>
      <c r="G163" s="45"/>
      <c r="H163" s="363"/>
      <c r="I163" s="45"/>
      <c r="J163" s="439"/>
      <c r="K163" s="365"/>
      <c r="L163" s="384"/>
      <c r="M163" s="385"/>
      <c r="N163" s="4"/>
      <c r="O163" s="107"/>
      <c r="P163" s="4"/>
      <c r="Q163" s="4"/>
      <c r="R163" s="4"/>
      <c r="S163" s="4"/>
      <c r="T163" s="4"/>
      <c r="U163" s="4"/>
      <c r="V163" s="4"/>
      <c r="W163" s="4"/>
      <c r="X163" s="4"/>
      <c r="Y163" s="4"/>
      <c r="Z163" s="4"/>
    </row>
    <row r="164" spans="1:26" ht="15.75" customHeight="1" x14ac:dyDescent="0.25">
      <c r="A164" s="4"/>
      <c r="B164" s="126"/>
      <c r="C164" s="367" t="s">
        <v>427</v>
      </c>
      <c r="D164" s="386" t="s">
        <v>428</v>
      </c>
      <c r="E164" s="367" t="s">
        <v>424</v>
      </c>
      <c r="F164" s="368">
        <v>128653</v>
      </c>
      <c r="G164" s="367" t="s">
        <v>354</v>
      </c>
      <c r="H164" s="63">
        <v>139181</v>
      </c>
      <c r="I164" s="367" t="s">
        <v>355</v>
      </c>
      <c r="J164" s="387">
        <v>17906.053193</v>
      </c>
      <c r="K164" s="374">
        <v>885.01950770852966</v>
      </c>
      <c r="L164" s="394">
        <v>7.2305515335664192E-2</v>
      </c>
      <c r="M164" s="395">
        <v>3.0988078000998939E-2</v>
      </c>
      <c r="N164" s="4"/>
      <c r="O164" s="107" t="s">
        <v>356</v>
      </c>
      <c r="P164" s="4"/>
      <c r="Q164" s="4"/>
      <c r="R164" s="4"/>
      <c r="S164" s="4"/>
      <c r="T164" s="4"/>
      <c r="U164" s="4"/>
      <c r="V164" s="4"/>
      <c r="W164" s="4"/>
      <c r="X164" s="4"/>
      <c r="Y164" s="4"/>
      <c r="Z164" s="4"/>
    </row>
    <row r="165" spans="1:26" ht="15.75" customHeight="1" x14ac:dyDescent="0.25">
      <c r="A165" s="4"/>
      <c r="B165" s="126"/>
      <c r="C165" s="54"/>
      <c r="D165" s="77"/>
      <c r="E165" s="54"/>
      <c r="F165" s="372"/>
      <c r="G165" s="54"/>
      <c r="H165" s="53"/>
      <c r="I165" s="54"/>
      <c r="J165" s="391"/>
      <c r="K165" s="368"/>
      <c r="L165" s="392"/>
      <c r="M165" s="393"/>
      <c r="N165" s="4"/>
      <c r="O165" s="107"/>
      <c r="P165" s="4"/>
      <c r="Q165" s="4"/>
      <c r="R165" s="4"/>
      <c r="S165" s="4"/>
      <c r="T165" s="4"/>
      <c r="U165" s="4"/>
      <c r="V165" s="4"/>
      <c r="W165" s="4"/>
      <c r="X165" s="4"/>
      <c r="Y165" s="4"/>
      <c r="Z165" s="4"/>
    </row>
    <row r="166" spans="1:26" ht="15.75" customHeight="1" x14ac:dyDescent="0.25">
      <c r="A166" s="4"/>
      <c r="B166" s="130"/>
      <c r="C166" s="367" t="s">
        <v>429</v>
      </c>
      <c r="D166" s="386" t="s">
        <v>430</v>
      </c>
      <c r="E166" s="367" t="s">
        <v>424</v>
      </c>
      <c r="F166" s="368">
        <v>117793</v>
      </c>
      <c r="G166" s="367" t="s">
        <v>354</v>
      </c>
      <c r="H166" s="63">
        <v>139181</v>
      </c>
      <c r="I166" s="367" t="s">
        <v>355</v>
      </c>
      <c r="J166" s="387">
        <v>16394.547533000001</v>
      </c>
      <c r="K166" s="374">
        <v>779.24991399101225</v>
      </c>
      <c r="L166" s="394">
        <v>6.4247427866609669E-2</v>
      </c>
      <c r="M166" s="395">
        <v>2.855441238515985E-2</v>
      </c>
      <c r="N166" s="4"/>
      <c r="O166" s="107" t="s">
        <v>356</v>
      </c>
      <c r="P166" s="4"/>
      <c r="Q166" s="4"/>
      <c r="R166" s="4"/>
      <c r="S166" s="4"/>
      <c r="T166" s="4"/>
      <c r="U166" s="4"/>
      <c r="V166" s="4"/>
      <c r="W166" s="4"/>
      <c r="X166" s="4"/>
      <c r="Y166" s="4"/>
      <c r="Z166" s="4"/>
    </row>
    <row r="167" spans="1:26" ht="15.75" customHeight="1" x14ac:dyDescent="0.25">
      <c r="A167" s="4"/>
      <c r="B167" s="440"/>
      <c r="C167" s="358"/>
      <c r="D167" s="358"/>
      <c r="E167" s="358"/>
      <c r="F167" s="441"/>
      <c r="G167" s="358"/>
      <c r="H167" s="221"/>
      <c r="I167" s="358"/>
      <c r="J167" s="442"/>
      <c r="K167" s="443"/>
      <c r="L167" s="444"/>
      <c r="M167" s="445"/>
      <c r="N167" s="4"/>
      <c r="O167" s="107"/>
      <c r="P167" s="4"/>
      <c r="Q167" s="4"/>
      <c r="R167" s="4"/>
      <c r="S167" s="4"/>
      <c r="T167" s="4"/>
      <c r="U167" s="4"/>
      <c r="V167" s="4"/>
      <c r="W167" s="4"/>
      <c r="X167" s="4"/>
      <c r="Y167" s="4"/>
      <c r="Z167" s="4"/>
    </row>
    <row r="168" spans="1:26" ht="15.75" customHeight="1" x14ac:dyDescent="0.25">
      <c r="A168" s="4"/>
      <c r="B168" s="362" t="s">
        <v>334</v>
      </c>
      <c r="C168" s="434" t="s">
        <v>335</v>
      </c>
      <c r="D168" s="45"/>
      <c r="E168" s="45"/>
      <c r="F168" s="438"/>
      <c r="G168" s="45"/>
      <c r="H168" s="363"/>
      <c r="I168" s="45"/>
      <c r="J168" s="364"/>
      <c r="K168" s="365"/>
      <c r="L168" s="384"/>
      <c r="M168" s="385"/>
      <c r="N168" s="4"/>
      <c r="O168" s="107"/>
      <c r="P168" s="4"/>
      <c r="Q168" s="4"/>
      <c r="R168" s="4"/>
      <c r="S168" s="4"/>
      <c r="T168" s="4"/>
      <c r="U168" s="4"/>
      <c r="V168" s="4"/>
      <c r="W168" s="4"/>
      <c r="X168" s="4"/>
      <c r="Y168" s="4"/>
      <c r="Z168" s="4"/>
    </row>
    <row r="169" spans="1:26" ht="15.75" customHeight="1" x14ac:dyDescent="0.25">
      <c r="A169" s="4"/>
      <c r="B169" s="126"/>
      <c r="C169" s="367" t="s">
        <v>336</v>
      </c>
      <c r="D169" s="386">
        <v>1</v>
      </c>
      <c r="E169" s="367" t="s">
        <v>406</v>
      </c>
      <c r="F169" s="368">
        <v>560730</v>
      </c>
      <c r="G169" s="367" t="s">
        <v>354</v>
      </c>
      <c r="H169" s="63">
        <v>140057</v>
      </c>
      <c r="I169" s="367" t="s">
        <v>431</v>
      </c>
      <c r="J169" s="387">
        <v>78534.161609999996</v>
      </c>
      <c r="K169" s="394">
        <v>8915.9397047808707</v>
      </c>
      <c r="L169" s="394">
        <v>6.5169473700270111E-2</v>
      </c>
      <c r="M169" s="395">
        <v>0.13902821056057624</v>
      </c>
      <c r="N169" s="4"/>
      <c r="O169" s="107" t="s">
        <v>356</v>
      </c>
      <c r="P169" s="4"/>
      <c r="Q169" s="4"/>
      <c r="R169" s="4"/>
      <c r="S169" s="4"/>
      <c r="T169" s="4"/>
      <c r="U169" s="4"/>
      <c r="V169" s="4"/>
      <c r="W169" s="4"/>
      <c r="X169" s="4"/>
      <c r="Y169" s="4"/>
      <c r="Z169" s="4"/>
    </row>
    <row r="170" spans="1:26" ht="15.75" customHeight="1" x14ac:dyDescent="0.25">
      <c r="A170" s="4"/>
      <c r="B170" s="126"/>
      <c r="C170" s="54"/>
      <c r="D170" s="77"/>
      <c r="E170" s="54"/>
      <c r="F170" s="372"/>
      <c r="G170" s="54"/>
      <c r="H170" s="53"/>
      <c r="I170" s="54"/>
      <c r="J170" s="391"/>
      <c r="K170" s="368"/>
      <c r="L170" s="392"/>
      <c r="M170" s="393"/>
      <c r="N170" s="4"/>
      <c r="O170" s="107"/>
      <c r="P170" s="4"/>
      <c r="Q170" s="4"/>
      <c r="R170" s="4"/>
      <c r="S170" s="4"/>
      <c r="T170" s="4"/>
      <c r="U170" s="4"/>
      <c r="V170" s="4"/>
      <c r="W170" s="4"/>
      <c r="X170" s="4"/>
      <c r="Y170" s="4"/>
      <c r="Z170" s="4"/>
    </row>
    <row r="171" spans="1:26" ht="15.75" customHeight="1" x14ac:dyDescent="0.25">
      <c r="A171" s="4"/>
      <c r="B171" s="126"/>
      <c r="C171" s="54"/>
      <c r="D171" s="77"/>
      <c r="E171" s="54"/>
      <c r="F171" s="372"/>
      <c r="G171" s="54"/>
      <c r="H171" s="53"/>
      <c r="I171" s="54"/>
      <c r="J171" s="404"/>
      <c r="K171" s="368"/>
      <c r="L171" s="392"/>
      <c r="M171" s="393"/>
      <c r="N171" s="4"/>
      <c r="O171" s="107"/>
      <c r="P171" s="4"/>
      <c r="Q171" s="4"/>
      <c r="R171" s="4"/>
      <c r="S171" s="4"/>
      <c r="T171" s="4"/>
      <c r="U171" s="4"/>
      <c r="V171" s="4"/>
      <c r="W171" s="4"/>
      <c r="X171" s="4"/>
      <c r="Y171" s="4"/>
      <c r="Z171" s="4"/>
    </row>
    <row r="172" spans="1:26" ht="15.75" customHeight="1" x14ac:dyDescent="0.25">
      <c r="A172" s="4"/>
      <c r="B172" s="126"/>
      <c r="C172" s="367" t="s">
        <v>337</v>
      </c>
      <c r="D172" s="386">
        <v>2</v>
      </c>
      <c r="E172" s="367" t="s">
        <v>406</v>
      </c>
      <c r="F172" s="368">
        <v>330721</v>
      </c>
      <c r="G172" s="367" t="s">
        <v>354</v>
      </c>
      <c r="H172" s="63">
        <v>140092</v>
      </c>
      <c r="I172" s="367" t="s">
        <v>431</v>
      </c>
      <c r="J172" s="387">
        <v>46331.366331999998</v>
      </c>
      <c r="K172" s="374">
        <v>4688.4930230757882</v>
      </c>
      <c r="L172" s="374">
        <v>3.6331536153834797E-2</v>
      </c>
      <c r="M172" s="446">
        <v>7.749779727530319E-2</v>
      </c>
      <c r="N172" s="4"/>
      <c r="O172" s="107" t="s">
        <v>356</v>
      </c>
      <c r="P172" s="4"/>
      <c r="Q172" s="4"/>
      <c r="R172" s="4"/>
      <c r="S172" s="4"/>
      <c r="T172" s="4"/>
      <c r="U172" s="4"/>
      <c r="V172" s="4"/>
      <c r="W172" s="4"/>
      <c r="X172" s="4"/>
      <c r="Y172" s="4"/>
      <c r="Z172" s="4"/>
    </row>
    <row r="173" spans="1:26" ht="15.75" customHeight="1" x14ac:dyDescent="0.25">
      <c r="A173" s="4"/>
      <c r="B173" s="126"/>
      <c r="C173" s="54"/>
      <c r="D173" s="77"/>
      <c r="E173" s="54"/>
      <c r="F173" s="372"/>
      <c r="G173" s="54"/>
      <c r="H173" s="53"/>
      <c r="I173" s="54"/>
      <c r="J173" s="391"/>
      <c r="K173" s="368"/>
      <c r="L173" s="392"/>
      <c r="M173" s="393"/>
      <c r="N173" s="4"/>
      <c r="O173" s="107"/>
      <c r="P173" s="4"/>
      <c r="Q173" s="4"/>
      <c r="R173" s="4"/>
      <c r="S173" s="4"/>
      <c r="T173" s="4"/>
      <c r="U173" s="4"/>
      <c r="V173" s="4"/>
      <c r="W173" s="4"/>
      <c r="X173" s="4"/>
      <c r="Y173" s="4"/>
      <c r="Z173" s="4"/>
    </row>
    <row r="174" spans="1:26" ht="15.75" customHeight="1" x14ac:dyDescent="0.25">
      <c r="A174" s="4"/>
      <c r="B174" s="126"/>
      <c r="C174" s="54"/>
      <c r="D174" s="77"/>
      <c r="E174" s="54"/>
      <c r="F174" s="372"/>
      <c r="G174" s="54"/>
      <c r="H174" s="53"/>
      <c r="I174" s="54"/>
      <c r="J174" s="391"/>
      <c r="K174" s="368"/>
      <c r="L174" s="392"/>
      <c r="M174" s="393"/>
      <c r="N174" s="4"/>
      <c r="O174" s="107"/>
      <c r="P174" s="4"/>
      <c r="Q174" s="4"/>
      <c r="R174" s="4"/>
      <c r="S174" s="4"/>
      <c r="T174" s="4"/>
      <c r="U174" s="4"/>
      <c r="V174" s="4"/>
      <c r="W174" s="4"/>
      <c r="X174" s="4"/>
      <c r="Y174" s="4"/>
      <c r="Z174" s="4"/>
    </row>
    <row r="175" spans="1:26" ht="15.75" customHeight="1" x14ac:dyDescent="0.25">
      <c r="A175" s="4"/>
      <c r="B175" s="126"/>
      <c r="C175" s="54" t="s">
        <v>432</v>
      </c>
      <c r="D175" s="77" t="s">
        <v>433</v>
      </c>
      <c r="E175" s="54" t="s">
        <v>424</v>
      </c>
      <c r="F175" s="372">
        <v>469111</v>
      </c>
      <c r="G175" s="54" t="s">
        <v>354</v>
      </c>
      <c r="H175" s="53">
        <v>140162</v>
      </c>
      <c r="I175" s="54" t="s">
        <v>431</v>
      </c>
      <c r="J175" s="391">
        <v>65751.535982000001</v>
      </c>
      <c r="K175" s="368">
        <v>5372</v>
      </c>
      <c r="L175" s="405">
        <v>1.2999999999999999E-2</v>
      </c>
      <c r="M175" s="393">
        <v>0.3</v>
      </c>
      <c r="N175" s="4"/>
      <c r="O175" s="107" t="s">
        <v>356</v>
      </c>
      <c r="P175" s="4"/>
      <c r="Q175" s="4"/>
      <c r="R175" s="4"/>
      <c r="S175" s="4"/>
      <c r="T175" s="4"/>
      <c r="U175" s="4"/>
      <c r="V175" s="4"/>
      <c r="W175" s="4"/>
      <c r="X175" s="4"/>
      <c r="Y175" s="4"/>
      <c r="Z175" s="4"/>
    </row>
    <row r="176" spans="1:26" ht="15.75" customHeight="1" x14ac:dyDescent="0.25">
      <c r="A176" s="4"/>
      <c r="B176" s="126"/>
      <c r="C176" s="54" t="s">
        <v>434</v>
      </c>
      <c r="D176" s="77" t="s">
        <v>435</v>
      </c>
      <c r="E176" s="54" t="s">
        <v>424</v>
      </c>
      <c r="F176" s="372">
        <v>6581</v>
      </c>
      <c r="G176" s="54" t="s">
        <v>354</v>
      </c>
      <c r="H176" s="53">
        <v>140162</v>
      </c>
      <c r="I176" s="54" t="s">
        <v>431</v>
      </c>
      <c r="J176" s="391">
        <v>922.40612199999998</v>
      </c>
      <c r="K176" s="368">
        <v>75</v>
      </c>
      <c r="L176" s="412">
        <v>2.0000000000000001E-4</v>
      </c>
      <c r="M176" s="447">
        <v>4.0000000000000001E-3</v>
      </c>
      <c r="N176" s="4"/>
      <c r="O176" s="107" t="s">
        <v>356</v>
      </c>
      <c r="P176" s="4"/>
      <c r="Q176" s="4"/>
      <c r="R176" s="4"/>
      <c r="S176" s="4"/>
      <c r="T176" s="4"/>
      <c r="U176" s="4"/>
      <c r="V176" s="4"/>
      <c r="W176" s="4"/>
      <c r="X176" s="4"/>
      <c r="Y176" s="4"/>
      <c r="Z176" s="4"/>
    </row>
    <row r="177" spans="1:26" ht="15.75" customHeight="1" x14ac:dyDescent="0.25">
      <c r="A177" s="4"/>
      <c r="B177" s="126"/>
      <c r="C177" s="54" t="s">
        <v>436</v>
      </c>
      <c r="D177" s="77" t="s">
        <v>428</v>
      </c>
      <c r="E177" s="54" t="s">
        <v>424</v>
      </c>
      <c r="F177" s="372">
        <v>119770</v>
      </c>
      <c r="G177" s="54" t="s">
        <v>354</v>
      </c>
      <c r="H177" s="53">
        <v>140156</v>
      </c>
      <c r="I177" s="54" t="s">
        <v>431</v>
      </c>
      <c r="J177" s="391">
        <v>16786.484120000001</v>
      </c>
      <c r="K177" s="368">
        <v>1371</v>
      </c>
      <c r="L177" s="392">
        <v>7.0000000000000007E-2</v>
      </c>
      <c r="M177" s="393">
        <v>7.0000000000000007E-2</v>
      </c>
      <c r="N177" s="4"/>
      <c r="O177" s="107" t="s">
        <v>356</v>
      </c>
      <c r="P177" s="4"/>
      <c r="Q177" s="4"/>
      <c r="R177" s="4"/>
      <c r="S177" s="4"/>
      <c r="T177" s="4"/>
      <c r="U177" s="4"/>
      <c r="V177" s="4"/>
      <c r="W177" s="4"/>
      <c r="X177" s="4"/>
      <c r="Y177" s="4"/>
      <c r="Z177" s="4"/>
    </row>
    <row r="178" spans="1:26" ht="15.75" customHeight="1" x14ac:dyDescent="0.25">
      <c r="A178" s="4"/>
      <c r="B178" s="126"/>
      <c r="C178" s="54" t="s">
        <v>437</v>
      </c>
      <c r="D178" s="77" t="s">
        <v>430</v>
      </c>
      <c r="E178" s="54" t="s">
        <v>424</v>
      </c>
      <c r="F178" s="372">
        <v>115848</v>
      </c>
      <c r="G178" s="54" t="s">
        <v>354</v>
      </c>
      <c r="H178" s="53">
        <v>140162</v>
      </c>
      <c r="I178" s="54" t="s">
        <v>431</v>
      </c>
      <c r="J178" s="391">
        <v>16237.487375999999</v>
      </c>
      <c r="K178" s="368">
        <v>1327</v>
      </c>
      <c r="L178" s="392">
        <v>7.0000000000000007E-2</v>
      </c>
      <c r="M178" s="393">
        <v>7.0000000000000007E-2</v>
      </c>
      <c r="N178" s="4"/>
      <c r="O178" s="107" t="s">
        <v>356</v>
      </c>
      <c r="P178" s="4"/>
      <c r="Q178" s="4"/>
      <c r="R178" s="4"/>
      <c r="S178" s="4"/>
      <c r="T178" s="4"/>
      <c r="U178" s="4"/>
      <c r="V178" s="4"/>
      <c r="W178" s="4"/>
      <c r="X178" s="4"/>
      <c r="Y178" s="4"/>
      <c r="Z178" s="4"/>
    </row>
    <row r="179" spans="1:26" ht="15.75" customHeight="1" x14ac:dyDescent="0.25">
      <c r="A179" s="4"/>
      <c r="B179" s="126"/>
      <c r="C179" s="54" t="s">
        <v>438</v>
      </c>
      <c r="D179" s="77" t="s">
        <v>439</v>
      </c>
      <c r="E179" s="54" t="s">
        <v>440</v>
      </c>
      <c r="F179" s="372">
        <v>294735</v>
      </c>
      <c r="G179" s="54" t="s">
        <v>354</v>
      </c>
      <c r="H179" s="53">
        <v>140152</v>
      </c>
      <c r="I179" s="54" t="s">
        <v>431</v>
      </c>
      <c r="J179" s="391">
        <v>41307.699719999997</v>
      </c>
      <c r="K179" s="368">
        <v>3750</v>
      </c>
      <c r="L179" s="392">
        <v>0.2</v>
      </c>
      <c r="M179" s="393">
        <v>0.2</v>
      </c>
      <c r="N179" s="4"/>
      <c r="O179" s="107" t="s">
        <v>356</v>
      </c>
      <c r="P179" s="4"/>
      <c r="Q179" s="4"/>
      <c r="R179" s="4"/>
      <c r="S179" s="4"/>
      <c r="T179" s="4"/>
      <c r="U179" s="4"/>
      <c r="V179" s="4"/>
      <c r="W179" s="4"/>
      <c r="X179" s="4"/>
      <c r="Y179" s="4"/>
      <c r="Z179" s="4"/>
    </row>
    <row r="180" spans="1:26" ht="15.75" customHeight="1" x14ac:dyDescent="0.25">
      <c r="A180" s="4"/>
      <c r="B180" s="126"/>
      <c r="C180" s="54" t="s">
        <v>441</v>
      </c>
      <c r="D180" s="77" t="s">
        <v>442</v>
      </c>
      <c r="E180" s="54" t="s">
        <v>440</v>
      </c>
      <c r="F180" s="372">
        <v>391937</v>
      </c>
      <c r="G180" s="54" t="s">
        <v>354</v>
      </c>
      <c r="H180" s="53">
        <v>140164</v>
      </c>
      <c r="I180" s="54" t="s">
        <v>431</v>
      </c>
      <c r="J180" s="391">
        <v>54935.457668000003</v>
      </c>
      <c r="K180" s="368">
        <v>4565</v>
      </c>
      <c r="L180" s="392">
        <v>0.2</v>
      </c>
      <c r="M180" s="393">
        <v>0.2</v>
      </c>
      <c r="N180" s="4"/>
      <c r="O180" s="107" t="s">
        <v>356</v>
      </c>
      <c r="P180" s="4"/>
      <c r="Q180" s="4"/>
      <c r="R180" s="4"/>
      <c r="S180" s="4"/>
      <c r="T180" s="4"/>
      <c r="U180" s="4"/>
      <c r="V180" s="4"/>
      <c r="W180" s="4"/>
      <c r="X180" s="4"/>
      <c r="Y180" s="4"/>
      <c r="Z180" s="4"/>
    </row>
    <row r="181" spans="1:26" ht="15.75" customHeight="1" x14ac:dyDescent="0.25">
      <c r="A181" s="4"/>
      <c r="B181" s="126"/>
      <c r="C181" s="54" t="s">
        <v>443</v>
      </c>
      <c r="D181" s="77" t="s">
        <v>444</v>
      </c>
      <c r="E181" s="54" t="s">
        <v>440</v>
      </c>
      <c r="F181" s="372">
        <v>259626</v>
      </c>
      <c r="G181" s="54" t="s">
        <v>354</v>
      </c>
      <c r="H181" s="53">
        <v>140154</v>
      </c>
      <c r="I181" s="54" t="s">
        <v>431</v>
      </c>
      <c r="J181" s="391">
        <v>36387.622404000002</v>
      </c>
      <c r="K181" s="368">
        <v>2926</v>
      </c>
      <c r="L181" s="392">
        <v>0.2</v>
      </c>
      <c r="M181" s="393">
        <v>0.1</v>
      </c>
      <c r="N181" s="4"/>
      <c r="O181" s="107" t="s">
        <v>356</v>
      </c>
      <c r="P181" s="4"/>
      <c r="Q181" s="4"/>
      <c r="R181" s="4"/>
      <c r="S181" s="4"/>
      <c r="T181" s="4"/>
      <c r="U181" s="4"/>
      <c r="V181" s="4"/>
      <c r="W181" s="4"/>
      <c r="X181" s="4"/>
      <c r="Y181" s="4"/>
      <c r="Z181" s="4"/>
    </row>
    <row r="182" spans="1:26" ht="15.75" customHeight="1" x14ac:dyDescent="0.25">
      <c r="A182" s="4"/>
      <c r="B182" s="126"/>
      <c r="C182" s="54" t="s">
        <v>445</v>
      </c>
      <c r="D182" s="77" t="s">
        <v>446</v>
      </c>
      <c r="E182" s="54" t="s">
        <v>440</v>
      </c>
      <c r="F182" s="372">
        <v>286912</v>
      </c>
      <c r="G182" s="54" t="s">
        <v>354</v>
      </c>
      <c r="H182" s="53">
        <v>140145</v>
      </c>
      <c r="I182" s="54" t="s">
        <v>431</v>
      </c>
      <c r="J182" s="391">
        <v>40209.28224</v>
      </c>
      <c r="K182" s="368">
        <v>3170</v>
      </c>
      <c r="L182" s="392">
        <v>0.2</v>
      </c>
      <c r="M182" s="393">
        <v>0.2</v>
      </c>
      <c r="N182" s="4"/>
      <c r="O182" s="107" t="s">
        <v>356</v>
      </c>
      <c r="P182" s="4"/>
      <c r="Q182" s="4"/>
      <c r="R182" s="4"/>
      <c r="S182" s="4"/>
      <c r="T182" s="4"/>
      <c r="U182" s="4"/>
      <c r="V182" s="4"/>
      <c r="W182" s="4"/>
      <c r="X182" s="4"/>
      <c r="Y182" s="4"/>
      <c r="Z182" s="4"/>
    </row>
    <row r="183" spans="1:26" ht="15.75" customHeight="1" x14ac:dyDescent="0.25">
      <c r="A183" s="4"/>
      <c r="B183" s="396"/>
      <c r="C183" s="68"/>
      <c r="D183" s="68"/>
      <c r="E183" s="68"/>
      <c r="F183" s="406"/>
      <c r="G183" s="68"/>
      <c r="H183" s="202"/>
      <c r="I183" s="68"/>
      <c r="J183" s="448"/>
      <c r="K183" s="416"/>
      <c r="L183" s="400"/>
      <c r="M183" s="401"/>
      <c r="N183" s="4"/>
      <c r="O183" s="107"/>
      <c r="P183" s="4"/>
      <c r="Q183" s="4"/>
      <c r="R183" s="4"/>
      <c r="S183" s="4"/>
      <c r="T183" s="4"/>
      <c r="U183" s="4"/>
      <c r="V183" s="4"/>
      <c r="W183" s="4"/>
      <c r="X183" s="4"/>
      <c r="Y183" s="4"/>
      <c r="Z183" s="4"/>
    </row>
    <row r="184" spans="1:26" ht="15.75" customHeight="1" x14ac:dyDescent="0.25">
      <c r="A184" s="4"/>
      <c r="B184" s="143"/>
      <c r="C184" s="449"/>
      <c r="D184" s="449"/>
      <c r="E184" s="449"/>
      <c r="F184" s="450"/>
      <c r="G184" s="449"/>
      <c r="H184" s="451"/>
      <c r="I184" s="449"/>
      <c r="J184" s="452"/>
      <c r="K184" s="453"/>
      <c r="L184" s="454"/>
      <c r="M184" s="455"/>
      <c r="N184" s="4"/>
      <c r="O184" s="107"/>
      <c r="P184" s="4"/>
      <c r="Q184" s="4"/>
      <c r="R184" s="4"/>
      <c r="S184" s="4"/>
      <c r="T184" s="4"/>
      <c r="U184" s="4"/>
      <c r="V184" s="4"/>
      <c r="W184" s="4"/>
      <c r="X184" s="4"/>
      <c r="Y184" s="4"/>
      <c r="Z184" s="4"/>
    </row>
    <row r="185" spans="1:26" ht="15.75" customHeight="1" x14ac:dyDescent="0.25">
      <c r="A185" s="4"/>
      <c r="B185" s="116" t="s">
        <v>447</v>
      </c>
      <c r="C185" s="87" t="s">
        <v>448</v>
      </c>
      <c r="D185" s="86"/>
      <c r="E185" s="86"/>
      <c r="F185" s="206"/>
      <c r="G185" s="86"/>
      <c r="H185" s="456"/>
      <c r="I185" s="86"/>
      <c r="J185" s="457"/>
      <c r="K185" s="294"/>
      <c r="L185" s="458"/>
      <c r="M185" s="459"/>
      <c r="N185" s="4"/>
      <c r="O185" s="107"/>
      <c r="P185" s="4"/>
      <c r="Q185" s="4"/>
      <c r="R185" s="4"/>
      <c r="S185" s="4"/>
      <c r="T185" s="4"/>
      <c r="U185" s="4"/>
      <c r="V185" s="4"/>
      <c r="W185" s="4"/>
      <c r="X185" s="4"/>
      <c r="Y185" s="4"/>
      <c r="Z185" s="4"/>
    </row>
    <row r="186" spans="1:26" ht="15.75" customHeight="1" x14ac:dyDescent="0.25">
      <c r="A186" s="4"/>
      <c r="B186" s="143"/>
      <c r="C186" s="86" t="s">
        <v>449</v>
      </c>
      <c r="D186" s="436">
        <v>1</v>
      </c>
      <c r="E186" s="86" t="s">
        <v>450</v>
      </c>
      <c r="F186" s="206">
        <f>(J186*1000000)/140000</f>
        <v>110157.14285714286</v>
      </c>
      <c r="G186" s="86" t="s">
        <v>354</v>
      </c>
      <c r="H186" s="456">
        <v>140000</v>
      </c>
      <c r="I186" s="86" t="s">
        <v>355</v>
      </c>
      <c r="J186" s="460">
        <v>15422</v>
      </c>
      <c r="K186" s="461">
        <v>918.6961865552779</v>
      </c>
      <c r="L186" s="461">
        <v>6.5874123999576206E-2</v>
      </c>
      <c r="M186" s="462">
        <v>2.2827666732526411E-2</v>
      </c>
      <c r="N186" s="4"/>
      <c r="O186" s="107" t="s">
        <v>356</v>
      </c>
      <c r="P186" s="4"/>
      <c r="Q186" s="4"/>
      <c r="R186" s="4"/>
      <c r="S186" s="4"/>
      <c r="T186" s="4"/>
      <c r="U186" s="4"/>
      <c r="V186" s="4"/>
      <c r="W186" s="4"/>
      <c r="X186" s="4"/>
      <c r="Y186" s="4"/>
      <c r="Z186" s="4"/>
    </row>
    <row r="187" spans="1:26" ht="15.75" customHeight="1" x14ac:dyDescent="0.25">
      <c r="A187" s="4"/>
      <c r="B187" s="143"/>
      <c r="C187" s="86"/>
      <c r="D187" s="436"/>
      <c r="E187" s="86"/>
      <c r="F187" s="206"/>
      <c r="G187" s="86"/>
      <c r="H187" s="456"/>
      <c r="I187" s="86"/>
      <c r="J187" s="457"/>
      <c r="K187" s="294"/>
      <c r="L187" s="458"/>
      <c r="M187" s="459"/>
      <c r="N187" s="4"/>
      <c r="O187" s="107"/>
      <c r="P187" s="4"/>
      <c r="Q187" s="4"/>
      <c r="R187" s="4"/>
      <c r="S187" s="4"/>
      <c r="T187" s="4"/>
      <c r="U187" s="4"/>
      <c r="V187" s="4"/>
      <c r="W187" s="4"/>
      <c r="X187" s="4"/>
      <c r="Y187" s="4"/>
      <c r="Z187" s="4"/>
    </row>
    <row r="188" spans="1:26" ht="15.75" customHeight="1" x14ac:dyDescent="0.25">
      <c r="A188" s="4"/>
      <c r="B188" s="143"/>
      <c r="C188" s="86" t="s">
        <v>451</v>
      </c>
      <c r="D188" s="436">
        <v>2</v>
      </c>
      <c r="E188" s="86" t="s">
        <v>450</v>
      </c>
      <c r="F188" s="206">
        <f>(J188*1000000)/H188</f>
        <v>111100</v>
      </c>
      <c r="G188" s="86" t="s">
        <v>354</v>
      </c>
      <c r="H188" s="456">
        <v>140000</v>
      </c>
      <c r="I188" s="86" t="s">
        <v>407</v>
      </c>
      <c r="J188" s="460">
        <v>15554</v>
      </c>
      <c r="K188" s="461">
        <v>926.76680407738411</v>
      </c>
      <c r="L188" s="461">
        <v>6.6329574791018017E-2</v>
      </c>
      <c r="M188" s="462">
        <v>2.2823079497984695E-2</v>
      </c>
      <c r="N188" s="4"/>
      <c r="O188" s="107" t="s">
        <v>356</v>
      </c>
      <c r="P188" s="4"/>
      <c r="Q188" s="4"/>
      <c r="R188" s="4"/>
      <c r="S188" s="4"/>
      <c r="T188" s="4"/>
      <c r="U188" s="4"/>
      <c r="V188" s="4"/>
      <c r="W188" s="4"/>
      <c r="X188" s="4"/>
      <c r="Y188" s="4"/>
      <c r="Z188" s="4"/>
    </row>
    <row r="189" spans="1:26" ht="15.75" customHeight="1" x14ac:dyDescent="0.25">
      <c r="A189" s="4"/>
      <c r="B189" s="143"/>
      <c r="C189" s="86"/>
      <c r="D189" s="86"/>
      <c r="E189" s="86"/>
      <c r="F189" s="206"/>
      <c r="G189" s="86"/>
      <c r="H189" s="206"/>
      <c r="I189" s="86"/>
      <c r="J189" s="359"/>
      <c r="K189" s="360"/>
      <c r="L189" s="382"/>
      <c r="M189" s="383"/>
      <c r="N189" s="4"/>
      <c r="O189" s="107"/>
      <c r="P189" s="4"/>
      <c r="Q189" s="4"/>
      <c r="R189" s="4"/>
      <c r="S189" s="4"/>
      <c r="T189" s="4"/>
      <c r="U189" s="4"/>
      <c r="V189" s="4"/>
      <c r="W189" s="4"/>
      <c r="X189" s="4"/>
      <c r="Y189" s="4"/>
      <c r="Z189" s="4"/>
    </row>
    <row r="190" spans="1:26" ht="15.75" customHeight="1" x14ac:dyDescent="0.25">
      <c r="A190" s="4"/>
      <c r="B190" s="362" t="s">
        <v>452</v>
      </c>
      <c r="C190" s="46" t="s">
        <v>453</v>
      </c>
      <c r="D190" s="45"/>
      <c r="E190" s="45"/>
      <c r="F190" s="363"/>
      <c r="G190" s="45"/>
      <c r="H190" s="363"/>
      <c r="I190" s="45"/>
      <c r="J190" s="364"/>
      <c r="K190" s="365"/>
      <c r="L190" s="384"/>
      <c r="M190" s="385"/>
      <c r="N190" s="4"/>
      <c r="O190" s="107"/>
      <c r="P190" s="4"/>
      <c r="Q190" s="4"/>
      <c r="R190" s="4"/>
      <c r="S190" s="4"/>
      <c r="T190" s="4"/>
      <c r="U190" s="4"/>
      <c r="V190" s="4"/>
      <c r="W190" s="4"/>
      <c r="X190" s="4"/>
      <c r="Y190" s="4"/>
      <c r="Z190" s="4"/>
    </row>
    <row r="191" spans="1:26" ht="15.75" customHeight="1" x14ac:dyDescent="0.25">
      <c r="A191" s="4"/>
      <c r="B191" s="126"/>
      <c r="C191" s="54" t="s">
        <v>454</v>
      </c>
      <c r="D191" s="54" t="s">
        <v>399</v>
      </c>
      <c r="E191" s="54" t="s">
        <v>455</v>
      </c>
      <c r="F191" s="53">
        <v>132000</v>
      </c>
      <c r="G191" s="54" t="s">
        <v>354</v>
      </c>
      <c r="H191" s="53">
        <v>139</v>
      </c>
      <c r="I191" s="54" t="s">
        <v>456</v>
      </c>
      <c r="J191" s="391">
        <v>18348</v>
      </c>
      <c r="K191" s="368">
        <v>1441</v>
      </c>
      <c r="L191" s="392">
        <v>0.01</v>
      </c>
      <c r="M191" s="393">
        <v>0.02</v>
      </c>
      <c r="N191" s="4"/>
      <c r="O191" s="107" t="s">
        <v>356</v>
      </c>
      <c r="P191" s="4"/>
      <c r="Q191" s="4"/>
      <c r="R191" s="4"/>
      <c r="S191" s="4"/>
      <c r="T191" s="4"/>
      <c r="U191" s="4"/>
      <c r="V191" s="4"/>
      <c r="W191" s="4"/>
      <c r="X191" s="4"/>
      <c r="Y191" s="4"/>
      <c r="Z191" s="4"/>
    </row>
    <row r="192" spans="1:26" ht="15.75" customHeight="1" x14ac:dyDescent="0.25">
      <c r="A192" s="4"/>
      <c r="B192" s="126"/>
      <c r="C192" s="54" t="s">
        <v>457</v>
      </c>
      <c r="D192" s="54" t="s">
        <v>401</v>
      </c>
      <c r="E192" s="54" t="s">
        <v>455</v>
      </c>
      <c r="F192" s="53">
        <v>167000</v>
      </c>
      <c r="G192" s="54" t="s">
        <v>354</v>
      </c>
      <c r="H192" s="53">
        <v>139</v>
      </c>
      <c r="I192" s="54" t="s">
        <v>456</v>
      </c>
      <c r="J192" s="391">
        <v>23213</v>
      </c>
      <c r="K192" s="368">
        <v>1827</v>
      </c>
      <c r="L192" s="392">
        <v>0.02</v>
      </c>
      <c r="M192" s="393">
        <v>0.02</v>
      </c>
      <c r="N192" s="4"/>
      <c r="O192" s="107" t="s">
        <v>356</v>
      </c>
      <c r="P192" s="4"/>
      <c r="Q192" s="4"/>
      <c r="R192" s="4"/>
      <c r="S192" s="4"/>
      <c r="T192" s="4"/>
      <c r="U192" s="4"/>
      <c r="V192" s="4"/>
      <c r="W192" s="4"/>
      <c r="X192" s="4"/>
      <c r="Y192" s="4"/>
      <c r="Z192" s="4"/>
    </row>
    <row r="193" spans="1:26" ht="15.75" customHeight="1" x14ac:dyDescent="0.25">
      <c r="A193" s="4"/>
      <c r="B193" s="126"/>
      <c r="C193" s="54" t="s">
        <v>458</v>
      </c>
      <c r="D193" s="54" t="s">
        <v>403</v>
      </c>
      <c r="E193" s="54" t="s">
        <v>455</v>
      </c>
      <c r="F193" s="53">
        <v>161000</v>
      </c>
      <c r="G193" s="54" t="s">
        <v>354</v>
      </c>
      <c r="H193" s="53">
        <v>139</v>
      </c>
      <c r="I193" s="54" t="s">
        <v>456</v>
      </c>
      <c r="J193" s="391">
        <v>22379</v>
      </c>
      <c r="K193" s="368">
        <v>1757</v>
      </c>
      <c r="L193" s="392">
        <v>0.02</v>
      </c>
      <c r="M193" s="393">
        <v>0.02</v>
      </c>
      <c r="N193" s="4"/>
      <c r="O193" s="107" t="s">
        <v>356</v>
      </c>
      <c r="P193" s="4"/>
      <c r="Q193" s="4"/>
      <c r="R193" s="4"/>
      <c r="S193" s="4"/>
      <c r="T193" s="4"/>
      <c r="U193" s="4"/>
      <c r="V193" s="4"/>
      <c r="W193" s="4"/>
      <c r="X193" s="4"/>
      <c r="Y193" s="4"/>
      <c r="Z193" s="4"/>
    </row>
    <row r="194" spans="1:26" ht="15.75" customHeight="1" x14ac:dyDescent="0.25">
      <c r="A194" s="4"/>
      <c r="B194" s="396"/>
      <c r="C194" s="68" t="s">
        <v>459</v>
      </c>
      <c r="D194" s="68" t="s">
        <v>405</v>
      </c>
      <c r="E194" s="68" t="s">
        <v>455</v>
      </c>
      <c r="F194" s="202">
        <v>187000</v>
      </c>
      <c r="G194" s="68" t="s">
        <v>354</v>
      </c>
      <c r="H194" s="202">
        <v>139</v>
      </c>
      <c r="I194" s="68" t="s">
        <v>456</v>
      </c>
      <c r="J194" s="398">
        <v>25993</v>
      </c>
      <c r="K194" s="416">
        <v>2042</v>
      </c>
      <c r="L194" s="400">
        <v>0.02</v>
      </c>
      <c r="M194" s="401">
        <v>0.02</v>
      </c>
      <c r="N194" s="4"/>
      <c r="O194" s="107" t="s">
        <v>356</v>
      </c>
      <c r="P194" s="4"/>
      <c r="Q194" s="4"/>
      <c r="R194" s="4"/>
      <c r="S194" s="4"/>
      <c r="T194" s="4"/>
      <c r="U194" s="4"/>
      <c r="V194" s="4"/>
      <c r="W194" s="4"/>
      <c r="X194" s="4"/>
      <c r="Y194" s="4"/>
      <c r="Z194" s="4"/>
    </row>
    <row r="195" spans="1:26" ht="15.75" customHeight="1" x14ac:dyDescent="0.25">
      <c r="A195" s="4"/>
      <c r="B195" s="362"/>
      <c r="C195" s="45"/>
      <c r="D195" s="45"/>
      <c r="E195" s="45"/>
      <c r="F195" s="363"/>
      <c r="G195" s="45"/>
      <c r="H195" s="363"/>
      <c r="I195" s="45"/>
      <c r="J195" s="410"/>
      <c r="K195" s="365"/>
      <c r="L195" s="384"/>
      <c r="M195" s="385"/>
      <c r="N195" s="4"/>
      <c r="O195" s="107"/>
      <c r="P195" s="4"/>
      <c r="Q195" s="4"/>
      <c r="R195" s="4"/>
      <c r="S195" s="4"/>
      <c r="T195" s="4"/>
      <c r="U195" s="4"/>
      <c r="V195" s="4"/>
      <c r="W195" s="4"/>
      <c r="X195" s="4"/>
      <c r="Y195" s="4"/>
      <c r="Z195" s="4"/>
    </row>
    <row r="196" spans="1:26" ht="15.75" customHeight="1" x14ac:dyDescent="0.25">
      <c r="A196" s="4"/>
      <c r="B196" s="463"/>
      <c r="C196" s="69"/>
      <c r="D196" s="68"/>
      <c r="E196" s="68"/>
      <c r="F196" s="202"/>
      <c r="G196" s="68"/>
      <c r="H196" s="202"/>
      <c r="I196" s="68"/>
      <c r="J196" s="448"/>
      <c r="K196" s="416"/>
      <c r="L196" s="71"/>
      <c r="M196" s="401"/>
      <c r="N196" s="4"/>
      <c r="O196" s="107"/>
      <c r="P196" s="4"/>
      <c r="Q196" s="4"/>
      <c r="R196" s="4"/>
      <c r="S196" s="4"/>
      <c r="T196" s="4"/>
      <c r="U196" s="4"/>
      <c r="V196" s="4"/>
      <c r="W196" s="4"/>
      <c r="X196" s="4"/>
      <c r="Y196" s="4"/>
      <c r="Z196" s="4"/>
    </row>
    <row r="197" spans="1:26" ht="15.75" customHeight="1" x14ac:dyDescent="0.25">
      <c r="A197" s="4"/>
      <c r="B197" s="362" t="s">
        <v>460</v>
      </c>
      <c r="C197" s="46" t="s">
        <v>461</v>
      </c>
      <c r="D197" s="45"/>
      <c r="E197" s="45"/>
      <c r="F197" s="464"/>
      <c r="G197" s="45"/>
      <c r="H197" s="363"/>
      <c r="I197" s="45"/>
      <c r="J197" s="465"/>
      <c r="K197" s="365"/>
      <c r="L197" s="466"/>
      <c r="M197" s="467"/>
      <c r="N197" s="4"/>
      <c r="O197" s="107"/>
      <c r="P197" s="4"/>
      <c r="Q197" s="4"/>
      <c r="R197" s="4"/>
      <c r="S197" s="4"/>
      <c r="T197" s="4"/>
      <c r="U197" s="4"/>
      <c r="V197" s="4"/>
      <c r="W197" s="4"/>
      <c r="X197" s="4"/>
      <c r="Y197" s="4"/>
      <c r="Z197" s="4"/>
    </row>
    <row r="198" spans="1:26" ht="15.75" customHeight="1" x14ac:dyDescent="0.25">
      <c r="A198" s="4"/>
      <c r="B198" s="468"/>
      <c r="C198" s="54" t="s">
        <v>462</v>
      </c>
      <c r="D198" s="4" t="s">
        <v>463</v>
      </c>
      <c r="E198" s="54" t="s">
        <v>464</v>
      </c>
      <c r="F198" s="53">
        <v>5471</v>
      </c>
      <c r="G198" s="54" t="s">
        <v>354</v>
      </c>
      <c r="H198" s="53">
        <v>137</v>
      </c>
      <c r="I198" s="54" t="s">
        <v>465</v>
      </c>
      <c r="J198" s="391">
        <v>749.52700000000004</v>
      </c>
      <c r="K198" s="378">
        <v>61.8</v>
      </c>
      <c r="L198" s="405">
        <v>3.0000000000000001E-3</v>
      </c>
      <c r="M198" s="469">
        <v>0</v>
      </c>
      <c r="N198" s="4"/>
      <c r="O198" s="107" t="s">
        <v>270</v>
      </c>
      <c r="P198" s="4"/>
      <c r="Q198" s="4"/>
      <c r="R198" s="4"/>
      <c r="S198" s="4"/>
      <c r="T198" s="4"/>
      <c r="U198" s="4"/>
      <c r="V198" s="4"/>
      <c r="W198" s="4"/>
      <c r="X198" s="4"/>
      <c r="Y198" s="4"/>
      <c r="Z198" s="4"/>
    </row>
    <row r="199" spans="1:26" ht="15.75" customHeight="1" x14ac:dyDescent="0.25">
      <c r="A199" s="4"/>
      <c r="B199" s="468"/>
      <c r="C199" s="54" t="s">
        <v>466</v>
      </c>
      <c r="D199" s="4" t="s">
        <v>467</v>
      </c>
      <c r="E199" s="54" t="s">
        <v>464</v>
      </c>
      <c r="F199" s="53">
        <v>5811</v>
      </c>
      <c r="G199" s="54" t="s">
        <v>354</v>
      </c>
      <c r="H199" s="53">
        <v>137</v>
      </c>
      <c r="I199" s="54" t="s">
        <v>465</v>
      </c>
      <c r="J199" s="391">
        <v>796.10699999999997</v>
      </c>
      <c r="K199" s="378">
        <v>65.7</v>
      </c>
      <c r="L199" s="405">
        <v>3.0000000000000001E-3</v>
      </c>
      <c r="M199" s="469">
        <v>0</v>
      </c>
      <c r="N199" s="4"/>
      <c r="O199" s="107" t="s">
        <v>270</v>
      </c>
      <c r="P199" s="4"/>
      <c r="Q199" s="4"/>
      <c r="R199" s="4"/>
      <c r="S199" s="4"/>
      <c r="T199" s="4"/>
      <c r="U199" s="4"/>
      <c r="V199" s="4"/>
      <c r="W199" s="4"/>
      <c r="X199" s="4"/>
      <c r="Y199" s="4"/>
      <c r="Z199" s="4"/>
    </row>
    <row r="200" spans="1:26" ht="15.75" customHeight="1" x14ac:dyDescent="0.25">
      <c r="A200" s="4"/>
      <c r="B200" s="468"/>
      <c r="C200" s="54" t="s">
        <v>468</v>
      </c>
      <c r="D200" s="4" t="s">
        <v>469</v>
      </c>
      <c r="E200" s="54" t="s">
        <v>464</v>
      </c>
      <c r="F200" s="53">
        <v>20420</v>
      </c>
      <c r="G200" s="54" t="s">
        <v>354</v>
      </c>
      <c r="H200" s="53">
        <v>137</v>
      </c>
      <c r="I200" s="54" t="s">
        <v>465</v>
      </c>
      <c r="J200" s="391">
        <v>2797.54</v>
      </c>
      <c r="K200" s="378">
        <v>230.7</v>
      </c>
      <c r="L200" s="405">
        <v>1.0999999999999999E-2</v>
      </c>
      <c r="M200" s="469">
        <v>1E-3</v>
      </c>
      <c r="N200" s="4"/>
      <c r="O200" s="107" t="s">
        <v>270</v>
      </c>
      <c r="P200" s="4"/>
      <c r="Q200" s="4"/>
      <c r="R200" s="4"/>
      <c r="S200" s="4"/>
      <c r="T200" s="4"/>
      <c r="U200" s="4"/>
      <c r="V200" s="4"/>
      <c r="W200" s="4"/>
      <c r="X200" s="4"/>
      <c r="Y200" s="4"/>
      <c r="Z200" s="4"/>
    </row>
    <row r="201" spans="1:26" ht="15.75" customHeight="1" x14ac:dyDescent="0.25">
      <c r="A201" s="4"/>
      <c r="B201" s="468"/>
      <c r="C201" s="54" t="s">
        <v>470</v>
      </c>
      <c r="D201" s="4" t="s">
        <v>417</v>
      </c>
      <c r="E201" s="54" t="s">
        <v>464</v>
      </c>
      <c r="F201" s="53">
        <v>20146</v>
      </c>
      <c r="G201" s="54" t="s">
        <v>354</v>
      </c>
      <c r="H201" s="53">
        <v>137</v>
      </c>
      <c r="I201" s="54" t="s">
        <v>465</v>
      </c>
      <c r="J201" s="391">
        <v>2760.002</v>
      </c>
      <c r="K201" s="378">
        <v>227.6</v>
      </c>
      <c r="L201" s="405">
        <v>1.0999999999999999E-2</v>
      </c>
      <c r="M201" s="469">
        <v>1E-3</v>
      </c>
      <c r="N201" s="4"/>
      <c r="O201" s="107" t="s">
        <v>270</v>
      </c>
      <c r="P201" s="4"/>
      <c r="Q201" s="4"/>
      <c r="R201" s="4"/>
      <c r="S201" s="4"/>
      <c r="T201" s="4"/>
      <c r="U201" s="4"/>
      <c r="V201" s="4"/>
      <c r="W201" s="4"/>
      <c r="X201" s="4"/>
      <c r="Y201" s="4"/>
      <c r="Z201" s="4"/>
    </row>
    <row r="202" spans="1:26" ht="15.75" customHeight="1" x14ac:dyDescent="0.25">
      <c r="A202" s="4"/>
      <c r="B202" s="468"/>
      <c r="C202" s="54" t="s">
        <v>471</v>
      </c>
      <c r="D202" s="4" t="s">
        <v>472</v>
      </c>
      <c r="E202" s="54" t="s">
        <v>464</v>
      </c>
      <c r="F202" s="53">
        <v>26491</v>
      </c>
      <c r="G202" s="54" t="s">
        <v>354</v>
      </c>
      <c r="H202" s="53">
        <v>137</v>
      </c>
      <c r="I202" s="54" t="s">
        <v>465</v>
      </c>
      <c r="J202" s="391">
        <v>3629.2669999999998</v>
      </c>
      <c r="K202" s="378">
        <v>299.3</v>
      </c>
      <c r="L202" s="405">
        <v>1.4999999999999999E-2</v>
      </c>
      <c r="M202" s="469">
        <v>1E-3</v>
      </c>
      <c r="N202" s="4"/>
      <c r="O202" s="107" t="s">
        <v>270</v>
      </c>
      <c r="P202" s="4"/>
      <c r="Q202" s="4"/>
      <c r="R202" s="4"/>
      <c r="S202" s="4"/>
      <c r="T202" s="4"/>
      <c r="U202" s="4"/>
      <c r="V202" s="4"/>
      <c r="W202" s="4"/>
      <c r="X202" s="4"/>
      <c r="Y202" s="4"/>
      <c r="Z202" s="4"/>
    </row>
    <row r="203" spans="1:26" ht="15.75" customHeight="1" x14ac:dyDescent="0.25">
      <c r="A203" s="4"/>
      <c r="B203" s="468"/>
      <c r="C203" s="54" t="s">
        <v>473</v>
      </c>
      <c r="D203" s="4" t="s">
        <v>474</v>
      </c>
      <c r="E203" s="54" t="s">
        <v>464</v>
      </c>
      <c r="F203" s="53">
        <v>30331</v>
      </c>
      <c r="G203" s="54" t="s">
        <v>354</v>
      </c>
      <c r="H203" s="53">
        <v>137</v>
      </c>
      <c r="I203" s="54" t="s">
        <v>465</v>
      </c>
      <c r="J203" s="391">
        <v>4155.3469999999998</v>
      </c>
      <c r="K203" s="378">
        <v>342.7</v>
      </c>
      <c r="L203" s="405">
        <v>1.7000000000000001E-2</v>
      </c>
      <c r="M203" s="469">
        <v>2E-3</v>
      </c>
      <c r="N203" s="4"/>
      <c r="O203" s="107" t="s">
        <v>270</v>
      </c>
      <c r="P203" s="4"/>
      <c r="Q203" s="4"/>
      <c r="R203" s="4"/>
      <c r="S203" s="4"/>
      <c r="T203" s="4"/>
      <c r="U203" s="4"/>
      <c r="V203" s="4"/>
      <c r="W203" s="4"/>
      <c r="X203" s="4"/>
      <c r="Y203" s="4"/>
      <c r="Z203" s="4"/>
    </row>
    <row r="204" spans="1:26" ht="15.75" customHeight="1" x14ac:dyDescent="0.25">
      <c r="A204" s="4"/>
      <c r="B204" s="468"/>
      <c r="C204" s="54" t="s">
        <v>475</v>
      </c>
      <c r="D204" s="4" t="s">
        <v>476</v>
      </c>
      <c r="E204" s="54" t="s">
        <v>464</v>
      </c>
      <c r="F204" s="53">
        <v>26760</v>
      </c>
      <c r="G204" s="54" t="s">
        <v>354</v>
      </c>
      <c r="H204" s="53">
        <v>137</v>
      </c>
      <c r="I204" s="54" t="s">
        <v>465</v>
      </c>
      <c r="J204" s="391">
        <v>3666.12</v>
      </c>
      <c r="K204" s="378">
        <v>302.39999999999998</v>
      </c>
      <c r="L204" s="405">
        <v>1.4999999999999999E-2</v>
      </c>
      <c r="M204" s="469">
        <v>1E-3</v>
      </c>
      <c r="N204" s="4"/>
      <c r="O204" s="107" t="s">
        <v>270</v>
      </c>
      <c r="P204" s="4"/>
      <c r="Q204" s="4"/>
      <c r="R204" s="4"/>
      <c r="S204" s="4"/>
      <c r="T204" s="4"/>
      <c r="U204" s="4"/>
      <c r="V204" s="4"/>
      <c r="W204" s="4"/>
      <c r="X204" s="4"/>
      <c r="Y204" s="4"/>
      <c r="Z204" s="4"/>
    </row>
    <row r="205" spans="1:26" ht="15.75" customHeight="1" x14ac:dyDescent="0.25">
      <c r="A205" s="4"/>
      <c r="B205" s="468"/>
      <c r="C205" s="54" t="s">
        <v>477</v>
      </c>
      <c r="D205" s="4" t="s">
        <v>478</v>
      </c>
      <c r="E205" s="54" t="s">
        <v>464</v>
      </c>
      <c r="F205" s="53">
        <v>38516</v>
      </c>
      <c r="G205" s="54" t="s">
        <v>354</v>
      </c>
      <c r="H205" s="53">
        <v>137</v>
      </c>
      <c r="I205" s="54" t="s">
        <v>465</v>
      </c>
      <c r="J205" s="391">
        <v>5276.692</v>
      </c>
      <c r="K205" s="378">
        <v>435.2</v>
      </c>
      <c r="L205" s="405">
        <v>2.1000000000000001E-2</v>
      </c>
      <c r="M205" s="469">
        <v>2E-3</v>
      </c>
      <c r="N205" s="4"/>
      <c r="O205" s="107" t="s">
        <v>270</v>
      </c>
      <c r="P205" s="4"/>
      <c r="Q205" s="4"/>
      <c r="R205" s="4"/>
      <c r="S205" s="4"/>
      <c r="T205" s="4"/>
      <c r="U205" s="4"/>
      <c r="V205" s="4"/>
      <c r="W205" s="4"/>
      <c r="X205" s="4"/>
      <c r="Y205" s="4"/>
      <c r="Z205" s="4"/>
    </row>
    <row r="206" spans="1:26" ht="15.75" customHeight="1" x14ac:dyDescent="0.25">
      <c r="A206" s="4"/>
      <c r="B206" s="468"/>
      <c r="C206" s="54" t="s">
        <v>479</v>
      </c>
      <c r="D206" s="4" t="s">
        <v>480</v>
      </c>
      <c r="E206" s="54" t="s">
        <v>464</v>
      </c>
      <c r="F206" s="53">
        <v>68406</v>
      </c>
      <c r="G206" s="54" t="s">
        <v>354</v>
      </c>
      <c r="H206" s="53">
        <v>137</v>
      </c>
      <c r="I206" s="54" t="s">
        <v>465</v>
      </c>
      <c r="J206" s="391">
        <v>9371.6219999999994</v>
      </c>
      <c r="K206" s="378">
        <v>773</v>
      </c>
      <c r="L206" s="405">
        <v>3.7999999999999999E-2</v>
      </c>
      <c r="M206" s="470">
        <v>4.0000000000000001E-3</v>
      </c>
      <c r="N206" s="4"/>
      <c r="O206" s="107" t="s">
        <v>270</v>
      </c>
      <c r="P206" s="4"/>
      <c r="Q206" s="4"/>
      <c r="R206" s="4"/>
      <c r="S206" s="4"/>
      <c r="T206" s="4"/>
      <c r="U206" s="4"/>
      <c r="V206" s="4"/>
      <c r="W206" s="4"/>
      <c r="X206" s="4"/>
      <c r="Y206" s="4"/>
      <c r="Z206" s="4"/>
    </row>
    <row r="207" spans="1:26" ht="15.75" customHeight="1" x14ac:dyDescent="0.25">
      <c r="A207" s="4"/>
      <c r="B207" s="396"/>
      <c r="C207" s="68" t="s">
        <v>481</v>
      </c>
      <c r="D207" s="4" t="s">
        <v>482</v>
      </c>
      <c r="E207" s="68" t="s">
        <v>464</v>
      </c>
      <c r="F207" s="98">
        <v>26650</v>
      </c>
      <c r="G207" s="68" t="s">
        <v>354</v>
      </c>
      <c r="H207" s="202">
        <v>137</v>
      </c>
      <c r="I207" s="68" t="s">
        <v>465</v>
      </c>
      <c r="J207" s="398">
        <v>3651.05</v>
      </c>
      <c r="K207" s="471">
        <v>301.10000000000002</v>
      </c>
      <c r="L207" s="472">
        <v>1.4999999999999999E-2</v>
      </c>
      <c r="M207" s="473">
        <v>1E-3</v>
      </c>
      <c r="N207" s="4"/>
      <c r="O207" s="107" t="s">
        <v>270</v>
      </c>
      <c r="P207" s="4"/>
      <c r="Q207" s="4"/>
      <c r="R207" s="4"/>
      <c r="S207" s="4"/>
      <c r="T207" s="4"/>
      <c r="U207" s="4"/>
      <c r="V207" s="4"/>
      <c r="W207" s="4"/>
      <c r="X207" s="4"/>
      <c r="Y207" s="4"/>
      <c r="Z207" s="4"/>
    </row>
    <row r="208" spans="1:26" ht="15.75" customHeight="1" x14ac:dyDescent="0.25">
      <c r="A208" s="4"/>
      <c r="B208" s="362"/>
      <c r="C208" s="45"/>
      <c r="D208" s="45"/>
      <c r="E208" s="45"/>
      <c r="F208" s="363"/>
      <c r="G208" s="45"/>
      <c r="H208" s="363"/>
      <c r="I208" s="45"/>
      <c r="J208" s="364"/>
      <c r="K208" s="474"/>
      <c r="L208" s="384"/>
      <c r="M208" s="467"/>
      <c r="N208" s="4"/>
      <c r="O208" s="107"/>
      <c r="P208" s="4"/>
      <c r="Q208" s="4"/>
      <c r="R208" s="4"/>
      <c r="S208" s="4"/>
      <c r="T208" s="4"/>
      <c r="U208" s="4"/>
      <c r="V208" s="4"/>
      <c r="W208" s="4"/>
      <c r="X208" s="4"/>
      <c r="Y208" s="4"/>
      <c r="Z208" s="4"/>
    </row>
    <row r="209" spans="1:26" ht="15.75" customHeight="1" x14ac:dyDescent="0.25">
      <c r="A209" s="4"/>
      <c r="B209" s="126" t="s">
        <v>483</v>
      </c>
      <c r="C209" s="51" t="s">
        <v>484</v>
      </c>
      <c r="D209" s="54"/>
      <c r="E209" s="54"/>
      <c r="F209" s="53"/>
      <c r="G209" s="54"/>
      <c r="H209" s="53"/>
      <c r="I209" s="54"/>
      <c r="J209" s="475"/>
      <c r="K209" s="64"/>
      <c r="L209" s="67"/>
      <c r="M209" s="476"/>
      <c r="N209" s="4"/>
      <c r="O209" s="107"/>
      <c r="P209" s="4"/>
      <c r="Q209" s="4"/>
      <c r="R209" s="4"/>
      <c r="S209" s="4"/>
      <c r="T209" s="4"/>
      <c r="U209" s="4"/>
      <c r="V209" s="4"/>
      <c r="W209" s="4"/>
      <c r="X209" s="4"/>
      <c r="Y209" s="4"/>
      <c r="Z209" s="4"/>
    </row>
    <row r="210" spans="1:26" ht="15.75" customHeight="1" x14ac:dyDescent="0.25">
      <c r="A210" s="4"/>
      <c r="B210" s="126"/>
      <c r="C210" s="54" t="s">
        <v>485</v>
      </c>
      <c r="D210" s="4" t="s">
        <v>486</v>
      </c>
      <c r="E210" s="54" t="s">
        <v>464</v>
      </c>
      <c r="F210" s="372">
        <v>5013</v>
      </c>
      <c r="G210" s="54" t="s">
        <v>354</v>
      </c>
      <c r="H210" s="53">
        <v>137000</v>
      </c>
      <c r="I210" s="54" t="s">
        <v>487</v>
      </c>
      <c r="J210" s="477">
        <v>687</v>
      </c>
      <c r="K210" s="394">
        <v>56.6</v>
      </c>
      <c r="L210" s="375">
        <v>3.0000000000000001E-3</v>
      </c>
      <c r="M210" s="376">
        <v>0</v>
      </c>
      <c r="N210" s="4"/>
      <c r="O210" s="107" t="s">
        <v>356</v>
      </c>
      <c r="P210" s="4"/>
      <c r="Q210" s="4"/>
      <c r="R210" s="4"/>
      <c r="S210" s="4"/>
      <c r="T210" s="4"/>
      <c r="U210" s="4"/>
      <c r="V210" s="4"/>
      <c r="W210" s="4"/>
      <c r="X210" s="4"/>
      <c r="Y210" s="4"/>
      <c r="Z210" s="4"/>
    </row>
    <row r="211" spans="1:26" ht="15.75" customHeight="1" x14ac:dyDescent="0.25">
      <c r="A211" s="4"/>
      <c r="B211" s="126"/>
      <c r="C211" s="54" t="s">
        <v>488</v>
      </c>
      <c r="D211" s="4" t="s">
        <v>489</v>
      </c>
      <c r="E211" s="54" t="s">
        <v>464</v>
      </c>
      <c r="F211" s="372">
        <v>5289</v>
      </c>
      <c r="G211" s="54" t="s">
        <v>354</v>
      </c>
      <c r="H211" s="53">
        <v>137000</v>
      </c>
      <c r="I211" s="54" t="s">
        <v>487</v>
      </c>
      <c r="J211" s="477">
        <v>725</v>
      </c>
      <c r="K211" s="394">
        <v>59.8</v>
      </c>
      <c r="L211" s="375">
        <v>3.0000000000000001E-3</v>
      </c>
      <c r="M211" s="376">
        <v>0</v>
      </c>
      <c r="N211" s="4"/>
      <c r="O211" s="107" t="s">
        <v>356</v>
      </c>
      <c r="P211" s="4"/>
      <c r="Q211" s="4"/>
      <c r="R211" s="4"/>
      <c r="S211" s="4"/>
      <c r="T211" s="4"/>
      <c r="U211" s="4"/>
      <c r="V211" s="4"/>
      <c r="W211" s="4"/>
      <c r="X211" s="4"/>
      <c r="Y211" s="4"/>
      <c r="Z211" s="4"/>
    </row>
    <row r="212" spans="1:26" ht="15.75" customHeight="1" x14ac:dyDescent="0.25">
      <c r="A212" s="4"/>
      <c r="B212" s="126"/>
      <c r="C212" s="54" t="s">
        <v>490</v>
      </c>
      <c r="D212" s="4" t="s">
        <v>491</v>
      </c>
      <c r="E212" s="54" t="s">
        <v>464</v>
      </c>
      <c r="F212" s="372">
        <v>44606</v>
      </c>
      <c r="G212" s="54" t="s">
        <v>354</v>
      </c>
      <c r="H212" s="53">
        <v>137000</v>
      </c>
      <c r="I212" s="54" t="s">
        <v>487</v>
      </c>
      <c r="J212" s="478">
        <v>6111</v>
      </c>
      <c r="K212" s="370">
        <v>504</v>
      </c>
      <c r="L212" s="479">
        <v>0</v>
      </c>
      <c r="M212" s="480">
        <v>0</v>
      </c>
      <c r="N212" s="4"/>
      <c r="O212" s="107" t="s">
        <v>356</v>
      </c>
      <c r="P212" s="4"/>
      <c r="Q212" s="4"/>
      <c r="R212" s="4"/>
      <c r="S212" s="4"/>
      <c r="T212" s="4"/>
      <c r="U212" s="4"/>
      <c r="V212" s="4"/>
      <c r="W212" s="4"/>
      <c r="X212" s="4"/>
      <c r="Y212" s="4"/>
      <c r="Z212" s="4"/>
    </row>
    <row r="213" spans="1:26" ht="15.75" customHeight="1" x14ac:dyDescent="0.25">
      <c r="A213" s="4"/>
      <c r="B213" s="126"/>
      <c r="C213" s="54" t="s">
        <v>492</v>
      </c>
      <c r="D213" s="4" t="s">
        <v>493</v>
      </c>
      <c r="E213" s="54" t="s">
        <v>464</v>
      </c>
      <c r="F213" s="372">
        <v>47695</v>
      </c>
      <c r="G213" s="54" t="s">
        <v>354</v>
      </c>
      <c r="H213" s="53">
        <v>137000</v>
      </c>
      <c r="I213" s="54" t="s">
        <v>487</v>
      </c>
      <c r="J213" s="477">
        <v>6534</v>
      </c>
      <c r="K213" s="394">
        <v>539</v>
      </c>
      <c r="L213" s="375">
        <v>0</v>
      </c>
      <c r="M213" s="376">
        <v>0</v>
      </c>
      <c r="N213" s="4"/>
      <c r="O213" s="107" t="s">
        <v>356</v>
      </c>
      <c r="P213" s="4"/>
      <c r="Q213" s="4"/>
      <c r="R213" s="4"/>
      <c r="S213" s="4"/>
      <c r="T213" s="4"/>
      <c r="U213" s="4"/>
      <c r="V213" s="4"/>
      <c r="W213" s="4"/>
      <c r="X213" s="4"/>
      <c r="Y213" s="4"/>
      <c r="Z213" s="4"/>
    </row>
    <row r="214" spans="1:26" ht="15.75" customHeight="1" x14ac:dyDescent="0.25">
      <c r="A214" s="4"/>
      <c r="B214" s="126"/>
      <c r="C214" s="54" t="s">
        <v>494</v>
      </c>
      <c r="D214" s="4" t="s">
        <v>495</v>
      </c>
      <c r="E214" s="54" t="s">
        <v>464</v>
      </c>
      <c r="F214" s="372">
        <v>45059</v>
      </c>
      <c r="G214" s="54" t="s">
        <v>354</v>
      </c>
      <c r="H214" s="53">
        <v>137000</v>
      </c>
      <c r="I214" s="54" t="s">
        <v>487</v>
      </c>
      <c r="J214" s="477">
        <v>6173</v>
      </c>
      <c r="K214" s="394">
        <v>488.68</v>
      </c>
      <c r="L214" s="375">
        <v>2.41E-2</v>
      </c>
      <c r="M214" s="376">
        <v>2.0999999999999999E-3</v>
      </c>
      <c r="N214" s="4"/>
      <c r="O214" s="107" t="s">
        <v>356</v>
      </c>
      <c r="P214" s="4"/>
      <c r="Q214" s="4"/>
      <c r="R214" s="4"/>
      <c r="S214" s="4"/>
      <c r="T214" s="4"/>
      <c r="U214" s="4"/>
      <c r="V214" s="4"/>
      <c r="W214" s="4"/>
      <c r="X214" s="4"/>
      <c r="Y214" s="4"/>
      <c r="Z214" s="4"/>
    </row>
    <row r="215" spans="1:26" ht="15.75" customHeight="1" x14ac:dyDescent="0.25">
      <c r="A215" s="4"/>
      <c r="B215" s="126"/>
      <c r="C215" s="54" t="s">
        <v>496</v>
      </c>
      <c r="D215" s="4" t="s">
        <v>497</v>
      </c>
      <c r="E215" s="54" t="s">
        <v>464</v>
      </c>
      <c r="F215" s="372">
        <v>58124</v>
      </c>
      <c r="G215" s="54" t="s">
        <v>354</v>
      </c>
      <c r="H215" s="53">
        <v>137000</v>
      </c>
      <c r="I215" s="54" t="s">
        <v>487</v>
      </c>
      <c r="J215" s="477">
        <v>7963</v>
      </c>
      <c r="K215" s="394">
        <v>638.66</v>
      </c>
      <c r="L215" s="375">
        <v>3.1300000000000001E-2</v>
      </c>
      <c r="M215" s="481">
        <v>3.3999999999999998E-3</v>
      </c>
      <c r="N215" s="4"/>
      <c r="O215" s="107" t="s">
        <v>356</v>
      </c>
      <c r="P215" s="4"/>
      <c r="Q215" s="4"/>
      <c r="R215" s="4"/>
      <c r="S215" s="4"/>
      <c r="T215" s="4"/>
      <c r="U215" s="4"/>
      <c r="V215" s="4"/>
      <c r="W215" s="4"/>
      <c r="X215" s="4"/>
      <c r="Y215" s="4"/>
      <c r="Z215" s="4"/>
    </row>
    <row r="216" spans="1:26" ht="15.75" customHeight="1" x14ac:dyDescent="0.25">
      <c r="A216" s="4"/>
      <c r="B216" s="126"/>
      <c r="C216" s="54" t="s">
        <v>498</v>
      </c>
      <c r="D216" s="4" t="s">
        <v>499</v>
      </c>
      <c r="E216" s="54" t="s">
        <v>464</v>
      </c>
      <c r="F216" s="372">
        <v>39785</v>
      </c>
      <c r="G216" s="54" t="s">
        <v>354</v>
      </c>
      <c r="H216" s="53">
        <v>137000</v>
      </c>
      <c r="I216" s="54" t="s">
        <v>487</v>
      </c>
      <c r="J216" s="477">
        <v>5451</v>
      </c>
      <c r="K216" s="394">
        <v>427.43</v>
      </c>
      <c r="L216" s="403">
        <v>2.12E-2</v>
      </c>
      <c r="M216" s="376">
        <v>2.2000000000000001E-3</v>
      </c>
      <c r="N216" s="4"/>
      <c r="O216" s="107" t="s">
        <v>356</v>
      </c>
      <c r="P216" s="4"/>
      <c r="Q216" s="4"/>
      <c r="R216" s="4"/>
      <c r="S216" s="4"/>
      <c r="T216" s="4"/>
      <c r="U216" s="4"/>
      <c r="V216" s="4"/>
      <c r="W216" s="4"/>
      <c r="X216" s="4"/>
      <c r="Y216" s="4"/>
      <c r="Z216" s="4"/>
    </row>
    <row r="217" spans="1:26" ht="15.75" customHeight="1" x14ac:dyDescent="0.25">
      <c r="A217" s="4"/>
      <c r="B217" s="396"/>
      <c r="C217" s="68" t="s">
        <v>500</v>
      </c>
      <c r="D217" s="4" t="s">
        <v>501</v>
      </c>
      <c r="E217" s="68" t="s">
        <v>464</v>
      </c>
      <c r="F217" s="406">
        <v>26150</v>
      </c>
      <c r="G217" s="68" t="s">
        <v>354</v>
      </c>
      <c r="H217" s="202">
        <v>137000</v>
      </c>
      <c r="I217" s="68" t="s">
        <v>487</v>
      </c>
      <c r="J217" s="482">
        <v>3583</v>
      </c>
      <c r="K217" s="432">
        <v>277.77999999999997</v>
      </c>
      <c r="L217" s="408">
        <v>1.3599999999999999E-2</v>
      </c>
      <c r="M217" s="409">
        <v>1.1999999999999999E-3</v>
      </c>
      <c r="N217" s="4"/>
      <c r="O217" s="107" t="s">
        <v>356</v>
      </c>
      <c r="P217" s="4"/>
      <c r="Q217" s="4"/>
      <c r="R217" s="4"/>
      <c r="S217" s="4"/>
      <c r="T217" s="4"/>
      <c r="U217" s="4"/>
      <c r="V217" s="4"/>
      <c r="W217" s="4"/>
      <c r="X217" s="4"/>
      <c r="Y217" s="4"/>
      <c r="Z217" s="4"/>
    </row>
    <row r="218" spans="1:26" ht="15.75" customHeight="1" x14ac:dyDescent="0.25">
      <c r="A218" s="4"/>
      <c r="B218" s="143"/>
      <c r="C218" s="86"/>
      <c r="D218" s="86"/>
      <c r="E218" s="86"/>
      <c r="F218" s="206"/>
      <c r="G218" s="86"/>
      <c r="H218" s="206"/>
      <c r="I218" s="86"/>
      <c r="J218" s="359"/>
      <c r="K218" s="483"/>
      <c r="L218" s="217"/>
      <c r="M218" s="484"/>
      <c r="N218" s="4"/>
      <c r="O218" s="107"/>
      <c r="P218" s="4"/>
      <c r="Q218" s="4"/>
      <c r="R218" s="4"/>
      <c r="S218" s="4"/>
      <c r="T218" s="4"/>
      <c r="U218" s="4"/>
      <c r="V218" s="4"/>
      <c r="W218" s="4"/>
      <c r="X218" s="4"/>
      <c r="Y218" s="4"/>
      <c r="Z218" s="4"/>
    </row>
    <row r="219" spans="1:26" ht="15.75" customHeight="1" x14ac:dyDescent="0.25">
      <c r="A219" s="4"/>
      <c r="B219" s="362" t="s">
        <v>502</v>
      </c>
      <c r="C219" s="46" t="s">
        <v>503</v>
      </c>
      <c r="D219" s="45"/>
      <c r="E219" s="46"/>
      <c r="F219" s="464"/>
      <c r="G219" s="45"/>
      <c r="H219" s="363"/>
      <c r="I219" s="45"/>
      <c r="J219" s="465"/>
      <c r="K219" s="485"/>
      <c r="L219" s="466"/>
      <c r="M219" s="467"/>
      <c r="N219" s="4"/>
      <c r="O219" s="107"/>
      <c r="P219" s="4"/>
      <c r="Q219" s="4"/>
      <c r="R219" s="4"/>
      <c r="S219" s="4"/>
      <c r="T219" s="4"/>
      <c r="U219" s="4"/>
      <c r="V219" s="4"/>
      <c r="W219" s="4"/>
      <c r="X219" s="4"/>
      <c r="Y219" s="4"/>
      <c r="Z219" s="4"/>
    </row>
    <row r="220" spans="1:26" ht="15.75" customHeight="1" x14ac:dyDescent="0.25">
      <c r="A220" s="4"/>
      <c r="B220" s="126"/>
      <c r="C220" s="54" t="s">
        <v>477</v>
      </c>
      <c r="D220" s="54" t="s">
        <v>504</v>
      </c>
      <c r="E220" s="54" t="s">
        <v>455</v>
      </c>
      <c r="F220" s="372">
        <v>9912</v>
      </c>
      <c r="G220" s="54" t="s">
        <v>354</v>
      </c>
      <c r="H220" s="53">
        <v>140983</v>
      </c>
      <c r="I220" s="54" t="s">
        <v>355</v>
      </c>
      <c r="J220" s="402">
        <v>1397.4234959999999</v>
      </c>
      <c r="K220" s="394">
        <v>110.02</v>
      </c>
      <c r="L220" s="375">
        <v>4.6211873811363886E-3</v>
      </c>
      <c r="M220" s="376">
        <v>9.2423747622727751E-4</v>
      </c>
      <c r="N220" s="4"/>
      <c r="O220" s="107" t="s">
        <v>356</v>
      </c>
      <c r="P220" s="4"/>
      <c r="Q220" s="4"/>
      <c r="R220" s="4"/>
      <c r="S220" s="4"/>
      <c r="T220" s="4"/>
      <c r="U220" s="4"/>
      <c r="V220" s="4"/>
      <c r="W220" s="4"/>
      <c r="X220" s="4"/>
      <c r="Y220" s="4"/>
      <c r="Z220" s="4"/>
    </row>
    <row r="221" spans="1:26" ht="15.75" customHeight="1" x14ac:dyDescent="0.25">
      <c r="A221" s="4"/>
      <c r="B221" s="126"/>
      <c r="C221" s="54" t="s">
        <v>479</v>
      </c>
      <c r="D221" s="54" t="s">
        <v>505</v>
      </c>
      <c r="E221" s="54" t="s">
        <v>455</v>
      </c>
      <c r="F221" s="372">
        <v>3968</v>
      </c>
      <c r="G221" s="54" t="s">
        <v>354</v>
      </c>
      <c r="H221" s="53">
        <v>140984</v>
      </c>
      <c r="I221" s="54" t="s">
        <v>355</v>
      </c>
      <c r="J221" s="402">
        <v>559.42451200000005</v>
      </c>
      <c r="K221" s="394">
        <v>44.04</v>
      </c>
      <c r="L221" s="375">
        <v>1.8499799831280226E-3</v>
      </c>
      <c r="M221" s="376">
        <v>3.699959966256045E-4</v>
      </c>
      <c r="N221" s="4"/>
      <c r="O221" s="107" t="s">
        <v>356</v>
      </c>
      <c r="P221" s="4"/>
      <c r="Q221" s="4"/>
      <c r="R221" s="4"/>
      <c r="S221" s="4"/>
      <c r="T221" s="4"/>
      <c r="U221" s="4"/>
      <c r="V221" s="4"/>
      <c r="W221" s="4"/>
      <c r="X221" s="4"/>
      <c r="Y221" s="4"/>
      <c r="Z221" s="4"/>
    </row>
    <row r="222" spans="1:26" ht="15.75" customHeight="1" x14ac:dyDescent="0.25">
      <c r="A222" s="4"/>
      <c r="B222" s="126"/>
      <c r="C222" s="54" t="s">
        <v>466</v>
      </c>
      <c r="D222" s="4" t="s">
        <v>506</v>
      </c>
      <c r="E222" s="4" t="s">
        <v>406</v>
      </c>
      <c r="F222" s="98">
        <v>5238</v>
      </c>
      <c r="G222" s="54" t="s">
        <v>354</v>
      </c>
      <c r="H222" s="53">
        <v>140987</v>
      </c>
      <c r="I222" s="54" t="s">
        <v>355</v>
      </c>
      <c r="J222" s="98">
        <f>F222*H222/1000000</f>
        <v>738.48990600000002</v>
      </c>
      <c r="K222" s="4">
        <v>58.14</v>
      </c>
      <c r="L222" s="4">
        <v>0</v>
      </c>
      <c r="M222" s="4">
        <v>0</v>
      </c>
      <c r="N222" s="4"/>
      <c r="O222" s="107"/>
      <c r="P222" s="4"/>
      <c r="Q222" s="4"/>
      <c r="R222" s="4"/>
      <c r="S222" s="4"/>
      <c r="T222" s="4"/>
      <c r="U222" s="4"/>
      <c r="V222" s="4"/>
      <c r="W222" s="4"/>
      <c r="X222" s="4"/>
      <c r="Y222" s="4"/>
      <c r="Z222" s="4"/>
    </row>
    <row r="223" spans="1:26" ht="15.75" customHeight="1" x14ac:dyDescent="0.25">
      <c r="A223" s="4"/>
      <c r="B223" s="126"/>
      <c r="C223" s="54" t="s">
        <v>507</v>
      </c>
      <c r="D223" s="54" t="s">
        <v>508</v>
      </c>
      <c r="E223" s="54" t="s">
        <v>455</v>
      </c>
      <c r="F223" s="372">
        <v>5198</v>
      </c>
      <c r="G223" s="54" t="s">
        <v>354</v>
      </c>
      <c r="H223" s="53">
        <v>140987</v>
      </c>
      <c r="I223" s="54" t="s">
        <v>355</v>
      </c>
      <c r="J223" s="402">
        <v>732.85042599999997</v>
      </c>
      <c r="K223" s="394">
        <v>57.7</v>
      </c>
      <c r="L223" s="375">
        <v>2.4234880482442E-3</v>
      </c>
      <c r="M223" s="376">
        <v>4.846976096488399E-4</v>
      </c>
      <c r="N223" s="4"/>
      <c r="O223" s="107" t="s">
        <v>356</v>
      </c>
      <c r="P223" s="4"/>
      <c r="Q223" s="4"/>
      <c r="R223" s="4"/>
      <c r="S223" s="4"/>
      <c r="T223" s="4"/>
      <c r="U223" s="4"/>
      <c r="V223" s="4"/>
      <c r="W223" s="4"/>
      <c r="X223" s="4"/>
      <c r="Y223" s="4"/>
      <c r="Z223" s="4"/>
    </row>
    <row r="224" spans="1:26" ht="15.75" customHeight="1" x14ac:dyDescent="0.25">
      <c r="A224" s="4"/>
      <c r="B224" s="396"/>
      <c r="C224" s="68"/>
      <c r="D224" s="68"/>
      <c r="E224" s="68"/>
      <c r="F224" s="202"/>
      <c r="G224" s="68"/>
      <c r="H224" s="202"/>
      <c r="I224" s="68"/>
      <c r="J224" s="486"/>
      <c r="K224" s="487"/>
      <c r="L224" s="400"/>
      <c r="M224" s="401"/>
      <c r="N224" s="4"/>
      <c r="O224" s="107"/>
      <c r="P224" s="4"/>
      <c r="Q224" s="4"/>
      <c r="R224" s="4"/>
      <c r="S224" s="4"/>
      <c r="T224" s="4"/>
      <c r="U224" s="4"/>
      <c r="V224" s="4"/>
      <c r="W224" s="4"/>
      <c r="X224" s="4"/>
      <c r="Y224" s="4"/>
      <c r="Z224" s="4"/>
    </row>
    <row r="225" spans="1:26" ht="15.75" customHeight="1" x14ac:dyDescent="0.25">
      <c r="A225" s="4"/>
      <c r="B225" s="143"/>
      <c r="C225" s="86"/>
      <c r="D225" s="86"/>
      <c r="E225" s="86"/>
      <c r="F225" s="206"/>
      <c r="G225" s="86"/>
      <c r="H225" s="206"/>
      <c r="I225" s="86"/>
      <c r="J225" s="359"/>
      <c r="K225" s="488"/>
      <c r="L225" s="217"/>
      <c r="M225" s="484"/>
      <c r="N225" s="4"/>
      <c r="O225" s="107"/>
      <c r="P225" s="4"/>
      <c r="Q225" s="4"/>
      <c r="R225" s="4"/>
      <c r="S225" s="4"/>
      <c r="T225" s="4"/>
      <c r="U225" s="4"/>
      <c r="V225" s="4"/>
      <c r="W225" s="4"/>
      <c r="X225" s="4"/>
      <c r="Y225" s="4"/>
      <c r="Z225" s="4"/>
    </row>
    <row r="226" spans="1:26" ht="15.75" customHeight="1" x14ac:dyDescent="0.25">
      <c r="A226" s="4"/>
      <c r="B226" s="362" t="s">
        <v>509</v>
      </c>
      <c r="C226" s="46" t="s">
        <v>510</v>
      </c>
      <c r="D226" s="45"/>
      <c r="E226" s="46"/>
      <c r="F226" s="464"/>
      <c r="G226" s="45"/>
      <c r="H226" s="363"/>
      <c r="I226" s="45"/>
      <c r="J226" s="410"/>
      <c r="K226" s="489"/>
      <c r="L226" s="466"/>
      <c r="M226" s="467"/>
      <c r="N226" s="4"/>
      <c r="O226" s="107"/>
      <c r="P226" s="4"/>
      <c r="Q226" s="4"/>
      <c r="R226" s="4"/>
      <c r="S226" s="4"/>
      <c r="T226" s="4"/>
      <c r="U226" s="4"/>
      <c r="V226" s="4"/>
      <c r="W226" s="4"/>
      <c r="X226" s="4"/>
      <c r="Y226" s="4"/>
      <c r="Z226" s="4"/>
    </row>
    <row r="227" spans="1:26" ht="15.75" customHeight="1" x14ac:dyDescent="0.25">
      <c r="A227" s="4"/>
      <c r="B227" s="126"/>
      <c r="C227" s="54" t="s">
        <v>511</v>
      </c>
      <c r="D227" s="54" t="s">
        <v>512</v>
      </c>
      <c r="E227" s="54" t="s">
        <v>455</v>
      </c>
      <c r="F227" s="372">
        <v>10166</v>
      </c>
      <c r="G227" s="54" t="s">
        <v>354</v>
      </c>
      <c r="H227" s="53">
        <v>141494</v>
      </c>
      <c r="I227" s="54" t="s">
        <v>355</v>
      </c>
      <c r="J227" s="402">
        <v>1438.4280040000001</v>
      </c>
      <c r="K227" s="374">
        <v>115</v>
      </c>
      <c r="L227" s="403">
        <v>6.0000000000000001E-3</v>
      </c>
      <c r="M227" s="431">
        <v>0</v>
      </c>
      <c r="N227" s="4"/>
      <c r="O227" s="107" t="s">
        <v>356</v>
      </c>
      <c r="P227" s="4"/>
      <c r="Q227" s="4"/>
      <c r="R227" s="4"/>
      <c r="S227" s="4"/>
      <c r="T227" s="4"/>
      <c r="U227" s="4"/>
      <c r="V227" s="4"/>
      <c r="W227" s="4"/>
      <c r="X227" s="4"/>
      <c r="Y227" s="4"/>
      <c r="Z227" s="4"/>
    </row>
    <row r="228" spans="1:26" ht="15.75" customHeight="1" x14ac:dyDescent="0.25">
      <c r="A228" s="4"/>
      <c r="B228" s="126"/>
      <c r="C228" s="54" t="s">
        <v>513</v>
      </c>
      <c r="D228" s="54" t="s">
        <v>514</v>
      </c>
      <c r="E228" s="54" t="s">
        <v>455</v>
      </c>
      <c r="F228" s="372">
        <v>10078</v>
      </c>
      <c r="G228" s="54" t="s">
        <v>354</v>
      </c>
      <c r="H228" s="53">
        <v>141494</v>
      </c>
      <c r="I228" s="54" t="s">
        <v>355</v>
      </c>
      <c r="J228" s="402">
        <v>1425.9765319999999</v>
      </c>
      <c r="K228" s="374">
        <v>114</v>
      </c>
      <c r="L228" s="403">
        <v>6.0000000000000001E-3</v>
      </c>
      <c r="M228" s="431">
        <v>0</v>
      </c>
      <c r="N228" s="4"/>
      <c r="O228" s="107" t="s">
        <v>356</v>
      </c>
      <c r="P228" s="4"/>
      <c r="Q228" s="4"/>
      <c r="R228" s="4"/>
      <c r="S228" s="4"/>
      <c r="T228" s="4"/>
      <c r="U228" s="4"/>
      <c r="V228" s="4"/>
      <c r="W228" s="4"/>
      <c r="X228" s="4"/>
      <c r="Y228" s="4"/>
      <c r="Z228" s="4"/>
    </row>
    <row r="229" spans="1:26" ht="15.75" customHeight="1" x14ac:dyDescent="0.25">
      <c r="A229" s="4"/>
      <c r="B229" s="126"/>
      <c r="C229" s="54" t="s">
        <v>515</v>
      </c>
      <c r="D229" s="54" t="s">
        <v>516</v>
      </c>
      <c r="E229" s="54" t="s">
        <v>455</v>
      </c>
      <c r="F229" s="372">
        <v>10166</v>
      </c>
      <c r="G229" s="54" t="s">
        <v>354</v>
      </c>
      <c r="H229" s="53">
        <v>141494</v>
      </c>
      <c r="I229" s="54" t="s">
        <v>355</v>
      </c>
      <c r="J229" s="402">
        <v>1438.4280040000001</v>
      </c>
      <c r="K229" s="374">
        <v>115</v>
      </c>
      <c r="L229" s="403">
        <v>6.0000000000000001E-3</v>
      </c>
      <c r="M229" s="431">
        <v>0</v>
      </c>
      <c r="N229" s="4"/>
      <c r="O229" s="107" t="s">
        <v>356</v>
      </c>
      <c r="P229" s="4"/>
      <c r="Q229" s="4"/>
      <c r="R229" s="4"/>
      <c r="S229" s="4"/>
      <c r="T229" s="4"/>
      <c r="U229" s="4"/>
      <c r="V229" s="4"/>
      <c r="W229" s="4"/>
      <c r="X229" s="4"/>
      <c r="Y229" s="4"/>
      <c r="Z229" s="4"/>
    </row>
    <row r="230" spans="1:26" ht="15.75" customHeight="1" x14ac:dyDescent="0.25">
      <c r="A230" s="4"/>
      <c r="B230" s="396"/>
      <c r="C230" s="68" t="s">
        <v>517</v>
      </c>
      <c r="D230" s="68" t="s">
        <v>518</v>
      </c>
      <c r="E230" s="68" t="s">
        <v>455</v>
      </c>
      <c r="F230" s="406">
        <v>10166.123</v>
      </c>
      <c r="G230" s="68" t="s">
        <v>354</v>
      </c>
      <c r="H230" s="202">
        <v>141494</v>
      </c>
      <c r="I230" s="68" t="s">
        <v>355</v>
      </c>
      <c r="J230" s="407">
        <v>1438.4454077619998</v>
      </c>
      <c r="K230" s="399">
        <v>115</v>
      </c>
      <c r="L230" s="408">
        <v>6.0000000000000001E-3</v>
      </c>
      <c r="M230" s="433">
        <v>0</v>
      </c>
      <c r="N230" s="4"/>
      <c r="O230" s="107" t="s">
        <v>356</v>
      </c>
      <c r="P230" s="4"/>
      <c r="Q230" s="4"/>
      <c r="R230" s="4"/>
      <c r="S230" s="4"/>
      <c r="T230" s="4"/>
      <c r="U230" s="4"/>
      <c r="V230" s="4"/>
      <c r="W230" s="4"/>
      <c r="X230" s="4"/>
      <c r="Y230" s="4"/>
      <c r="Z230" s="4"/>
    </row>
    <row r="231" spans="1:26" ht="15.75" customHeight="1" x14ac:dyDescent="0.25">
      <c r="A231" s="4"/>
      <c r="B231" s="143"/>
      <c r="C231" s="86"/>
      <c r="D231" s="86"/>
      <c r="E231" s="86"/>
      <c r="F231" s="206"/>
      <c r="G231" s="86"/>
      <c r="H231" s="206"/>
      <c r="I231" s="86"/>
      <c r="J231" s="359"/>
      <c r="K231" s="490"/>
      <c r="L231" s="217"/>
      <c r="M231" s="491"/>
      <c r="N231" s="4"/>
      <c r="O231" s="107"/>
      <c r="P231" s="4"/>
      <c r="Q231" s="4"/>
      <c r="R231" s="4"/>
      <c r="S231" s="4"/>
      <c r="T231" s="4"/>
      <c r="U231" s="4"/>
      <c r="V231" s="4"/>
      <c r="W231" s="4"/>
      <c r="X231" s="4"/>
      <c r="Y231" s="4"/>
      <c r="Z231" s="4"/>
    </row>
    <row r="232" spans="1:26" ht="15.75" customHeight="1" x14ac:dyDescent="0.25">
      <c r="A232" s="4"/>
      <c r="B232" s="362" t="s">
        <v>519</v>
      </c>
      <c r="C232" s="46" t="s">
        <v>520</v>
      </c>
      <c r="D232" s="45"/>
      <c r="E232" s="46"/>
      <c r="F232" s="464"/>
      <c r="G232" s="45"/>
      <c r="H232" s="45"/>
      <c r="I232" s="45"/>
      <c r="J232" s="492"/>
      <c r="K232" s="489"/>
      <c r="L232" s="466"/>
      <c r="M232" s="467"/>
      <c r="N232" s="4"/>
      <c r="O232" s="107"/>
      <c r="P232" s="4"/>
      <c r="Q232" s="4"/>
      <c r="R232" s="4"/>
      <c r="S232" s="4"/>
      <c r="T232" s="4"/>
      <c r="U232" s="4"/>
      <c r="V232" s="4"/>
      <c r="W232" s="4"/>
      <c r="X232" s="4"/>
      <c r="Y232" s="4"/>
      <c r="Z232" s="4"/>
    </row>
    <row r="233" spans="1:26" ht="15.75" customHeight="1" x14ac:dyDescent="0.25">
      <c r="A233" s="4"/>
      <c r="B233" s="126"/>
      <c r="C233" s="54" t="s">
        <v>521</v>
      </c>
      <c r="D233" s="54" t="s">
        <v>522</v>
      </c>
      <c r="E233" s="54" t="s">
        <v>455</v>
      </c>
      <c r="F233" s="372">
        <v>15847</v>
      </c>
      <c r="G233" s="54" t="s">
        <v>354</v>
      </c>
      <c r="H233" s="53">
        <v>137030</v>
      </c>
      <c r="I233" s="54" t="s">
        <v>355</v>
      </c>
      <c r="J233" s="493">
        <v>2171.5144100000002</v>
      </c>
      <c r="K233" s="394">
        <v>177.03694271254795</v>
      </c>
      <c r="L233" s="430">
        <v>7.1810550045652236E-3</v>
      </c>
      <c r="M233" s="431">
        <v>1.4362110009130446E-3</v>
      </c>
      <c r="N233" s="4"/>
      <c r="O233" s="107" t="s">
        <v>356</v>
      </c>
      <c r="P233" s="4"/>
      <c r="Q233" s="4"/>
      <c r="R233" s="4"/>
      <c r="S233" s="4"/>
      <c r="T233" s="4"/>
      <c r="U233" s="4"/>
      <c r="V233" s="4"/>
      <c r="W233" s="4"/>
      <c r="X233" s="4"/>
      <c r="Y233" s="4"/>
      <c r="Z233" s="4"/>
    </row>
    <row r="234" spans="1:26" ht="15.75" customHeight="1" x14ac:dyDescent="0.25">
      <c r="A234" s="4"/>
      <c r="B234" s="126"/>
      <c r="C234" s="54" t="s">
        <v>523</v>
      </c>
      <c r="D234" s="54" t="s">
        <v>524</v>
      </c>
      <c r="E234" s="54" t="s">
        <v>455</v>
      </c>
      <c r="F234" s="372">
        <v>6259</v>
      </c>
      <c r="G234" s="54" t="s">
        <v>354</v>
      </c>
      <c r="H234" s="53">
        <v>137030</v>
      </c>
      <c r="I234" s="54" t="s">
        <v>355</v>
      </c>
      <c r="J234" s="493">
        <v>857.67076999999995</v>
      </c>
      <c r="K234" s="394">
        <v>69.923280396153046</v>
      </c>
      <c r="L234" s="430">
        <v>2.836260697518377E-3</v>
      </c>
      <c r="M234" s="431">
        <v>5.672521395036754E-4</v>
      </c>
      <c r="N234" s="4"/>
      <c r="O234" s="107" t="s">
        <v>356</v>
      </c>
      <c r="P234" s="4"/>
      <c r="Q234" s="4"/>
      <c r="R234" s="4"/>
      <c r="S234" s="4"/>
      <c r="T234" s="4"/>
      <c r="U234" s="4"/>
      <c r="V234" s="4"/>
      <c r="W234" s="4"/>
      <c r="X234" s="4"/>
      <c r="Y234" s="4"/>
      <c r="Z234" s="4"/>
    </row>
    <row r="235" spans="1:26" ht="15.75" customHeight="1" x14ac:dyDescent="0.25">
      <c r="A235" s="4"/>
      <c r="B235" s="126"/>
      <c r="C235" s="54" t="s">
        <v>525</v>
      </c>
      <c r="D235" s="54" t="s">
        <v>526</v>
      </c>
      <c r="E235" s="54" t="s">
        <v>455</v>
      </c>
      <c r="F235" s="372">
        <v>6276</v>
      </c>
      <c r="G235" s="54" t="s">
        <v>354</v>
      </c>
      <c r="H235" s="53">
        <v>137030</v>
      </c>
      <c r="I235" s="54" t="s">
        <v>355</v>
      </c>
      <c r="J235" s="493">
        <v>860.00027999999998</v>
      </c>
      <c r="K235" s="394">
        <v>70.113198237139571</v>
      </c>
      <c r="L235" s="430">
        <v>2.8439642335237793E-3</v>
      </c>
      <c r="M235" s="431">
        <v>5.6879284670475583E-4</v>
      </c>
      <c r="N235" s="4"/>
      <c r="O235" s="107" t="s">
        <v>356</v>
      </c>
      <c r="P235" s="4"/>
      <c r="Q235" s="4"/>
      <c r="R235" s="4"/>
      <c r="S235" s="4"/>
      <c r="T235" s="4"/>
      <c r="U235" s="4"/>
      <c r="V235" s="4"/>
      <c r="W235" s="4"/>
      <c r="X235" s="4"/>
      <c r="Y235" s="4"/>
      <c r="Z235" s="4"/>
    </row>
    <row r="236" spans="1:26" ht="15.75" customHeight="1" x14ac:dyDescent="0.25">
      <c r="A236" s="4"/>
      <c r="B236" s="126"/>
      <c r="C236" s="54" t="s">
        <v>527</v>
      </c>
      <c r="D236" s="54" t="s">
        <v>528</v>
      </c>
      <c r="E236" s="54" t="s">
        <v>455</v>
      </c>
      <c r="F236" s="372">
        <v>15948</v>
      </c>
      <c r="G236" s="54" t="s">
        <v>354</v>
      </c>
      <c r="H236" s="53">
        <v>137030</v>
      </c>
      <c r="I236" s="54" t="s">
        <v>355</v>
      </c>
      <c r="J236" s="493">
        <v>2185.3544400000001</v>
      </c>
      <c r="K236" s="394">
        <v>178.16527812076194</v>
      </c>
      <c r="L236" s="430">
        <v>7.2268230714208478E-3</v>
      </c>
      <c r="M236" s="431">
        <v>1.4453646142841693E-3</v>
      </c>
      <c r="N236" s="4"/>
      <c r="O236" s="107" t="s">
        <v>356</v>
      </c>
      <c r="P236" s="4"/>
      <c r="Q236" s="4"/>
      <c r="R236" s="4"/>
      <c r="S236" s="4"/>
      <c r="T236" s="4"/>
      <c r="U236" s="4"/>
      <c r="V236" s="4"/>
      <c r="W236" s="4"/>
      <c r="X236" s="4"/>
      <c r="Y236" s="4"/>
      <c r="Z236" s="4"/>
    </row>
    <row r="237" spans="1:26" ht="15.75" customHeight="1" x14ac:dyDescent="0.25">
      <c r="A237" s="4"/>
      <c r="B237" s="126"/>
      <c r="C237" s="54" t="s">
        <v>529</v>
      </c>
      <c r="D237" s="54" t="s">
        <v>530</v>
      </c>
      <c r="E237" s="54" t="s">
        <v>455</v>
      </c>
      <c r="F237" s="372">
        <v>14378</v>
      </c>
      <c r="G237" s="54" t="s">
        <v>354</v>
      </c>
      <c r="H237" s="53">
        <v>137030</v>
      </c>
      <c r="I237" s="54" t="s">
        <v>355</v>
      </c>
      <c r="J237" s="493">
        <v>1970.2173399999999</v>
      </c>
      <c r="K237" s="394">
        <v>160.62580692377193</v>
      </c>
      <c r="L237" s="430">
        <v>6.5153788638631135E-3</v>
      </c>
      <c r="M237" s="431">
        <v>1.3030757727726225E-3</v>
      </c>
      <c r="N237" s="4"/>
      <c r="O237" s="107" t="s">
        <v>356</v>
      </c>
      <c r="P237" s="4"/>
      <c r="Q237" s="4"/>
      <c r="R237" s="4"/>
      <c r="S237" s="4"/>
      <c r="T237" s="4"/>
      <c r="U237" s="4"/>
      <c r="V237" s="4"/>
      <c r="W237" s="4"/>
      <c r="X237" s="4"/>
      <c r="Y237" s="4"/>
      <c r="Z237" s="4"/>
    </row>
    <row r="238" spans="1:26" ht="15.75" customHeight="1" x14ac:dyDescent="0.25">
      <c r="A238" s="4"/>
      <c r="B238" s="126"/>
      <c r="C238" s="54" t="s">
        <v>531</v>
      </c>
      <c r="D238" s="54" t="s">
        <v>532</v>
      </c>
      <c r="E238" s="54" t="s">
        <v>455</v>
      </c>
      <c r="F238" s="372">
        <v>12064</v>
      </c>
      <c r="G238" s="54" t="s">
        <v>354</v>
      </c>
      <c r="H238" s="53">
        <v>137030</v>
      </c>
      <c r="I238" s="54" t="s">
        <v>355</v>
      </c>
      <c r="J238" s="493">
        <v>1653.1299200000001</v>
      </c>
      <c r="K238" s="394">
        <v>134.77463727419564</v>
      </c>
      <c r="L238" s="430">
        <v>5.466791668774838E-3</v>
      </c>
      <c r="M238" s="431">
        <v>1.0933583337549672E-3</v>
      </c>
      <c r="N238" s="4"/>
      <c r="O238" s="107" t="s">
        <v>356</v>
      </c>
      <c r="P238" s="4"/>
      <c r="Q238" s="4"/>
      <c r="R238" s="4"/>
      <c r="S238" s="4"/>
      <c r="T238" s="4"/>
      <c r="U238" s="4"/>
      <c r="V238" s="4"/>
      <c r="W238" s="4"/>
      <c r="X238" s="4"/>
      <c r="Y238" s="4"/>
      <c r="Z238" s="4"/>
    </row>
    <row r="239" spans="1:26" ht="15.75" customHeight="1" x14ac:dyDescent="0.25">
      <c r="A239" s="4"/>
      <c r="B239" s="396"/>
      <c r="C239" s="68" t="s">
        <v>533</v>
      </c>
      <c r="D239" s="68" t="s">
        <v>534</v>
      </c>
      <c r="E239" s="68" t="s">
        <v>455</v>
      </c>
      <c r="F239" s="406">
        <v>6840</v>
      </c>
      <c r="G239" s="68" t="s">
        <v>354</v>
      </c>
      <c r="H239" s="202">
        <v>137030</v>
      </c>
      <c r="I239" s="68" t="s">
        <v>355</v>
      </c>
      <c r="J239" s="494">
        <v>937.28520000000003</v>
      </c>
      <c r="K239" s="432">
        <v>76.414001902809872</v>
      </c>
      <c r="L239" s="419">
        <v>3.0995403692324181E-3</v>
      </c>
      <c r="M239" s="433">
        <v>6.1990807384648347E-4</v>
      </c>
      <c r="N239" s="4"/>
      <c r="O239" s="107" t="s">
        <v>356</v>
      </c>
      <c r="P239" s="4"/>
      <c r="Q239" s="4"/>
      <c r="R239" s="4"/>
      <c r="S239" s="4"/>
      <c r="T239" s="4"/>
      <c r="U239" s="4"/>
      <c r="V239" s="4"/>
      <c r="W239" s="4"/>
      <c r="X239" s="4"/>
      <c r="Y239" s="4"/>
      <c r="Z239" s="4"/>
    </row>
    <row r="240" spans="1:26" ht="15.75" customHeight="1" x14ac:dyDescent="0.25">
      <c r="A240" s="4"/>
      <c r="B240" s="116" t="s">
        <v>338</v>
      </c>
      <c r="C240" s="87" t="s">
        <v>339</v>
      </c>
      <c r="D240" s="436"/>
      <c r="E240" s="86"/>
      <c r="F240" s="206"/>
      <c r="G240" s="86"/>
      <c r="H240" s="206"/>
      <c r="I240" s="86"/>
      <c r="J240" s="495"/>
      <c r="K240" s="496"/>
      <c r="L240" s="217"/>
      <c r="M240" s="497"/>
      <c r="N240" s="4"/>
      <c r="O240" s="107"/>
      <c r="P240" s="4"/>
      <c r="Q240" s="4"/>
      <c r="R240" s="4"/>
      <c r="S240" s="4"/>
      <c r="T240" s="4"/>
      <c r="U240" s="4"/>
      <c r="V240" s="4"/>
      <c r="W240" s="4"/>
      <c r="X240" s="4"/>
      <c r="Y240" s="4"/>
      <c r="Z240" s="4"/>
    </row>
    <row r="241" spans="1:26" ht="15.75" customHeight="1" x14ac:dyDescent="0.25">
      <c r="A241" s="4"/>
      <c r="B241" s="143"/>
      <c r="C241" s="498" t="s">
        <v>340</v>
      </c>
      <c r="D241" s="499" t="s">
        <v>341</v>
      </c>
      <c r="E241" s="498" t="s">
        <v>455</v>
      </c>
      <c r="F241" s="500">
        <v>47886</v>
      </c>
      <c r="G241" s="498" t="s">
        <v>354</v>
      </c>
      <c r="H241" s="500">
        <v>141324</v>
      </c>
      <c r="I241" s="498" t="s">
        <v>535</v>
      </c>
      <c r="J241" s="501">
        <f>Luke!E16</f>
        <v>6767.4410639999996</v>
      </c>
      <c r="K241" s="502">
        <f>Luke!E18+Luke!E22+Luke!E26</f>
        <v>679.62621475918513</v>
      </c>
      <c r="L241" s="503">
        <f>Luke!E19+Luke!E23+Luke!E27</f>
        <v>8.0784207540361017E-2</v>
      </c>
      <c r="M241" s="504">
        <f>Luke!E20+Luke!E24+Luke!E28</f>
        <v>1.1893810847662889E-2</v>
      </c>
      <c r="N241" s="4"/>
      <c r="O241" s="107"/>
      <c r="P241" s="4"/>
      <c r="Q241" s="4"/>
      <c r="R241" s="4"/>
      <c r="S241" s="4"/>
      <c r="T241" s="4"/>
      <c r="U241" s="4"/>
      <c r="V241" s="4"/>
      <c r="W241" s="4"/>
      <c r="X241" s="4"/>
      <c r="Y241" s="4"/>
      <c r="Z241" s="4"/>
    </row>
    <row r="242" spans="1:26" ht="15.75" customHeight="1" x14ac:dyDescent="0.25">
      <c r="A242" s="4"/>
      <c r="B242" s="143"/>
      <c r="C242" s="87"/>
      <c r="D242" s="86"/>
      <c r="E242" s="87"/>
      <c r="F242" s="505"/>
      <c r="G242" s="86"/>
      <c r="H242" s="206"/>
      <c r="I242" s="86"/>
      <c r="J242" s="506"/>
      <c r="K242" s="507"/>
      <c r="L242" s="508"/>
      <c r="M242" s="509"/>
      <c r="N242" s="4"/>
      <c r="O242" s="107"/>
      <c r="P242" s="4"/>
      <c r="Q242" s="4"/>
      <c r="R242" s="4"/>
      <c r="S242" s="4"/>
      <c r="T242" s="4"/>
      <c r="U242" s="4"/>
      <c r="V242" s="4"/>
      <c r="W242" s="4"/>
      <c r="X242" s="4"/>
      <c r="Y242" s="4"/>
      <c r="Z242" s="4"/>
    </row>
    <row r="243" spans="1:26" ht="15.75" customHeight="1" x14ac:dyDescent="0.25">
      <c r="A243" s="4"/>
      <c r="B243" s="510"/>
      <c r="C243" s="511"/>
      <c r="D243" s="512"/>
      <c r="E243" s="511"/>
      <c r="F243" s="513">
        <f>SUM(F77:F242)</f>
        <v>15387765.265857143</v>
      </c>
      <c r="G243" s="512"/>
      <c r="H243" s="514"/>
      <c r="I243" s="515"/>
      <c r="J243" s="516">
        <f t="shared" ref="J243:M243" si="1">SUM(J77:J242)</f>
        <v>1804131.3567367618</v>
      </c>
      <c r="K243" s="516">
        <f t="shared" si="1"/>
        <v>149058.4577905625</v>
      </c>
      <c r="L243" s="516">
        <f t="shared" si="1"/>
        <v>3.6689612981783335</v>
      </c>
      <c r="M243" s="517">
        <f t="shared" si="1"/>
        <v>3.5683588965733426</v>
      </c>
      <c r="N243" s="4"/>
      <c r="O243" s="107"/>
      <c r="P243" s="4"/>
      <c r="Q243" s="4"/>
      <c r="R243" s="4"/>
      <c r="S243" s="4"/>
      <c r="T243" s="4"/>
      <c r="U243" s="4"/>
      <c r="V243" s="4"/>
      <c r="W243" s="4"/>
      <c r="X243" s="4"/>
      <c r="Y243" s="4"/>
      <c r="Z243" s="4"/>
    </row>
    <row r="244" spans="1:26" ht="15.75" customHeight="1" x14ac:dyDescent="0.25">
      <c r="A244" s="4"/>
      <c r="B244" s="518"/>
      <c r="C244" s="519"/>
      <c r="D244" s="520"/>
      <c r="E244" s="519"/>
      <c r="F244" s="521"/>
      <c r="G244" s="520"/>
      <c r="H244" s="522"/>
      <c r="I244" s="520"/>
      <c r="J244" s="523"/>
      <c r="K244" s="523"/>
      <c r="L244" s="523"/>
      <c r="M244" s="524"/>
      <c r="N244" s="4"/>
      <c r="O244" s="107"/>
      <c r="P244" s="4"/>
      <c r="Q244" s="4"/>
      <c r="R244" s="4"/>
      <c r="S244" s="4"/>
      <c r="T244" s="4"/>
      <c r="U244" s="4"/>
      <c r="V244" s="4"/>
      <c r="W244" s="4"/>
      <c r="X244" s="4"/>
      <c r="Y244" s="4"/>
      <c r="Z244" s="4"/>
    </row>
    <row r="245" spans="1:26" ht="15.75" customHeight="1" x14ac:dyDescent="0.25">
      <c r="A245" s="4"/>
      <c r="B245" s="525"/>
      <c r="C245" s="526"/>
      <c r="D245" s="527"/>
      <c r="E245" s="526" t="s">
        <v>536</v>
      </c>
      <c r="F245" s="528"/>
      <c r="G245" s="527"/>
      <c r="H245" s="529"/>
      <c r="I245" s="527"/>
      <c r="J245" s="530"/>
      <c r="K245" s="531">
        <f>(K243*0.90718474)/1000000</f>
        <v>0.13522355827553242</v>
      </c>
      <c r="L245" s="532">
        <f>(L243*$J$425*0.90718474)/1000000</f>
        <v>9.3195919638023263E-5</v>
      </c>
      <c r="M245" s="533">
        <f>(M243*$J$426*0.90718474)/1000000</f>
        <v>8.5784759552086235E-4</v>
      </c>
      <c r="N245" s="4"/>
      <c r="O245" s="107"/>
      <c r="P245" s="4"/>
      <c r="Q245" s="4"/>
      <c r="R245" s="4"/>
      <c r="S245" s="4"/>
      <c r="T245" s="4"/>
      <c r="U245" s="4"/>
      <c r="V245" s="4"/>
      <c r="W245" s="4"/>
      <c r="X245" s="4"/>
      <c r="Y245" s="4"/>
      <c r="Z245" s="4"/>
    </row>
    <row r="246" spans="1:26" ht="15.75" customHeight="1" x14ac:dyDescent="0.25">
      <c r="A246" s="4"/>
      <c r="B246" s="152"/>
      <c r="C246" s="534"/>
      <c r="D246" s="244"/>
      <c r="E246" s="534"/>
      <c r="F246" s="535"/>
      <c r="G246" s="244"/>
      <c r="H246" s="536"/>
      <c r="I246" s="244"/>
      <c r="J246" s="537"/>
      <c r="K246" s="537"/>
      <c r="L246" s="537"/>
      <c r="M246" s="538"/>
      <c r="N246" s="4"/>
      <c r="O246" s="107"/>
      <c r="P246" s="4"/>
      <c r="Q246" s="4"/>
      <c r="R246" s="4"/>
      <c r="S246" s="4"/>
      <c r="T246" s="4"/>
      <c r="U246" s="4"/>
      <c r="V246" s="4"/>
      <c r="W246" s="4"/>
      <c r="X246" s="4"/>
      <c r="Y246" s="4"/>
      <c r="Z246" s="4"/>
    </row>
    <row r="247" spans="1:26" ht="15.75" customHeight="1" x14ac:dyDescent="0.25">
      <c r="A247" s="4"/>
      <c r="B247" s="1"/>
      <c r="C247" s="1"/>
      <c r="D247" s="4"/>
      <c r="E247" s="4"/>
      <c r="F247" s="98"/>
      <c r="G247" s="98"/>
      <c r="H247" s="4"/>
      <c r="I247" s="4"/>
      <c r="J247" s="4"/>
      <c r="K247" s="4"/>
      <c r="L247" s="4"/>
      <c r="M247" s="4"/>
      <c r="N247" s="4"/>
      <c r="O247" s="107"/>
      <c r="P247" s="4"/>
      <c r="Q247" s="4"/>
      <c r="R247" s="4"/>
      <c r="S247" s="4"/>
      <c r="T247" s="4"/>
      <c r="U247" s="4"/>
      <c r="V247" s="4"/>
      <c r="W247" s="4"/>
      <c r="X247" s="4"/>
      <c r="Y247" s="4"/>
      <c r="Z247" s="4"/>
    </row>
    <row r="248" spans="1:26" ht="15.75" customHeight="1" x14ac:dyDescent="0.25">
      <c r="A248" s="4"/>
      <c r="B248" s="1"/>
      <c r="C248" s="1"/>
      <c r="D248" s="4"/>
      <c r="E248" s="4"/>
      <c r="F248" s="98"/>
      <c r="G248" s="98"/>
      <c r="H248" s="4"/>
      <c r="I248" s="4"/>
      <c r="J248" s="4"/>
      <c r="K248" s="4"/>
      <c r="L248" s="4"/>
      <c r="M248" s="4"/>
      <c r="N248" s="4"/>
      <c r="O248" s="107"/>
      <c r="P248" s="4"/>
      <c r="Q248" s="4"/>
      <c r="R248" s="4"/>
      <c r="S248" s="4"/>
      <c r="T248" s="4"/>
      <c r="U248" s="4"/>
      <c r="V248" s="4"/>
      <c r="W248" s="4"/>
      <c r="X248" s="4"/>
      <c r="Y248" s="4"/>
      <c r="Z248" s="4"/>
    </row>
    <row r="249" spans="1:26" ht="15.75" customHeight="1" x14ac:dyDescent="0.25">
      <c r="A249" s="4"/>
      <c r="B249" s="1"/>
      <c r="C249" s="1"/>
      <c r="D249" s="4"/>
      <c r="E249" s="4"/>
      <c r="F249" s="98"/>
      <c r="G249" s="98"/>
      <c r="H249" s="4"/>
      <c r="I249" s="4"/>
      <c r="J249" s="4"/>
      <c r="K249" s="4"/>
      <c r="L249" s="4"/>
      <c r="M249" s="4"/>
      <c r="N249" s="4"/>
      <c r="O249" s="107"/>
      <c r="P249" s="4"/>
      <c r="Q249" s="4"/>
      <c r="R249" s="4"/>
      <c r="S249" s="4"/>
      <c r="T249" s="4"/>
      <c r="U249" s="4"/>
      <c r="V249" s="4"/>
      <c r="W249" s="4"/>
      <c r="X249" s="4"/>
      <c r="Y249" s="4"/>
      <c r="Z249" s="4"/>
    </row>
    <row r="250" spans="1:26" ht="15.75" customHeight="1" x14ac:dyDescent="0.25">
      <c r="A250" s="4"/>
      <c r="B250" s="1"/>
      <c r="C250" s="1"/>
      <c r="D250" s="4"/>
      <c r="E250" s="4"/>
      <c r="F250" s="98"/>
      <c r="G250" s="98"/>
      <c r="H250" s="4"/>
      <c r="I250" s="4"/>
      <c r="J250" s="4"/>
      <c r="K250" s="4"/>
      <c r="L250" s="4"/>
      <c r="M250" s="4"/>
      <c r="N250" s="4"/>
      <c r="O250" s="107"/>
      <c r="P250" s="4"/>
      <c r="Q250" s="4"/>
      <c r="R250" s="4"/>
      <c r="S250" s="4"/>
      <c r="T250" s="4"/>
      <c r="U250" s="4"/>
      <c r="V250" s="4"/>
      <c r="W250" s="4"/>
      <c r="X250" s="4"/>
      <c r="Y250" s="4"/>
      <c r="Z250" s="4"/>
    </row>
    <row r="251" spans="1:26" ht="15.75" customHeight="1" x14ac:dyDescent="0.25">
      <c r="A251" s="4"/>
      <c r="B251" s="4"/>
      <c r="C251" s="4"/>
      <c r="D251" s="4"/>
      <c r="E251" s="539"/>
      <c r="F251" s="540"/>
      <c r="G251" s="98"/>
      <c r="H251" s="541"/>
      <c r="I251" s="540"/>
      <c r="J251" s="542"/>
      <c r="K251" s="543"/>
      <c r="L251" s="4"/>
      <c r="M251" s="4"/>
      <c r="N251" s="4"/>
      <c r="O251" s="107"/>
      <c r="P251" s="4"/>
      <c r="Q251" s="4"/>
      <c r="R251" s="4"/>
      <c r="S251" s="4"/>
      <c r="T251" s="4"/>
      <c r="U251" s="4"/>
      <c r="V251" s="4"/>
      <c r="W251" s="4"/>
      <c r="X251" s="4"/>
      <c r="Y251" s="4"/>
      <c r="Z251" s="4"/>
    </row>
    <row r="252" spans="1:26" ht="15.75" customHeight="1" x14ac:dyDescent="0.25">
      <c r="A252" s="4"/>
      <c r="B252" s="348" t="s">
        <v>274</v>
      </c>
      <c r="C252" s="349" t="s">
        <v>275</v>
      </c>
      <c r="D252" s="349" t="s">
        <v>276</v>
      </c>
      <c r="E252" s="349" t="s">
        <v>277</v>
      </c>
      <c r="F252" s="349" t="s">
        <v>278</v>
      </c>
      <c r="G252" s="349" t="s">
        <v>279</v>
      </c>
      <c r="H252" s="349" t="s">
        <v>280</v>
      </c>
      <c r="I252" s="349" t="s">
        <v>281</v>
      </c>
      <c r="J252" s="350" t="s">
        <v>282</v>
      </c>
      <c r="K252" s="351" t="s">
        <v>537</v>
      </c>
      <c r="L252" s="349" t="s">
        <v>538</v>
      </c>
      <c r="M252" s="352" t="s">
        <v>539</v>
      </c>
      <c r="N252" s="4"/>
      <c r="O252" s="107"/>
      <c r="P252" s="4"/>
      <c r="Q252" s="4"/>
      <c r="R252" s="4"/>
      <c r="S252" s="4"/>
      <c r="T252" s="4"/>
      <c r="U252" s="4"/>
      <c r="V252" s="4"/>
      <c r="W252" s="4"/>
      <c r="X252" s="4"/>
      <c r="Y252" s="4"/>
      <c r="Z252" s="4"/>
    </row>
    <row r="253" spans="1:26" ht="15.75" customHeight="1" x14ac:dyDescent="0.25">
      <c r="A253" s="4"/>
      <c r="B253" s="353"/>
      <c r="C253" s="87"/>
      <c r="D253" s="87"/>
      <c r="E253" s="89" t="s">
        <v>540</v>
      </c>
      <c r="F253" s="87"/>
      <c r="G253" s="87"/>
      <c r="H253" s="87"/>
      <c r="I253" s="87"/>
      <c r="J253" s="355" t="s">
        <v>288</v>
      </c>
      <c r="K253" s="92" t="s">
        <v>243</v>
      </c>
      <c r="L253" s="87" t="s">
        <v>243</v>
      </c>
      <c r="M253" s="356" t="s">
        <v>243</v>
      </c>
      <c r="N253" s="4"/>
      <c r="O253" s="107"/>
      <c r="P253" s="4"/>
      <c r="Q253" s="4"/>
      <c r="R253" s="4"/>
      <c r="S253" s="4"/>
      <c r="T253" s="4"/>
      <c r="U253" s="4"/>
      <c r="V253" s="4"/>
      <c r="W253" s="4"/>
      <c r="X253" s="4"/>
      <c r="Y253" s="4"/>
      <c r="Z253" s="4"/>
    </row>
    <row r="254" spans="1:26" ht="15.75" customHeight="1" x14ac:dyDescent="0.25">
      <c r="A254" s="4"/>
      <c r="B254" s="357"/>
      <c r="C254" s="358"/>
      <c r="D254" s="358"/>
      <c r="E254" s="358"/>
      <c r="F254" s="358"/>
      <c r="G254" s="358"/>
      <c r="H254" s="358"/>
      <c r="I254" s="358"/>
      <c r="J254" s="544"/>
      <c r="K254" s="443"/>
      <c r="L254" s="358"/>
      <c r="M254" s="545"/>
      <c r="N254" s="4"/>
      <c r="O254" s="107"/>
      <c r="P254" s="4"/>
      <c r="Q254" s="4"/>
      <c r="R254" s="4"/>
      <c r="S254" s="4"/>
      <c r="T254" s="4"/>
      <c r="U254" s="4"/>
      <c r="V254" s="4"/>
      <c r="W254" s="4"/>
      <c r="X254" s="4"/>
      <c r="Y254" s="4"/>
      <c r="Z254" s="4"/>
    </row>
    <row r="255" spans="1:26" ht="15.75" customHeight="1" x14ac:dyDescent="0.25">
      <c r="A255" s="4"/>
      <c r="B255" s="546" t="s">
        <v>309</v>
      </c>
      <c r="C255" s="547" t="s">
        <v>310</v>
      </c>
      <c r="D255" s="548"/>
      <c r="E255" s="548"/>
      <c r="F255" s="192"/>
      <c r="G255" s="548"/>
      <c r="H255" s="192"/>
      <c r="I255" s="548"/>
      <c r="J255" s="549"/>
      <c r="K255" s="550"/>
      <c r="L255" s="551"/>
      <c r="M255" s="552"/>
      <c r="N255" s="4"/>
      <c r="O255" s="107"/>
      <c r="P255" s="4"/>
      <c r="Q255" s="4"/>
      <c r="R255" s="4"/>
      <c r="S255" s="4"/>
      <c r="T255" s="4"/>
      <c r="U255" s="4"/>
      <c r="V255" s="4"/>
      <c r="W255" s="4"/>
      <c r="X255" s="4"/>
      <c r="Y255" s="4"/>
      <c r="Z255" s="4"/>
    </row>
    <row r="256" spans="1:26" ht="15.75" customHeight="1" x14ac:dyDescent="0.25">
      <c r="A256" s="4"/>
      <c r="B256" s="468"/>
      <c r="C256" s="54"/>
      <c r="D256" s="54"/>
      <c r="E256" s="54"/>
      <c r="F256" s="53"/>
      <c r="G256" s="54"/>
      <c r="H256" s="53"/>
      <c r="I256" s="54"/>
      <c r="J256" s="404"/>
      <c r="K256" s="368"/>
      <c r="L256" s="392"/>
      <c r="M256" s="393"/>
      <c r="N256" s="4"/>
      <c r="O256" s="107"/>
      <c r="P256" s="4"/>
      <c r="Q256" s="4"/>
      <c r="R256" s="4"/>
      <c r="S256" s="4"/>
      <c r="T256" s="4"/>
      <c r="U256" s="4"/>
      <c r="V256" s="4"/>
      <c r="W256" s="4"/>
      <c r="X256" s="4"/>
      <c r="Y256" s="4"/>
      <c r="Z256" s="4"/>
    </row>
    <row r="257" spans="1:26" ht="15.75" customHeight="1" x14ac:dyDescent="0.25">
      <c r="A257" s="4"/>
      <c r="B257" s="468"/>
      <c r="C257" s="367" t="s">
        <v>541</v>
      </c>
      <c r="D257" s="386" t="s">
        <v>319</v>
      </c>
      <c r="E257" s="367" t="s">
        <v>542</v>
      </c>
      <c r="F257" s="368">
        <v>620224</v>
      </c>
      <c r="G257" s="367" t="s">
        <v>354</v>
      </c>
      <c r="H257" s="63">
        <v>151598</v>
      </c>
      <c r="I257" s="367" t="s">
        <v>355</v>
      </c>
      <c r="J257" s="417">
        <v>94024.717952000006</v>
      </c>
      <c r="K257" s="374">
        <v>5852.9094182510353</v>
      </c>
      <c r="L257" s="394">
        <v>0.11209004761242979</v>
      </c>
      <c r="M257" s="395">
        <v>3.7591174504168524E-2</v>
      </c>
      <c r="N257" s="4"/>
      <c r="O257" s="107" t="s">
        <v>270</v>
      </c>
      <c r="P257" s="4"/>
      <c r="Q257" s="4"/>
      <c r="R257" s="4"/>
      <c r="S257" s="4"/>
      <c r="T257" s="4"/>
      <c r="U257" s="4"/>
      <c r="V257" s="4"/>
      <c r="W257" s="4"/>
      <c r="X257" s="4"/>
      <c r="Y257" s="4"/>
      <c r="Z257" s="4"/>
    </row>
    <row r="258" spans="1:26" ht="15.75" customHeight="1" x14ac:dyDescent="0.25">
      <c r="A258" s="4"/>
      <c r="B258" s="468"/>
      <c r="C258" s="54"/>
      <c r="D258" s="77"/>
      <c r="E258" s="54"/>
      <c r="F258" s="53"/>
      <c r="G258" s="54"/>
      <c r="H258" s="53"/>
      <c r="I258" s="54"/>
      <c r="J258" s="404"/>
      <c r="K258" s="368"/>
      <c r="L258" s="392"/>
      <c r="M258" s="393"/>
      <c r="N258" s="4"/>
      <c r="O258" s="107"/>
      <c r="P258" s="4"/>
      <c r="Q258" s="4"/>
      <c r="R258" s="4"/>
      <c r="S258" s="4"/>
      <c r="T258" s="4"/>
      <c r="U258" s="4"/>
      <c r="V258" s="4"/>
      <c r="W258" s="4"/>
      <c r="X258" s="4"/>
      <c r="Y258" s="4"/>
      <c r="Z258" s="4"/>
    </row>
    <row r="259" spans="1:26" ht="15.75" customHeight="1" x14ac:dyDescent="0.25">
      <c r="A259" s="4"/>
      <c r="B259" s="468"/>
      <c r="C259" s="54" t="s">
        <v>543</v>
      </c>
      <c r="D259" s="553" t="s">
        <v>544</v>
      </c>
      <c r="E259" s="54" t="s">
        <v>542</v>
      </c>
      <c r="F259" s="372">
        <v>563476</v>
      </c>
      <c r="G259" s="54" t="s">
        <v>354</v>
      </c>
      <c r="H259" s="53">
        <v>151673</v>
      </c>
      <c r="I259" s="54" t="s">
        <v>355</v>
      </c>
      <c r="J259" s="417">
        <v>85464.095348000003</v>
      </c>
      <c r="K259" s="374">
        <v>6041.7196432692781</v>
      </c>
      <c r="L259" s="394">
        <v>0.11592271821026373</v>
      </c>
      <c r="M259" s="395">
        <v>3.8017665649602621E-2</v>
      </c>
      <c r="N259" s="4"/>
      <c r="O259" s="107" t="s">
        <v>270</v>
      </c>
      <c r="P259" s="4"/>
      <c r="Q259" s="4"/>
      <c r="R259" s="4"/>
      <c r="S259" s="4"/>
      <c r="T259" s="4"/>
      <c r="U259" s="4"/>
      <c r="V259" s="4"/>
      <c r="W259" s="4"/>
      <c r="X259" s="4"/>
      <c r="Y259" s="4"/>
      <c r="Z259" s="4"/>
    </row>
    <row r="260" spans="1:26" ht="15.75" customHeight="1" x14ac:dyDescent="0.25">
      <c r="A260" s="4"/>
      <c r="B260" s="554"/>
      <c r="C260" s="86"/>
      <c r="D260" s="86"/>
      <c r="E260" s="86"/>
      <c r="F260" s="206"/>
      <c r="G260" s="86"/>
      <c r="H260" s="206"/>
      <c r="I260" s="86"/>
      <c r="J260" s="381"/>
      <c r="K260" s="360"/>
      <c r="L260" s="382"/>
      <c r="M260" s="383"/>
      <c r="N260" s="4"/>
      <c r="O260" s="107"/>
      <c r="P260" s="4"/>
      <c r="Q260" s="4"/>
      <c r="R260" s="4"/>
      <c r="S260" s="4"/>
      <c r="T260" s="4"/>
      <c r="U260" s="4"/>
      <c r="V260" s="4"/>
      <c r="W260" s="4"/>
      <c r="X260" s="4"/>
      <c r="Y260" s="4"/>
      <c r="Z260" s="4"/>
    </row>
    <row r="261" spans="1:26" ht="15.75" customHeight="1" x14ac:dyDescent="0.25">
      <c r="A261" s="4"/>
      <c r="B261" s="555" t="s">
        <v>314</v>
      </c>
      <c r="C261" s="46" t="s">
        <v>315</v>
      </c>
      <c r="D261" s="45"/>
      <c r="E261" s="45"/>
      <c r="F261" s="363"/>
      <c r="G261" s="45"/>
      <c r="H261" s="363"/>
      <c r="I261" s="45"/>
      <c r="J261" s="410"/>
      <c r="K261" s="365"/>
      <c r="L261" s="384"/>
      <c r="M261" s="385"/>
      <c r="N261" s="4"/>
      <c r="O261" s="107"/>
      <c r="P261" s="4"/>
      <c r="Q261" s="4"/>
      <c r="R261" s="4"/>
      <c r="S261" s="4"/>
      <c r="T261" s="4"/>
      <c r="U261" s="4"/>
      <c r="V261" s="4"/>
      <c r="W261" s="4"/>
      <c r="X261" s="4"/>
      <c r="Y261" s="4"/>
      <c r="Z261" s="4"/>
    </row>
    <row r="262" spans="1:26" ht="15.75" customHeight="1" x14ac:dyDescent="0.25">
      <c r="A262" s="4"/>
      <c r="B262" s="468"/>
      <c r="C262" s="54"/>
      <c r="D262" s="54"/>
      <c r="E262" s="54"/>
      <c r="F262" s="53"/>
      <c r="G262" s="54"/>
      <c r="H262" s="53"/>
      <c r="I262" s="54"/>
      <c r="J262" s="417"/>
      <c r="K262" s="374"/>
      <c r="L262" s="375"/>
      <c r="M262" s="376"/>
      <c r="N262" s="4"/>
      <c r="O262" s="107"/>
      <c r="P262" s="4"/>
      <c r="Q262" s="4"/>
      <c r="R262" s="4"/>
      <c r="S262" s="4"/>
      <c r="T262" s="4"/>
      <c r="U262" s="4"/>
      <c r="V262" s="4"/>
      <c r="W262" s="4"/>
      <c r="X262" s="4"/>
      <c r="Y262" s="4"/>
      <c r="Z262" s="4"/>
    </row>
    <row r="263" spans="1:26" ht="15.75" customHeight="1" x14ac:dyDescent="0.25">
      <c r="A263" s="4"/>
      <c r="B263" s="468"/>
      <c r="C263" s="367" t="s">
        <v>525</v>
      </c>
      <c r="D263" s="367" t="s">
        <v>545</v>
      </c>
      <c r="E263" s="367" t="s">
        <v>546</v>
      </c>
      <c r="F263" s="368">
        <v>2280000</v>
      </c>
      <c r="G263" s="367" t="s">
        <v>547</v>
      </c>
      <c r="H263" s="63">
        <v>151</v>
      </c>
      <c r="I263" s="367" t="s">
        <v>393</v>
      </c>
      <c r="J263" s="417">
        <v>344280</v>
      </c>
      <c r="K263" s="368">
        <v>27452.961193472558</v>
      </c>
      <c r="L263" s="378">
        <v>0.29215638020722834</v>
      </c>
      <c r="M263" s="556">
        <v>0.59405130642136439</v>
      </c>
      <c r="N263" s="4"/>
      <c r="O263" s="107" t="s">
        <v>270</v>
      </c>
      <c r="P263" s="4"/>
      <c r="Q263" s="4"/>
      <c r="R263" s="4"/>
      <c r="S263" s="4"/>
      <c r="T263" s="4"/>
      <c r="U263" s="4"/>
      <c r="V263" s="4"/>
      <c r="W263" s="4"/>
      <c r="X263" s="4"/>
      <c r="Y263" s="4"/>
      <c r="Z263" s="4"/>
    </row>
    <row r="264" spans="1:26" ht="15.75" customHeight="1" x14ac:dyDescent="0.25">
      <c r="A264" s="4"/>
      <c r="B264" s="468"/>
      <c r="C264" s="54"/>
      <c r="D264" s="54"/>
      <c r="E264" s="54"/>
      <c r="F264" s="53"/>
      <c r="G264" s="54"/>
      <c r="H264" s="53"/>
      <c r="I264" s="54"/>
      <c r="J264" s="391"/>
      <c r="K264" s="374"/>
      <c r="L264" s="392"/>
      <c r="M264" s="393"/>
      <c r="N264" s="4"/>
      <c r="O264" s="107"/>
      <c r="P264" s="4"/>
      <c r="Q264" s="4"/>
      <c r="R264" s="4"/>
      <c r="S264" s="4"/>
      <c r="T264" s="4"/>
      <c r="U264" s="4"/>
      <c r="V264" s="4"/>
      <c r="W264" s="4"/>
      <c r="X264" s="4"/>
      <c r="Y264" s="4"/>
      <c r="Z264" s="4"/>
    </row>
    <row r="265" spans="1:26" ht="15.75" customHeight="1" x14ac:dyDescent="0.25">
      <c r="A265" s="4"/>
      <c r="B265" s="555" t="s">
        <v>414</v>
      </c>
      <c r="C265" s="46" t="s">
        <v>415</v>
      </c>
      <c r="D265" s="45"/>
      <c r="E265" s="429"/>
      <c r="F265" s="363"/>
      <c r="G265" s="429"/>
      <c r="H265" s="363"/>
      <c r="I265" s="429"/>
      <c r="J265" s="410"/>
      <c r="K265" s="365"/>
      <c r="L265" s="384"/>
      <c r="M265" s="385"/>
      <c r="N265" s="4"/>
      <c r="O265" s="107"/>
      <c r="P265" s="4"/>
      <c r="Q265" s="4"/>
      <c r="R265" s="4"/>
      <c r="S265" s="4"/>
      <c r="T265" s="4"/>
      <c r="U265" s="4"/>
      <c r="V265" s="4"/>
      <c r="W265" s="4"/>
      <c r="X265" s="4"/>
      <c r="Y265" s="4"/>
      <c r="Z265" s="4"/>
    </row>
    <row r="266" spans="1:26" ht="15.75" customHeight="1" x14ac:dyDescent="0.25">
      <c r="A266" s="4"/>
      <c r="B266" s="468"/>
      <c r="C266" s="367" t="s">
        <v>416</v>
      </c>
      <c r="D266" s="367" t="s">
        <v>417</v>
      </c>
      <c r="E266" s="367" t="s">
        <v>542</v>
      </c>
      <c r="F266" s="368">
        <v>1482332</v>
      </c>
      <c r="G266" s="367" t="s">
        <v>354</v>
      </c>
      <c r="H266" s="63">
        <v>152352</v>
      </c>
      <c r="I266" s="367" t="s">
        <v>418</v>
      </c>
      <c r="J266" s="391">
        <v>225836.24486400001</v>
      </c>
      <c r="K266" s="374">
        <v>17360.48799604096</v>
      </c>
      <c r="L266" s="394">
        <v>0.20095150969389605</v>
      </c>
      <c r="M266" s="395">
        <v>0.3731956608600927</v>
      </c>
      <c r="N266" s="4"/>
      <c r="O266" s="107" t="s">
        <v>270</v>
      </c>
      <c r="P266" s="4"/>
      <c r="Q266" s="4"/>
      <c r="R266" s="4"/>
      <c r="S266" s="4"/>
      <c r="T266" s="4"/>
      <c r="U266" s="4"/>
      <c r="V266" s="4"/>
      <c r="W266" s="4"/>
      <c r="X266" s="4"/>
      <c r="Y266" s="4"/>
      <c r="Z266" s="4"/>
    </row>
    <row r="267" spans="1:26" ht="15.75" customHeight="1" x14ac:dyDescent="0.25">
      <c r="A267" s="4"/>
      <c r="B267" s="468"/>
      <c r="C267" s="54"/>
      <c r="D267" s="54"/>
      <c r="E267" s="423"/>
      <c r="F267" s="372"/>
      <c r="G267" s="423"/>
      <c r="H267" s="53"/>
      <c r="I267" s="423"/>
      <c r="J267" s="402"/>
      <c r="K267" s="378"/>
      <c r="L267" s="392"/>
      <c r="M267" s="393"/>
      <c r="N267" s="4"/>
      <c r="O267" s="107"/>
      <c r="P267" s="4"/>
      <c r="Q267" s="4"/>
      <c r="R267" s="4"/>
      <c r="S267" s="4"/>
      <c r="T267" s="4"/>
      <c r="U267" s="4"/>
      <c r="V267" s="4"/>
      <c r="W267" s="4"/>
      <c r="X267" s="4"/>
      <c r="Y267" s="4"/>
      <c r="Z267" s="4"/>
    </row>
    <row r="268" spans="1:26" ht="15.75" customHeight="1" x14ac:dyDescent="0.25">
      <c r="A268" s="4"/>
      <c r="B268" s="555"/>
      <c r="C268" s="45"/>
      <c r="D268" s="45"/>
      <c r="E268" s="45"/>
      <c r="F268" s="363"/>
      <c r="G268" s="45"/>
      <c r="H268" s="363"/>
      <c r="I268" s="45"/>
      <c r="J268" s="364"/>
      <c r="K268" s="474"/>
      <c r="L268" s="384"/>
      <c r="M268" s="467"/>
      <c r="N268" s="4"/>
      <c r="O268" s="107"/>
      <c r="P268" s="4"/>
      <c r="Q268" s="4"/>
      <c r="R268" s="4"/>
      <c r="S268" s="4"/>
      <c r="T268" s="4"/>
      <c r="U268" s="4"/>
      <c r="V268" s="4"/>
      <c r="W268" s="4"/>
      <c r="X268" s="4"/>
      <c r="Y268" s="4"/>
      <c r="Z268" s="4"/>
    </row>
    <row r="269" spans="1:26" ht="15.75" customHeight="1" x14ac:dyDescent="0.25">
      <c r="A269" s="4"/>
      <c r="B269" s="468" t="s">
        <v>483</v>
      </c>
      <c r="C269" s="51" t="s">
        <v>484</v>
      </c>
      <c r="D269" s="54"/>
      <c r="E269" s="54"/>
      <c r="F269" s="53"/>
      <c r="G269" s="54"/>
      <c r="H269" s="53"/>
      <c r="I269" s="54"/>
      <c r="J269" s="475"/>
      <c r="K269" s="64"/>
      <c r="L269" s="67"/>
      <c r="M269" s="476"/>
      <c r="N269" s="4"/>
      <c r="O269" s="107"/>
      <c r="P269" s="4"/>
      <c r="Q269" s="4"/>
      <c r="R269" s="4"/>
      <c r="S269" s="4"/>
      <c r="T269" s="4"/>
      <c r="U269" s="4"/>
      <c r="V269" s="4"/>
      <c r="W269" s="4"/>
      <c r="X269" s="4"/>
      <c r="Y269" s="4"/>
      <c r="Z269" s="4"/>
    </row>
    <row r="270" spans="1:26" ht="15.75" customHeight="1" x14ac:dyDescent="0.25">
      <c r="A270" s="4"/>
      <c r="B270" s="468"/>
      <c r="C270" s="54" t="s">
        <v>494</v>
      </c>
      <c r="D270" s="54" t="s">
        <v>495</v>
      </c>
      <c r="E270" s="54" t="s">
        <v>548</v>
      </c>
      <c r="F270" s="372">
        <v>35607</v>
      </c>
      <c r="G270" s="54" t="s">
        <v>354</v>
      </c>
      <c r="H270" s="53">
        <v>150000</v>
      </c>
      <c r="I270" s="54" t="s">
        <v>487</v>
      </c>
      <c r="J270" s="478">
        <v>5341</v>
      </c>
      <c r="K270" s="370">
        <v>422.82</v>
      </c>
      <c r="L270" s="479">
        <v>2.0899999999999998E-2</v>
      </c>
      <c r="M270" s="480">
        <v>1.9E-3</v>
      </c>
      <c r="N270" s="4"/>
      <c r="O270" s="107" t="s">
        <v>270</v>
      </c>
      <c r="P270" s="4"/>
      <c r="Q270" s="4"/>
      <c r="R270" s="4"/>
      <c r="S270" s="4"/>
      <c r="T270" s="4"/>
      <c r="U270" s="4"/>
      <c r="V270" s="4"/>
      <c r="W270" s="4"/>
      <c r="X270" s="4"/>
      <c r="Y270" s="4"/>
      <c r="Z270" s="4"/>
    </row>
    <row r="271" spans="1:26" ht="15.75" customHeight="1" x14ac:dyDescent="0.25">
      <c r="A271" s="4"/>
      <c r="B271" s="468"/>
      <c r="C271" s="54"/>
      <c r="D271" s="54"/>
      <c r="E271" s="54"/>
      <c r="F271" s="372"/>
      <c r="G271" s="54"/>
      <c r="H271" s="53"/>
      <c r="I271" s="54"/>
      <c r="J271" s="478"/>
      <c r="K271" s="378"/>
      <c r="L271" s="375"/>
      <c r="M271" s="376"/>
      <c r="N271" s="4"/>
      <c r="O271" s="107"/>
      <c r="P271" s="4"/>
      <c r="Q271" s="4"/>
      <c r="R271" s="4"/>
      <c r="S271" s="4"/>
      <c r="T271" s="4"/>
      <c r="U271" s="4"/>
      <c r="V271" s="4"/>
      <c r="W271" s="4"/>
      <c r="X271" s="4"/>
      <c r="Y271" s="4"/>
      <c r="Z271" s="4"/>
    </row>
    <row r="272" spans="1:26" ht="15.75" customHeight="1" x14ac:dyDescent="0.25">
      <c r="A272" s="4"/>
      <c r="B272" s="468"/>
      <c r="C272" s="54" t="s">
        <v>496</v>
      </c>
      <c r="D272" s="54" t="s">
        <v>497</v>
      </c>
      <c r="E272" s="54" t="s">
        <v>548</v>
      </c>
      <c r="F272" s="372">
        <v>24832</v>
      </c>
      <c r="G272" s="54" t="s">
        <v>354</v>
      </c>
      <c r="H272" s="53">
        <v>150000</v>
      </c>
      <c r="I272" s="54" t="s">
        <v>487</v>
      </c>
      <c r="J272" s="477">
        <v>3725</v>
      </c>
      <c r="K272" s="394">
        <v>298.74</v>
      </c>
      <c r="L272" s="375">
        <v>1.47E-2</v>
      </c>
      <c r="M272" s="376">
        <v>1.6000000000000001E-3</v>
      </c>
      <c r="N272" s="4"/>
      <c r="O272" s="107"/>
      <c r="P272" s="4"/>
      <c r="Q272" s="4"/>
      <c r="R272" s="4"/>
      <c r="S272" s="4"/>
      <c r="T272" s="4"/>
      <c r="U272" s="4"/>
      <c r="V272" s="4"/>
      <c r="W272" s="4"/>
      <c r="X272" s="4"/>
      <c r="Y272" s="4"/>
      <c r="Z272" s="4"/>
    </row>
    <row r="273" spans="1:26" ht="15.75" customHeight="1" x14ac:dyDescent="0.25">
      <c r="A273" s="4"/>
      <c r="B273" s="468"/>
      <c r="C273" s="54"/>
      <c r="D273" s="54"/>
      <c r="E273" s="54"/>
      <c r="F273" s="372"/>
      <c r="G273" s="54"/>
      <c r="H273" s="53"/>
      <c r="I273" s="54"/>
      <c r="J273" s="478"/>
      <c r="K273" s="378"/>
      <c r="L273" s="392"/>
      <c r="M273" s="393"/>
      <c r="N273" s="4"/>
      <c r="O273" s="107"/>
      <c r="P273" s="4"/>
      <c r="Q273" s="4"/>
      <c r="R273" s="4"/>
      <c r="S273" s="4"/>
      <c r="T273" s="4"/>
      <c r="U273" s="4"/>
      <c r="V273" s="4"/>
      <c r="W273" s="4"/>
      <c r="X273" s="4"/>
      <c r="Y273" s="4"/>
      <c r="Z273" s="4"/>
    </row>
    <row r="274" spans="1:26" ht="15.75" customHeight="1" x14ac:dyDescent="0.25">
      <c r="A274" s="4"/>
      <c r="B274" s="468"/>
      <c r="C274" s="54" t="s">
        <v>498</v>
      </c>
      <c r="D274" s="54" t="s">
        <v>499</v>
      </c>
      <c r="E274" s="54" t="s">
        <v>548</v>
      </c>
      <c r="F274" s="372">
        <v>47741</v>
      </c>
      <c r="G274" s="54" t="s">
        <v>354</v>
      </c>
      <c r="H274" s="53">
        <v>150000</v>
      </c>
      <c r="I274" s="54" t="s">
        <v>487</v>
      </c>
      <c r="J274" s="477">
        <v>7161</v>
      </c>
      <c r="K274" s="394">
        <v>561.57000000000005</v>
      </c>
      <c r="L274" s="375">
        <v>2.7799999999999998E-2</v>
      </c>
      <c r="M274" s="376">
        <v>2.8E-3</v>
      </c>
      <c r="N274" s="4"/>
      <c r="O274" s="107"/>
      <c r="P274" s="4"/>
      <c r="Q274" s="4"/>
      <c r="R274" s="4"/>
      <c r="S274" s="4"/>
      <c r="T274" s="4"/>
      <c r="U274" s="4"/>
      <c r="V274" s="4"/>
      <c r="W274" s="4"/>
      <c r="X274" s="4"/>
      <c r="Y274" s="4"/>
      <c r="Z274" s="4"/>
    </row>
    <row r="275" spans="1:26" ht="15.75" customHeight="1" x14ac:dyDescent="0.25">
      <c r="A275" s="4"/>
      <c r="B275" s="468"/>
      <c r="C275" s="54"/>
      <c r="D275" s="54"/>
      <c r="E275" s="54"/>
      <c r="F275" s="372"/>
      <c r="G275" s="54"/>
      <c r="H275" s="53"/>
      <c r="I275" s="54"/>
      <c r="J275" s="557"/>
      <c r="K275" s="378"/>
      <c r="L275" s="392"/>
      <c r="M275" s="393"/>
      <c r="N275" s="4"/>
      <c r="O275" s="107"/>
      <c r="P275" s="4"/>
      <c r="Q275" s="4"/>
      <c r="R275" s="4"/>
      <c r="S275" s="4"/>
      <c r="T275" s="4"/>
      <c r="U275" s="4"/>
      <c r="V275" s="4"/>
      <c r="W275" s="4"/>
      <c r="X275" s="4"/>
      <c r="Y275" s="4"/>
      <c r="Z275" s="4"/>
    </row>
    <row r="276" spans="1:26" ht="15.75" customHeight="1" x14ac:dyDescent="0.25">
      <c r="A276" s="4"/>
      <c r="B276" s="468"/>
      <c r="C276" s="54" t="s">
        <v>500</v>
      </c>
      <c r="D276" s="54" t="s">
        <v>501</v>
      </c>
      <c r="E276" s="54" t="s">
        <v>548</v>
      </c>
      <c r="F276" s="372">
        <v>53491</v>
      </c>
      <c r="G276" s="54" t="s">
        <v>354</v>
      </c>
      <c r="H276" s="53">
        <v>150000</v>
      </c>
      <c r="I276" s="54" t="s">
        <v>487</v>
      </c>
      <c r="J276" s="477">
        <v>8024</v>
      </c>
      <c r="K276" s="394">
        <v>622.12</v>
      </c>
      <c r="L276" s="375">
        <v>3.04E-2</v>
      </c>
      <c r="M276" s="481">
        <v>2.8E-3</v>
      </c>
      <c r="N276" s="4"/>
      <c r="O276" s="107"/>
      <c r="P276" s="4"/>
      <c r="Q276" s="4"/>
      <c r="R276" s="4"/>
      <c r="S276" s="4"/>
      <c r="T276" s="4"/>
      <c r="U276" s="4"/>
      <c r="V276" s="4"/>
      <c r="W276" s="4"/>
      <c r="X276" s="4"/>
      <c r="Y276" s="4"/>
      <c r="Z276" s="4"/>
    </row>
    <row r="277" spans="1:26" ht="15.75" customHeight="1" x14ac:dyDescent="0.25">
      <c r="A277" s="4"/>
      <c r="B277" s="468"/>
      <c r="C277" s="54"/>
      <c r="D277" s="54"/>
      <c r="E277" s="54"/>
      <c r="F277" s="372"/>
      <c r="G277" s="54"/>
      <c r="H277" s="53"/>
      <c r="I277" s="54"/>
      <c r="J277" s="557"/>
      <c r="K277" s="378"/>
      <c r="L277" s="392"/>
      <c r="M277" s="447"/>
      <c r="N277" s="4"/>
      <c r="O277" s="107"/>
      <c r="P277" s="4"/>
      <c r="Q277" s="4"/>
      <c r="R277" s="4"/>
      <c r="S277" s="4"/>
      <c r="T277" s="4"/>
      <c r="U277" s="4"/>
      <c r="V277" s="4"/>
      <c r="W277" s="4"/>
      <c r="X277" s="4"/>
      <c r="Y277" s="4"/>
      <c r="Z277" s="4"/>
    </row>
    <row r="278" spans="1:26" ht="15.75" customHeight="1" x14ac:dyDescent="0.25">
      <c r="A278" s="4"/>
      <c r="B278" s="558"/>
      <c r="C278" s="122"/>
      <c r="D278" s="449"/>
      <c r="E278" s="122"/>
      <c r="F278" s="559"/>
      <c r="G278" s="449"/>
      <c r="H278" s="451"/>
      <c r="I278" s="449"/>
      <c r="J278" s="560"/>
      <c r="K278" s="561"/>
      <c r="L278" s="562"/>
      <c r="M278" s="563"/>
      <c r="N278" s="4"/>
      <c r="O278" s="564"/>
      <c r="P278" s="4"/>
      <c r="Q278" s="4"/>
      <c r="R278" s="4"/>
      <c r="S278" s="4"/>
      <c r="T278" s="4"/>
      <c r="U278" s="4"/>
      <c r="V278" s="4"/>
      <c r="W278" s="4"/>
      <c r="X278" s="4"/>
      <c r="Y278" s="4"/>
      <c r="Z278" s="4"/>
    </row>
    <row r="279" spans="1:26" ht="15.75" customHeight="1" x14ac:dyDescent="0.25">
      <c r="A279" s="4"/>
      <c r="B279" s="353" t="s">
        <v>338</v>
      </c>
      <c r="C279" s="87" t="s">
        <v>339</v>
      </c>
      <c r="D279" s="436"/>
      <c r="E279" s="86"/>
      <c r="F279" s="206"/>
      <c r="G279" s="86"/>
      <c r="H279" s="206"/>
      <c r="I279" s="86"/>
      <c r="J279" s="495"/>
      <c r="K279" s="496"/>
      <c r="L279" s="217"/>
      <c r="M279" s="497"/>
      <c r="N279" s="4"/>
      <c r="O279" s="107"/>
      <c r="P279" s="4"/>
      <c r="Q279" s="4"/>
      <c r="R279" s="4"/>
      <c r="S279" s="4"/>
      <c r="T279" s="4"/>
      <c r="U279" s="4"/>
      <c r="V279" s="4"/>
      <c r="W279" s="4"/>
      <c r="X279" s="4"/>
      <c r="Y279" s="4"/>
      <c r="Z279" s="4"/>
    </row>
    <row r="280" spans="1:26" ht="15.75" customHeight="1" x14ac:dyDescent="0.25">
      <c r="A280" s="4"/>
      <c r="B280" s="554"/>
      <c r="C280" s="86"/>
      <c r="D280" s="436" t="s">
        <v>341</v>
      </c>
      <c r="E280" s="86" t="s">
        <v>549</v>
      </c>
      <c r="F280" s="206">
        <f>Luke!F14</f>
        <v>487145</v>
      </c>
      <c r="G280" s="86" t="s">
        <v>354</v>
      </c>
      <c r="H280" s="206">
        <v>140001</v>
      </c>
      <c r="I280" s="86" t="s">
        <v>535</v>
      </c>
      <c r="J280" s="565">
        <f>Luke!F16</f>
        <v>68200.787144999995</v>
      </c>
      <c r="K280" s="496">
        <f>Luke!F18+Luke!F22+Luke!F26</f>
        <v>6849.1239705834614</v>
      </c>
      <c r="L280" s="217">
        <f>Luke!F19+Luke!F23+Luke!F27</f>
        <v>0.81412553002436694</v>
      </c>
      <c r="M280" s="484">
        <f>Luke!F20+Luke!F24+Luke!F28</f>
        <v>0.11986321776475077</v>
      </c>
      <c r="N280" s="4"/>
      <c r="O280" s="107" t="s">
        <v>270</v>
      </c>
      <c r="P280" s="4"/>
      <c r="Q280" s="4"/>
      <c r="R280" s="4"/>
      <c r="S280" s="4"/>
      <c r="T280" s="4"/>
      <c r="U280" s="4"/>
      <c r="V280" s="4"/>
      <c r="W280" s="4"/>
      <c r="X280" s="4"/>
      <c r="Y280" s="4"/>
      <c r="Z280" s="4"/>
    </row>
    <row r="281" spans="1:26" ht="15.75" customHeight="1" x14ac:dyDescent="0.25">
      <c r="A281" s="4"/>
      <c r="B281" s="357"/>
      <c r="C281" s="358"/>
      <c r="D281" s="358"/>
      <c r="E281" s="358"/>
      <c r="F281" s="221"/>
      <c r="G281" s="358"/>
      <c r="H281" s="566"/>
      <c r="I281" s="358"/>
      <c r="J281" s="567"/>
      <c r="K281" s="568"/>
      <c r="L281" s="222"/>
      <c r="M281" s="569"/>
      <c r="N281" s="4"/>
      <c r="O281" s="107"/>
      <c r="P281" s="4"/>
      <c r="Q281" s="4"/>
      <c r="R281" s="4"/>
      <c r="S281" s="4"/>
      <c r="T281" s="4"/>
      <c r="U281" s="4"/>
      <c r="V281" s="4"/>
      <c r="W281" s="4"/>
      <c r="X281" s="4"/>
      <c r="Y281" s="4"/>
      <c r="Z281" s="4"/>
    </row>
    <row r="282" spans="1:26" ht="15.75" customHeight="1" x14ac:dyDescent="0.25">
      <c r="A282" s="4"/>
      <c r="B282" s="570" t="s">
        <v>550</v>
      </c>
      <c r="C282" s="122" t="s">
        <v>551</v>
      </c>
      <c r="D282" s="449"/>
      <c r="E282" s="449"/>
      <c r="F282" s="451"/>
      <c r="G282" s="449"/>
      <c r="H282" s="571"/>
      <c r="I282" s="449"/>
      <c r="J282" s="572"/>
      <c r="K282" s="573"/>
      <c r="L282" s="574"/>
      <c r="M282" s="563"/>
      <c r="N282" s="4"/>
      <c r="O282" s="107"/>
      <c r="P282" s="4"/>
      <c r="Q282" s="4"/>
      <c r="R282" s="4"/>
      <c r="S282" s="4"/>
      <c r="T282" s="4"/>
      <c r="U282" s="4"/>
      <c r="V282" s="4"/>
      <c r="W282" s="4"/>
      <c r="X282" s="4"/>
      <c r="Y282" s="4"/>
      <c r="Z282" s="4"/>
    </row>
    <row r="283" spans="1:26" ht="15.75" customHeight="1" x14ac:dyDescent="0.25">
      <c r="A283" s="4"/>
      <c r="B283" s="554"/>
      <c r="C283" s="86"/>
      <c r="D283" s="86"/>
      <c r="E283" s="86"/>
      <c r="F283" s="206"/>
      <c r="G283" s="86"/>
      <c r="H283" s="456"/>
      <c r="I283" s="86"/>
      <c r="J283" s="575"/>
      <c r="K283" s="496"/>
      <c r="L283" s="217"/>
      <c r="M283" s="497"/>
      <c r="N283" s="4"/>
      <c r="O283" s="107"/>
      <c r="P283" s="4"/>
      <c r="Q283" s="4"/>
      <c r="R283" s="4"/>
      <c r="S283" s="4"/>
      <c r="T283" s="4"/>
      <c r="U283" s="4"/>
      <c r="V283" s="4"/>
      <c r="W283" s="4"/>
      <c r="X283" s="4"/>
      <c r="Y283" s="4"/>
      <c r="Z283" s="4"/>
    </row>
    <row r="284" spans="1:26" ht="15.75" customHeight="1" x14ac:dyDescent="0.25">
      <c r="A284" s="4"/>
      <c r="B284" s="554"/>
      <c r="C284" s="86" t="s">
        <v>552</v>
      </c>
      <c r="D284" s="87" t="s">
        <v>553</v>
      </c>
      <c r="E284" s="54" t="s">
        <v>548</v>
      </c>
      <c r="F284" s="372">
        <f>Severstal!E48</f>
        <v>3815</v>
      </c>
      <c r="G284" s="54" t="s">
        <v>354</v>
      </c>
      <c r="H284" s="53">
        <v>137001</v>
      </c>
      <c r="I284" s="54" t="s">
        <v>487</v>
      </c>
      <c r="J284" s="576">
        <f>Severstal!E9+Severstal!E19+Severstal!E29+Severstal!E39</f>
        <v>580</v>
      </c>
      <c r="K284" s="64">
        <f>(Severstal!E11+Severstal!E21+Severstal!E31+Severstal!E41)*1.1023</f>
        <v>19.51071</v>
      </c>
      <c r="L284" s="577">
        <f>(Severstal!E12+Severstal!E22+Severstal!E32+Severstal!E42)*1.1023</f>
        <v>0</v>
      </c>
      <c r="M284" s="578">
        <f>(Severstal!E13+Severstal!E23+Severstal!E33+Severstal!E43)*1.1023</f>
        <v>0</v>
      </c>
      <c r="N284" s="4"/>
      <c r="O284" s="107"/>
      <c r="P284" s="4"/>
      <c r="Q284" s="4"/>
      <c r="R284" s="4"/>
      <c r="S284" s="4"/>
      <c r="T284" s="4"/>
      <c r="U284" s="4"/>
      <c r="V284" s="4"/>
      <c r="W284" s="4"/>
      <c r="X284" s="4"/>
      <c r="Y284" s="4"/>
      <c r="Z284" s="4"/>
    </row>
    <row r="285" spans="1:26" ht="15.75" customHeight="1" x14ac:dyDescent="0.25">
      <c r="A285" s="4"/>
      <c r="B285" s="357"/>
      <c r="C285" s="358"/>
      <c r="D285" s="358"/>
      <c r="E285" s="358"/>
      <c r="F285" s="221"/>
      <c r="G285" s="358"/>
      <c r="H285" s="566"/>
      <c r="I285" s="358"/>
      <c r="J285" s="567"/>
      <c r="K285" s="568"/>
      <c r="L285" s="222"/>
      <c r="M285" s="569"/>
      <c r="N285" s="4"/>
      <c r="O285" s="107"/>
      <c r="P285" s="4"/>
      <c r="Q285" s="4"/>
      <c r="R285" s="4"/>
      <c r="S285" s="4"/>
      <c r="T285" s="4"/>
      <c r="U285" s="4"/>
      <c r="V285" s="4"/>
      <c r="W285" s="4"/>
      <c r="X285" s="4"/>
      <c r="Y285" s="4"/>
      <c r="Z285" s="4"/>
    </row>
    <row r="286" spans="1:26" ht="15.75" customHeight="1" x14ac:dyDescent="0.25">
      <c r="A286" s="4"/>
      <c r="B286" s="558"/>
      <c r="C286" s="122"/>
      <c r="D286" s="449"/>
      <c r="E286" s="122"/>
      <c r="F286" s="559"/>
      <c r="G286" s="449"/>
      <c r="H286" s="451"/>
      <c r="I286" s="449"/>
      <c r="J286" s="560"/>
      <c r="K286" s="561"/>
      <c r="L286" s="562"/>
      <c r="M286" s="563"/>
      <c r="N286" s="4"/>
      <c r="O286" s="107"/>
      <c r="P286" s="4"/>
      <c r="Q286" s="4"/>
      <c r="R286" s="4"/>
      <c r="S286" s="4"/>
      <c r="T286" s="4"/>
      <c r="U286" s="4"/>
      <c r="V286" s="4"/>
      <c r="W286" s="4"/>
      <c r="X286" s="4"/>
      <c r="Y286" s="4"/>
      <c r="Z286" s="4"/>
    </row>
    <row r="287" spans="1:26" ht="15.75" customHeight="1" x14ac:dyDescent="0.25">
      <c r="A287" s="4"/>
      <c r="B287" s="579"/>
      <c r="C287" s="580"/>
      <c r="D287" s="581"/>
      <c r="E287" s="580"/>
      <c r="F287" s="582">
        <f>SUM(F255:F286)</f>
        <v>5598663</v>
      </c>
      <c r="G287" s="581"/>
      <c r="H287" s="583"/>
      <c r="I287" s="581"/>
      <c r="J287" s="584">
        <f t="shared" ref="J287:M287" si="2">SUM(J255:J286)</f>
        <v>842636.845309</v>
      </c>
      <c r="K287" s="584">
        <f t="shared" si="2"/>
        <v>65481.962931617294</v>
      </c>
      <c r="L287" s="584">
        <f t="shared" si="2"/>
        <v>1.629046185748185</v>
      </c>
      <c r="M287" s="585">
        <f t="shared" si="2"/>
        <v>1.1718190251999789</v>
      </c>
      <c r="N287" s="4"/>
      <c r="O287" s="107"/>
      <c r="P287" s="4"/>
      <c r="Q287" s="4"/>
      <c r="R287" s="4"/>
      <c r="S287" s="4"/>
      <c r="T287" s="4"/>
      <c r="U287" s="4"/>
      <c r="V287" s="4"/>
      <c r="W287" s="4"/>
      <c r="X287" s="4"/>
      <c r="Y287" s="4"/>
      <c r="Z287" s="4"/>
    </row>
    <row r="288" spans="1:26" ht="15.75" customHeight="1" x14ac:dyDescent="0.25">
      <c r="A288" s="4"/>
      <c r="B288" s="143"/>
      <c r="C288" s="4"/>
      <c r="D288" s="4"/>
      <c r="E288" s="4"/>
      <c r="F288" s="98"/>
      <c r="G288" s="4"/>
      <c r="H288" s="98"/>
      <c r="I288" s="4"/>
      <c r="J288" s="4"/>
      <c r="K288" s="4"/>
      <c r="L288" s="4"/>
      <c r="M288" s="586"/>
      <c r="N288" s="4"/>
      <c r="O288" s="107"/>
      <c r="P288" s="4"/>
      <c r="Q288" s="4"/>
      <c r="R288" s="4"/>
      <c r="S288" s="4"/>
      <c r="T288" s="4"/>
      <c r="U288" s="4"/>
      <c r="V288" s="4"/>
      <c r="W288" s="4"/>
      <c r="X288" s="4"/>
      <c r="Y288" s="4"/>
      <c r="Z288" s="4"/>
    </row>
    <row r="289" spans="1:26" ht="15.75" customHeight="1" x14ac:dyDescent="0.25">
      <c r="A289" s="4"/>
      <c r="B289" s="587"/>
      <c r="C289" s="588"/>
      <c r="D289" s="588"/>
      <c r="E289" s="588" t="s">
        <v>554</v>
      </c>
      <c r="F289" s="588"/>
      <c r="G289" s="588"/>
      <c r="H289" s="588"/>
      <c r="I289" s="588"/>
      <c r="J289" s="588"/>
      <c r="K289" s="589">
        <f>(K287*0.90718474)/1000000</f>
        <v>5.9404237516808879E-2</v>
      </c>
      <c r="L289" s="589">
        <f>(L287*$J$425*0.90718474)/1000000</f>
        <v>4.1379683533046853E-5</v>
      </c>
      <c r="M289" s="590">
        <f>(M287*$J$426*0.90718474)/1000000</f>
        <v>2.8170992949132055E-4</v>
      </c>
      <c r="N289" s="4"/>
      <c r="O289" s="107"/>
      <c r="P289" s="4"/>
      <c r="Q289" s="4"/>
      <c r="R289" s="4"/>
      <c r="S289" s="4"/>
      <c r="T289" s="4"/>
      <c r="U289" s="4"/>
      <c r="V289" s="4"/>
      <c r="W289" s="4"/>
      <c r="X289" s="4"/>
      <c r="Y289" s="4"/>
      <c r="Z289" s="4"/>
    </row>
    <row r="290" spans="1:26" ht="15.75" customHeight="1" x14ac:dyDescent="0.25">
      <c r="A290" s="4"/>
      <c r="B290" s="152"/>
      <c r="C290" s="244"/>
      <c r="D290" s="244"/>
      <c r="E290" s="244"/>
      <c r="F290" s="536"/>
      <c r="G290" s="244"/>
      <c r="H290" s="536"/>
      <c r="I290" s="244"/>
      <c r="J290" s="244"/>
      <c r="K290" s="244"/>
      <c r="L290" s="244"/>
      <c r="M290" s="591"/>
      <c r="N290" s="4"/>
      <c r="O290" s="107"/>
      <c r="P290" s="4"/>
      <c r="Q290" s="4"/>
      <c r="R290" s="4"/>
      <c r="S290" s="4"/>
      <c r="T290" s="4"/>
      <c r="U290" s="4"/>
      <c r="V290" s="4"/>
      <c r="W290" s="4"/>
      <c r="X290" s="4"/>
      <c r="Y290" s="4"/>
      <c r="Z290" s="4"/>
    </row>
    <row r="291" spans="1:26" ht="15.75" customHeight="1" x14ac:dyDescent="0.25">
      <c r="A291" s="4"/>
      <c r="B291" s="4"/>
      <c r="C291" s="4"/>
      <c r="D291" s="4"/>
      <c r="E291" s="4"/>
      <c r="F291" s="98"/>
      <c r="G291" s="4"/>
      <c r="H291" s="98"/>
      <c r="I291" s="4"/>
      <c r="J291" s="4"/>
      <c r="K291" s="4"/>
      <c r="L291" s="4"/>
      <c r="M291" s="4"/>
      <c r="N291" s="4"/>
      <c r="O291" s="107"/>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1"/>
      <c r="J292" s="4"/>
      <c r="K292" s="4"/>
      <c r="L292" s="543"/>
      <c r="M292" s="4"/>
      <c r="N292" s="4"/>
      <c r="O292" s="107"/>
      <c r="P292" s="4"/>
      <c r="Q292" s="4"/>
      <c r="R292" s="4"/>
      <c r="S292" s="4"/>
      <c r="T292" s="4"/>
      <c r="U292" s="4"/>
      <c r="V292" s="4"/>
      <c r="W292" s="4"/>
      <c r="X292" s="4"/>
      <c r="Y292" s="4"/>
      <c r="Z292" s="4"/>
    </row>
    <row r="293" spans="1:26" ht="15.75" customHeight="1" x14ac:dyDescent="0.25">
      <c r="A293" s="4"/>
      <c r="B293" s="592"/>
      <c r="C293" s="593"/>
      <c r="D293" s="593"/>
      <c r="E293" s="593"/>
      <c r="F293" s="593"/>
      <c r="G293" s="593"/>
      <c r="H293" s="2150" t="s">
        <v>555</v>
      </c>
      <c r="I293" s="2151"/>
      <c r="J293" s="594"/>
      <c r="K293" s="595">
        <f t="shared" ref="K293:M293" si="3">K245+K289</f>
        <v>0.1946277957923413</v>
      </c>
      <c r="L293" s="596">
        <f t="shared" si="3"/>
        <v>1.3457560317107012E-4</v>
      </c>
      <c r="M293" s="597">
        <f t="shared" si="3"/>
        <v>1.1395575250121828E-3</v>
      </c>
      <c r="N293" s="4"/>
      <c r="O293" s="107"/>
      <c r="P293" s="4"/>
      <c r="Q293" s="4"/>
      <c r="R293" s="4"/>
      <c r="S293" s="4"/>
      <c r="T293" s="4"/>
      <c r="U293" s="4"/>
      <c r="V293" s="4"/>
      <c r="W293" s="4"/>
      <c r="X293" s="4"/>
      <c r="Y293" s="4"/>
      <c r="Z293" s="4"/>
    </row>
    <row r="294" spans="1:26" ht="15.75" customHeight="1" x14ac:dyDescent="0.25">
      <c r="A294" s="4"/>
      <c r="B294" s="4"/>
      <c r="C294" s="4"/>
      <c r="D294" s="4"/>
      <c r="E294" s="4"/>
      <c r="F294" s="4"/>
      <c r="G294" s="4"/>
      <c r="H294" s="598"/>
      <c r="I294" s="598"/>
      <c r="J294" s="599"/>
      <c r="K294" s="600"/>
      <c r="L294" s="600"/>
      <c r="M294" s="600"/>
      <c r="N294" s="4"/>
      <c r="O294" s="107"/>
      <c r="P294" s="4"/>
      <c r="Q294" s="4"/>
      <c r="R294" s="4"/>
      <c r="S294" s="4"/>
      <c r="T294" s="4"/>
      <c r="U294" s="4"/>
      <c r="V294" s="4"/>
      <c r="W294" s="4"/>
      <c r="X294" s="4"/>
      <c r="Y294" s="4"/>
      <c r="Z294" s="4"/>
    </row>
    <row r="295" spans="1:26" ht="15.75" customHeight="1" x14ac:dyDescent="0.25">
      <c r="A295" s="4"/>
      <c r="B295" s="4"/>
      <c r="C295" s="4"/>
      <c r="D295" s="4"/>
      <c r="E295" s="4"/>
      <c r="F295" s="4"/>
      <c r="G295" s="4"/>
      <c r="H295" s="598"/>
      <c r="I295" s="598"/>
      <c r="J295" s="599"/>
      <c r="K295" s="600"/>
      <c r="L295" s="600"/>
      <c r="M295" s="600"/>
      <c r="N295" s="4"/>
      <c r="O295" s="107"/>
      <c r="P295" s="4"/>
      <c r="Q295" s="4"/>
      <c r="R295" s="4"/>
      <c r="S295" s="4"/>
      <c r="T295" s="4"/>
      <c r="U295" s="4"/>
      <c r="V295" s="4"/>
      <c r="W295" s="4"/>
      <c r="X295" s="4"/>
      <c r="Y295" s="4"/>
      <c r="Z295" s="4"/>
    </row>
    <row r="296" spans="1:26" ht="15.75" customHeight="1" x14ac:dyDescent="0.25">
      <c r="A296" s="4"/>
      <c r="B296" s="4"/>
      <c r="C296" s="4"/>
      <c r="D296" s="4"/>
      <c r="E296" s="4"/>
      <c r="F296" s="4"/>
      <c r="G296" s="4"/>
      <c r="H296" s="598"/>
      <c r="I296" s="598"/>
      <c r="J296" s="599"/>
      <c r="K296" s="600"/>
      <c r="L296" s="600"/>
      <c r="M296" s="600"/>
      <c r="N296" s="4"/>
      <c r="O296" s="107"/>
      <c r="P296" s="4"/>
      <c r="Q296" s="4"/>
      <c r="R296" s="4"/>
      <c r="S296" s="4"/>
      <c r="T296" s="4"/>
      <c r="U296" s="4"/>
      <c r="V296" s="4"/>
      <c r="W296" s="4"/>
      <c r="X296" s="4"/>
      <c r="Y296" s="4"/>
      <c r="Z296" s="4"/>
    </row>
    <row r="297" spans="1:26" ht="15.75" customHeight="1" x14ac:dyDescent="0.25">
      <c r="A297" s="4"/>
      <c r="B297" s="4"/>
      <c r="C297" s="4"/>
      <c r="D297" s="4"/>
      <c r="E297" s="4"/>
      <c r="F297" s="4"/>
      <c r="G297" s="4"/>
      <c r="H297" s="598"/>
      <c r="I297" s="598"/>
      <c r="J297" s="599"/>
      <c r="K297" s="600"/>
      <c r="L297" s="600"/>
      <c r="M297" s="600"/>
      <c r="N297" s="4"/>
      <c r="O297" s="107"/>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1"/>
      <c r="J298" s="4"/>
      <c r="K298" s="540"/>
      <c r="L298" s="4"/>
      <c r="M298" s="4"/>
      <c r="N298" s="4"/>
      <c r="O298" s="107"/>
      <c r="P298" s="4"/>
      <c r="Q298" s="4"/>
      <c r="R298" s="4"/>
      <c r="S298" s="4"/>
      <c r="T298" s="4"/>
      <c r="U298" s="4"/>
      <c r="V298" s="4"/>
      <c r="W298" s="4"/>
      <c r="X298" s="4"/>
      <c r="Y298" s="4"/>
      <c r="Z298" s="4"/>
    </row>
    <row r="299" spans="1:26" ht="15.75" customHeight="1" x14ac:dyDescent="0.25">
      <c r="A299" s="4"/>
      <c r="B299" s="262" t="s">
        <v>556</v>
      </c>
      <c r="C299" s="263"/>
      <c r="D299" s="263"/>
      <c r="E299" s="4"/>
      <c r="F299" s="4"/>
      <c r="G299" s="4"/>
      <c r="H299" s="4"/>
      <c r="I299" s="1"/>
      <c r="J299" s="4"/>
      <c r="K299" s="540"/>
      <c r="L299" s="4"/>
      <c r="M299" s="4"/>
      <c r="N299" s="4"/>
      <c r="O299" s="107"/>
      <c r="P299" s="4"/>
      <c r="Q299" s="4"/>
      <c r="R299" s="4"/>
      <c r="S299" s="4"/>
      <c r="T299" s="4"/>
      <c r="U299" s="4"/>
      <c r="V299" s="4"/>
      <c r="W299" s="4"/>
      <c r="X299" s="4"/>
      <c r="Y299" s="4"/>
      <c r="Z299" s="4"/>
    </row>
    <row r="300" spans="1:26" ht="15.75" customHeight="1" x14ac:dyDescent="0.25">
      <c r="A300" s="143"/>
      <c r="B300" s="4"/>
      <c r="C300" s="4"/>
      <c r="D300" s="4"/>
      <c r="E300" s="4"/>
      <c r="F300" s="4"/>
      <c r="G300" s="4"/>
      <c r="H300" s="4"/>
      <c r="I300" s="4"/>
      <c r="J300" s="4"/>
      <c r="K300" s="4"/>
      <c r="L300" s="4"/>
      <c r="M300" s="4"/>
      <c r="N300" s="4"/>
      <c r="O300" s="107"/>
      <c r="P300" s="4"/>
      <c r="Q300" s="4"/>
      <c r="R300" s="4"/>
      <c r="S300" s="4"/>
      <c r="T300" s="4"/>
      <c r="U300" s="4"/>
      <c r="V300" s="4"/>
      <c r="W300" s="4"/>
      <c r="X300" s="4"/>
      <c r="Y300" s="4"/>
      <c r="Z300" s="4"/>
    </row>
    <row r="301" spans="1:26" ht="15.75" customHeight="1" x14ac:dyDescent="0.25">
      <c r="A301" s="143"/>
      <c r="B301" s="348" t="s">
        <v>274</v>
      </c>
      <c r="C301" s="349" t="s">
        <v>275</v>
      </c>
      <c r="D301" s="349" t="s">
        <v>276</v>
      </c>
      <c r="E301" s="349" t="s">
        <v>277</v>
      </c>
      <c r="F301" s="349" t="s">
        <v>278</v>
      </c>
      <c r="G301" s="349" t="s">
        <v>279</v>
      </c>
      <c r="H301" s="349" t="s">
        <v>280</v>
      </c>
      <c r="I301" s="349" t="s">
        <v>281</v>
      </c>
      <c r="J301" s="601" t="s">
        <v>282</v>
      </c>
      <c r="K301" s="351" t="s">
        <v>557</v>
      </c>
      <c r="L301" s="349" t="s">
        <v>558</v>
      </c>
      <c r="M301" s="352" t="s">
        <v>559</v>
      </c>
      <c r="N301" s="4"/>
      <c r="O301" s="107"/>
      <c r="P301" s="4"/>
      <c r="Q301" s="4"/>
      <c r="R301" s="4"/>
      <c r="S301" s="4"/>
      <c r="T301" s="4"/>
      <c r="U301" s="4"/>
      <c r="V301" s="4"/>
      <c r="W301" s="4"/>
      <c r="X301" s="4"/>
      <c r="Y301" s="4"/>
      <c r="Z301" s="4"/>
    </row>
    <row r="302" spans="1:26" ht="15.75" customHeight="1" x14ac:dyDescent="0.25">
      <c r="A302" s="143"/>
      <c r="B302" s="353"/>
      <c r="C302" s="87"/>
      <c r="D302" s="87"/>
      <c r="E302" s="87" t="s">
        <v>560</v>
      </c>
      <c r="F302" s="87"/>
      <c r="G302" s="87"/>
      <c r="H302" s="87"/>
      <c r="I302" s="87"/>
      <c r="J302" s="602" t="s">
        <v>288</v>
      </c>
      <c r="K302" s="92" t="s">
        <v>243</v>
      </c>
      <c r="L302" s="87" t="s">
        <v>243</v>
      </c>
      <c r="M302" s="356" t="s">
        <v>243</v>
      </c>
      <c r="N302" s="4"/>
      <c r="O302" s="107"/>
      <c r="P302" s="4"/>
      <c r="Q302" s="4"/>
      <c r="R302" s="4"/>
      <c r="S302" s="4"/>
      <c r="T302" s="4"/>
      <c r="U302" s="4"/>
      <c r="V302" s="4"/>
      <c r="W302" s="4"/>
      <c r="X302" s="4"/>
      <c r="Y302" s="4"/>
      <c r="Z302" s="4"/>
    </row>
    <row r="303" spans="1:26" ht="15.75" customHeight="1" x14ac:dyDescent="0.25">
      <c r="A303" s="143"/>
      <c r="B303" s="357"/>
      <c r="C303" s="358"/>
      <c r="D303" s="358"/>
      <c r="E303" s="358"/>
      <c r="F303" s="358"/>
      <c r="G303" s="358"/>
      <c r="H303" s="358"/>
      <c r="I303" s="358"/>
      <c r="J303" s="603"/>
      <c r="K303" s="604"/>
      <c r="L303" s="358"/>
      <c r="M303" s="545"/>
      <c r="N303" s="4"/>
      <c r="O303" s="107"/>
      <c r="P303" s="4"/>
      <c r="Q303" s="4"/>
      <c r="R303" s="4"/>
      <c r="S303" s="4"/>
      <c r="T303" s="4"/>
      <c r="U303" s="4"/>
      <c r="V303" s="4"/>
      <c r="W303" s="4"/>
      <c r="X303" s="4"/>
      <c r="Y303" s="4"/>
      <c r="Z303" s="4"/>
    </row>
    <row r="304" spans="1:26" ht="15.75" customHeight="1" x14ac:dyDescent="0.25">
      <c r="A304" s="143"/>
      <c r="B304" s="570" t="s">
        <v>289</v>
      </c>
      <c r="C304" s="122" t="s">
        <v>290</v>
      </c>
      <c r="D304" s="449"/>
      <c r="E304" s="449"/>
      <c r="F304" s="449"/>
      <c r="G304" s="449"/>
      <c r="H304" s="449"/>
      <c r="I304" s="449"/>
      <c r="J304" s="605"/>
      <c r="K304" s="606"/>
      <c r="L304" s="449"/>
      <c r="M304" s="607"/>
      <c r="N304" s="4"/>
      <c r="O304" s="107"/>
      <c r="P304" s="4"/>
      <c r="Q304" s="4"/>
      <c r="R304" s="4"/>
      <c r="S304" s="4"/>
      <c r="T304" s="4"/>
      <c r="U304" s="4"/>
      <c r="V304" s="4"/>
      <c r="W304" s="4"/>
      <c r="X304" s="4"/>
      <c r="Y304" s="4"/>
      <c r="Z304" s="4"/>
    </row>
    <row r="305" spans="1:26" ht="15.75" customHeight="1" x14ac:dyDescent="0.25">
      <c r="A305" s="143"/>
      <c r="B305" s="554"/>
      <c r="C305" s="86" t="s">
        <v>561</v>
      </c>
      <c r="D305" s="86" t="s">
        <v>562</v>
      </c>
      <c r="E305" s="86" t="s">
        <v>221</v>
      </c>
      <c r="F305" s="206">
        <v>2767100</v>
      </c>
      <c r="G305" s="86" t="s">
        <v>563</v>
      </c>
      <c r="H305" s="456">
        <v>1020</v>
      </c>
      <c r="I305" s="86" t="s">
        <v>564</v>
      </c>
      <c r="J305" s="608">
        <v>2822.442</v>
      </c>
      <c r="K305" s="496">
        <v>166.25</v>
      </c>
      <c r="L305" s="609">
        <v>0</v>
      </c>
      <c r="M305" s="491">
        <v>0</v>
      </c>
      <c r="N305" s="4"/>
      <c r="O305" s="107" t="s">
        <v>356</v>
      </c>
      <c r="P305" s="4"/>
      <c r="Q305" s="4"/>
      <c r="R305" s="4"/>
      <c r="S305" s="4"/>
      <c r="T305" s="4"/>
      <c r="U305" s="4"/>
      <c r="V305" s="4"/>
      <c r="W305" s="4"/>
      <c r="X305" s="4"/>
      <c r="Y305" s="4"/>
      <c r="Z305" s="4"/>
    </row>
    <row r="306" spans="1:26" ht="15.75" customHeight="1" x14ac:dyDescent="0.25">
      <c r="A306" s="143"/>
      <c r="B306" s="357"/>
      <c r="C306" s="358"/>
      <c r="D306" s="358"/>
      <c r="E306" s="358"/>
      <c r="F306" s="221"/>
      <c r="G306" s="358"/>
      <c r="H306" s="566"/>
      <c r="I306" s="358"/>
      <c r="J306" s="610"/>
      <c r="K306" s="568"/>
      <c r="L306" s="222"/>
      <c r="M306" s="611"/>
      <c r="N306" s="4"/>
      <c r="O306" s="107"/>
      <c r="P306" s="4"/>
      <c r="Q306" s="4"/>
      <c r="R306" s="4"/>
      <c r="S306" s="4"/>
      <c r="T306" s="4"/>
      <c r="U306" s="4"/>
      <c r="V306" s="4"/>
      <c r="W306" s="4"/>
      <c r="X306" s="4"/>
      <c r="Y306" s="4"/>
      <c r="Z306" s="4"/>
    </row>
    <row r="307" spans="1:26" ht="15.75" customHeight="1" x14ac:dyDescent="0.25">
      <c r="A307" s="143"/>
      <c r="B307" s="570" t="s">
        <v>303</v>
      </c>
      <c r="C307" s="122" t="s">
        <v>304</v>
      </c>
      <c r="D307" s="449"/>
      <c r="E307" s="449"/>
      <c r="F307" s="451"/>
      <c r="G307" s="449"/>
      <c r="H307" s="571"/>
      <c r="I307" s="449"/>
      <c r="J307" s="612"/>
      <c r="K307" s="573"/>
      <c r="L307" s="574"/>
      <c r="M307" s="613"/>
      <c r="N307" s="4"/>
      <c r="O307" s="107"/>
      <c r="P307" s="4"/>
      <c r="Q307" s="4"/>
      <c r="R307" s="4"/>
      <c r="S307" s="4"/>
      <c r="T307" s="4"/>
      <c r="U307" s="4"/>
      <c r="V307" s="4"/>
      <c r="W307" s="4"/>
      <c r="X307" s="4"/>
      <c r="Y307" s="4"/>
      <c r="Z307" s="4"/>
    </row>
    <row r="308" spans="1:26" ht="15.75" customHeight="1" x14ac:dyDescent="0.25">
      <c r="A308" s="143"/>
      <c r="B308" s="554"/>
      <c r="C308" s="86" t="s">
        <v>305</v>
      </c>
      <c r="D308" s="86" t="s">
        <v>306</v>
      </c>
      <c r="E308" s="86" t="s">
        <v>565</v>
      </c>
      <c r="F308" s="206">
        <v>75000000</v>
      </c>
      <c r="G308" s="86" t="s">
        <v>563</v>
      </c>
      <c r="H308" s="456">
        <v>1020</v>
      </c>
      <c r="I308" s="86" t="s">
        <v>566</v>
      </c>
      <c r="J308" s="608">
        <v>76500</v>
      </c>
      <c r="K308" s="496">
        <v>8023.2708769110341</v>
      </c>
      <c r="L308" s="217">
        <v>2.1450042791546466E-2</v>
      </c>
      <c r="M308" s="484">
        <v>0.18322488165166143</v>
      </c>
      <c r="N308" s="4"/>
      <c r="O308" s="107" t="s">
        <v>356</v>
      </c>
      <c r="P308" s="4"/>
      <c r="Q308" s="4"/>
      <c r="R308" s="4"/>
      <c r="S308" s="4"/>
      <c r="T308" s="4"/>
      <c r="U308" s="4"/>
      <c r="V308" s="4"/>
      <c r="W308" s="4"/>
      <c r="X308" s="4"/>
      <c r="Y308" s="4"/>
      <c r="Z308" s="4"/>
    </row>
    <row r="309" spans="1:26" ht="15.75" customHeight="1" x14ac:dyDescent="0.25">
      <c r="A309" s="143"/>
      <c r="B309" s="554"/>
      <c r="C309" s="86"/>
      <c r="D309" s="86"/>
      <c r="E309" s="86"/>
      <c r="F309" s="206"/>
      <c r="G309" s="86"/>
      <c r="H309" s="456"/>
      <c r="I309" s="86"/>
      <c r="J309" s="608"/>
      <c r="K309" s="496"/>
      <c r="L309" s="217"/>
      <c r="M309" s="484"/>
      <c r="N309" s="4"/>
      <c r="O309" s="107"/>
      <c r="P309" s="4"/>
      <c r="Q309" s="4"/>
      <c r="R309" s="4"/>
      <c r="S309" s="4"/>
      <c r="T309" s="4"/>
      <c r="U309" s="4"/>
      <c r="V309" s="4"/>
      <c r="W309" s="4"/>
      <c r="X309" s="4"/>
      <c r="Y309" s="4"/>
      <c r="Z309" s="4"/>
    </row>
    <row r="310" spans="1:26" ht="15.75" customHeight="1" x14ac:dyDescent="0.25">
      <c r="A310" s="143"/>
      <c r="B310" s="554"/>
      <c r="C310" s="86" t="s">
        <v>307</v>
      </c>
      <c r="D310" s="86" t="s">
        <v>308</v>
      </c>
      <c r="E310" s="86" t="s">
        <v>565</v>
      </c>
      <c r="F310" s="206">
        <v>60000000</v>
      </c>
      <c r="G310" s="86" t="s">
        <v>563</v>
      </c>
      <c r="H310" s="456">
        <v>1020</v>
      </c>
      <c r="I310" s="86" t="s">
        <v>566</v>
      </c>
      <c r="J310" s="608">
        <v>61200</v>
      </c>
      <c r="K310" s="496">
        <v>6418.6666143325938</v>
      </c>
      <c r="L310" s="217">
        <v>1.501333727527079E-2</v>
      </c>
      <c r="M310" s="484">
        <v>0.12979272225072813</v>
      </c>
      <c r="N310" s="4"/>
      <c r="O310" s="107" t="s">
        <v>356</v>
      </c>
      <c r="P310" s="4"/>
      <c r="Q310" s="4"/>
      <c r="R310" s="4"/>
      <c r="S310" s="4"/>
      <c r="T310" s="4"/>
      <c r="U310" s="4"/>
      <c r="V310" s="4"/>
      <c r="W310" s="4"/>
      <c r="X310" s="4"/>
      <c r="Y310" s="4"/>
      <c r="Z310" s="4"/>
    </row>
    <row r="311" spans="1:26" ht="15.75" customHeight="1" x14ac:dyDescent="0.25">
      <c r="A311" s="143"/>
      <c r="B311" s="357"/>
      <c r="C311" s="358"/>
      <c r="D311" s="358"/>
      <c r="E311" s="358"/>
      <c r="F311" s="221"/>
      <c r="G311" s="358"/>
      <c r="H311" s="566"/>
      <c r="I311" s="358"/>
      <c r="J311" s="610"/>
      <c r="K311" s="568"/>
      <c r="L311" s="222"/>
      <c r="M311" s="611"/>
      <c r="N311" s="4"/>
      <c r="O311" s="107"/>
      <c r="P311" s="4"/>
      <c r="Q311" s="4"/>
      <c r="R311" s="4"/>
      <c r="S311" s="4"/>
      <c r="T311" s="4"/>
      <c r="U311" s="4"/>
      <c r="V311" s="4"/>
      <c r="W311" s="4"/>
      <c r="X311" s="4"/>
      <c r="Y311" s="4"/>
      <c r="Z311" s="4"/>
    </row>
    <row r="312" spans="1:26" ht="15.75" customHeight="1" x14ac:dyDescent="0.25">
      <c r="A312" s="143"/>
      <c r="B312" s="570" t="s">
        <v>309</v>
      </c>
      <c r="C312" s="122" t="s">
        <v>310</v>
      </c>
      <c r="D312" s="449"/>
      <c r="E312" s="449"/>
      <c r="F312" s="451"/>
      <c r="G312" s="449"/>
      <c r="H312" s="571"/>
      <c r="I312" s="449"/>
      <c r="J312" s="612"/>
      <c r="K312" s="573"/>
      <c r="L312" s="574"/>
      <c r="M312" s="613"/>
      <c r="N312" s="4"/>
      <c r="O312" s="107"/>
      <c r="P312" s="4"/>
      <c r="Q312" s="4"/>
      <c r="R312" s="4"/>
      <c r="S312" s="4"/>
      <c r="T312" s="4"/>
      <c r="U312" s="4"/>
      <c r="V312" s="4"/>
      <c r="W312" s="4"/>
      <c r="X312" s="4"/>
      <c r="Y312" s="4"/>
      <c r="Z312" s="4"/>
    </row>
    <row r="313" spans="1:26" ht="15.75" customHeight="1" x14ac:dyDescent="0.25">
      <c r="A313" s="143"/>
      <c r="B313" s="554"/>
      <c r="C313" s="86"/>
      <c r="D313" s="86"/>
      <c r="E313" s="86"/>
      <c r="F313" s="206"/>
      <c r="G313" s="86"/>
      <c r="H313" s="456"/>
      <c r="I313" s="86"/>
      <c r="J313" s="608"/>
      <c r="K313" s="496"/>
      <c r="L313" s="217"/>
      <c r="M313" s="484"/>
      <c r="N313" s="4"/>
      <c r="O313" s="107"/>
      <c r="P313" s="4"/>
      <c r="Q313" s="4"/>
      <c r="R313" s="4"/>
      <c r="S313" s="4"/>
      <c r="T313" s="4"/>
      <c r="U313" s="4"/>
      <c r="V313" s="4"/>
      <c r="W313" s="4"/>
      <c r="X313" s="4"/>
      <c r="Y313" s="4"/>
      <c r="Z313" s="4"/>
    </row>
    <row r="314" spans="1:26" ht="15.75" customHeight="1" x14ac:dyDescent="0.25">
      <c r="A314" s="143"/>
      <c r="B314" s="554"/>
      <c r="C314" s="86" t="s">
        <v>311</v>
      </c>
      <c r="D314" s="86" t="s">
        <v>298</v>
      </c>
      <c r="E314" s="86" t="s">
        <v>237</v>
      </c>
      <c r="F314" s="206">
        <v>30893</v>
      </c>
      <c r="G314" s="86" t="s">
        <v>563</v>
      </c>
      <c r="H314" s="456">
        <v>1034</v>
      </c>
      <c r="I314" s="86" t="s">
        <v>566</v>
      </c>
      <c r="J314" s="608">
        <v>31943.362000000001</v>
      </c>
      <c r="K314" s="496">
        <v>3445.9797944687357</v>
      </c>
      <c r="L314" s="217">
        <v>2.5185085674848895E-2</v>
      </c>
      <c r="M314" s="484">
        <v>2.0156555510620431E-2</v>
      </c>
      <c r="N314" s="4"/>
      <c r="O314" s="107" t="s">
        <v>356</v>
      </c>
      <c r="P314" s="4"/>
      <c r="Q314" s="4"/>
      <c r="R314" s="4"/>
      <c r="S314" s="4"/>
      <c r="T314" s="4"/>
      <c r="U314" s="4"/>
      <c r="V314" s="4"/>
      <c r="W314" s="4"/>
      <c r="X314" s="4"/>
      <c r="Y314" s="4"/>
      <c r="Z314" s="4"/>
    </row>
    <row r="315" spans="1:26" ht="15.75" customHeight="1" x14ac:dyDescent="0.25">
      <c r="A315" s="143"/>
      <c r="B315" s="554"/>
      <c r="C315" s="86"/>
      <c r="D315" s="86"/>
      <c r="E315" s="86"/>
      <c r="F315" s="206"/>
      <c r="G315" s="86"/>
      <c r="H315" s="456"/>
      <c r="I315" s="86"/>
      <c r="J315" s="608"/>
      <c r="K315" s="496"/>
      <c r="L315" s="217"/>
      <c r="M315" s="484"/>
      <c r="N315" s="4"/>
      <c r="O315" s="107"/>
      <c r="P315" s="4"/>
      <c r="Q315" s="4"/>
      <c r="R315" s="4"/>
      <c r="S315" s="4"/>
      <c r="T315" s="4"/>
      <c r="U315" s="4"/>
      <c r="V315" s="4"/>
      <c r="W315" s="4"/>
      <c r="X315" s="4"/>
      <c r="Y315" s="4"/>
      <c r="Z315" s="4"/>
    </row>
    <row r="316" spans="1:26" ht="15.75" customHeight="1" x14ac:dyDescent="0.25">
      <c r="A316" s="143"/>
      <c r="B316" s="554"/>
      <c r="C316" s="86" t="s">
        <v>313</v>
      </c>
      <c r="D316" s="86" t="s">
        <v>302</v>
      </c>
      <c r="E316" s="86" t="s">
        <v>237</v>
      </c>
      <c r="F316" s="206">
        <v>163134</v>
      </c>
      <c r="G316" s="86" t="s">
        <v>563</v>
      </c>
      <c r="H316" s="456">
        <v>1037</v>
      </c>
      <c r="I316" s="86" t="s">
        <v>566</v>
      </c>
      <c r="J316" s="608">
        <v>169169.95800000001</v>
      </c>
      <c r="K316" s="496">
        <v>18156.895576666189</v>
      </c>
      <c r="L316" s="217">
        <v>0.13271072810314702</v>
      </c>
      <c r="M316" s="484">
        <v>0.10616858248251762</v>
      </c>
      <c r="N316" s="4"/>
      <c r="O316" s="107" t="s">
        <v>356</v>
      </c>
      <c r="P316" s="4"/>
      <c r="Q316" s="4"/>
      <c r="R316" s="4"/>
      <c r="S316" s="4"/>
      <c r="T316" s="4"/>
      <c r="U316" s="4"/>
      <c r="V316" s="4"/>
      <c r="W316" s="4"/>
      <c r="X316" s="4"/>
      <c r="Y316" s="4"/>
      <c r="Z316" s="4"/>
    </row>
    <row r="317" spans="1:26" ht="15.75" customHeight="1" x14ac:dyDescent="0.25">
      <c r="A317" s="143"/>
      <c r="B317" s="554"/>
      <c r="C317" s="86"/>
      <c r="D317" s="86"/>
      <c r="E317" s="86"/>
      <c r="F317" s="206"/>
      <c r="G317" s="86"/>
      <c r="H317" s="456"/>
      <c r="I317" s="86"/>
      <c r="J317" s="608"/>
      <c r="K317" s="496"/>
      <c r="L317" s="217"/>
      <c r="M317" s="484"/>
      <c r="N317" s="4"/>
      <c r="O317" s="107"/>
      <c r="P317" s="4"/>
      <c r="Q317" s="4"/>
      <c r="R317" s="4"/>
      <c r="S317" s="4"/>
      <c r="T317" s="4"/>
      <c r="U317" s="4"/>
      <c r="V317" s="4"/>
      <c r="W317" s="4"/>
      <c r="X317" s="4"/>
      <c r="Y317" s="4"/>
      <c r="Z317" s="4"/>
    </row>
    <row r="318" spans="1:26" ht="15.75" customHeight="1" x14ac:dyDescent="0.25">
      <c r="A318" s="143"/>
      <c r="B318" s="554"/>
      <c r="C318" s="86" t="s">
        <v>541</v>
      </c>
      <c r="D318" s="86" t="s">
        <v>319</v>
      </c>
      <c r="E318" s="86" t="s">
        <v>237</v>
      </c>
      <c r="F318" s="206">
        <v>3911764</v>
      </c>
      <c r="G318" s="86" t="s">
        <v>563</v>
      </c>
      <c r="H318" s="456">
        <v>1031</v>
      </c>
      <c r="I318" s="86" t="s">
        <v>566</v>
      </c>
      <c r="J318" s="608">
        <v>4033028.6839999999</v>
      </c>
      <c r="K318" s="496">
        <v>251050.49058174895</v>
      </c>
      <c r="L318" s="217">
        <v>4.8079099523875701</v>
      </c>
      <c r="M318" s="484">
        <v>1.6124088254958313</v>
      </c>
      <c r="N318" s="4"/>
      <c r="O318" s="107" t="s">
        <v>356</v>
      </c>
      <c r="P318" s="4"/>
      <c r="Q318" s="4"/>
      <c r="R318" s="4"/>
      <c r="S318" s="4"/>
      <c r="T318" s="4"/>
      <c r="U318" s="4"/>
      <c r="V318" s="4"/>
      <c r="W318" s="4"/>
      <c r="X318" s="4"/>
      <c r="Y318" s="4"/>
      <c r="Z318" s="4"/>
    </row>
    <row r="319" spans="1:26" ht="15.75" customHeight="1" x14ac:dyDescent="0.25">
      <c r="A319" s="143"/>
      <c r="B319" s="554"/>
      <c r="C319" s="86"/>
      <c r="D319" s="86"/>
      <c r="E319" s="86"/>
      <c r="F319" s="206"/>
      <c r="G319" s="86"/>
      <c r="H319" s="456"/>
      <c r="I319" s="86"/>
      <c r="J319" s="608"/>
      <c r="K319" s="496"/>
      <c r="L319" s="217"/>
      <c r="M319" s="484"/>
      <c r="N319" s="4"/>
      <c r="O319" s="107"/>
      <c r="P319" s="4"/>
      <c r="Q319" s="4"/>
      <c r="R319" s="4"/>
      <c r="S319" s="4"/>
      <c r="T319" s="4"/>
      <c r="U319" s="4"/>
      <c r="V319" s="4"/>
      <c r="W319" s="4"/>
      <c r="X319" s="4"/>
      <c r="Y319" s="4"/>
      <c r="Z319" s="4"/>
    </row>
    <row r="320" spans="1:26" ht="15.75" customHeight="1" x14ac:dyDescent="0.25">
      <c r="A320" s="143"/>
      <c r="B320" s="554"/>
      <c r="C320" s="86" t="s">
        <v>543</v>
      </c>
      <c r="D320" s="86" t="s">
        <v>544</v>
      </c>
      <c r="E320" s="86" t="s">
        <v>237</v>
      </c>
      <c r="F320" s="206">
        <v>3907269</v>
      </c>
      <c r="G320" s="86" t="s">
        <v>563</v>
      </c>
      <c r="H320" s="456">
        <v>1031</v>
      </c>
      <c r="I320" s="86" t="s">
        <v>566</v>
      </c>
      <c r="J320" s="608">
        <v>4028394.3390000002</v>
      </c>
      <c r="K320" s="496">
        <v>284779.58035673073</v>
      </c>
      <c r="L320" s="217">
        <v>5.4640772817897361</v>
      </c>
      <c r="M320" s="484">
        <v>1.7919823343503973</v>
      </c>
      <c r="N320" s="4"/>
      <c r="O320" s="107" t="s">
        <v>356</v>
      </c>
      <c r="P320" s="4"/>
      <c r="Q320" s="4"/>
      <c r="R320" s="4"/>
      <c r="S320" s="4"/>
      <c r="T320" s="4"/>
      <c r="U320" s="4"/>
      <c r="V320" s="4"/>
      <c r="W320" s="4"/>
      <c r="X320" s="4"/>
      <c r="Y320" s="4"/>
      <c r="Z320" s="4"/>
    </row>
    <row r="321" spans="1:26" ht="15.75" customHeight="1" x14ac:dyDescent="0.25">
      <c r="A321" s="143"/>
      <c r="B321" s="554"/>
      <c r="C321" s="86"/>
      <c r="D321" s="86"/>
      <c r="E321" s="86"/>
      <c r="F321" s="206"/>
      <c r="G321" s="86"/>
      <c r="H321" s="456"/>
      <c r="I321" s="86"/>
      <c r="J321" s="608"/>
      <c r="K321" s="496"/>
      <c r="L321" s="217"/>
      <c r="M321" s="484"/>
      <c r="N321" s="4"/>
      <c r="O321" s="107"/>
      <c r="P321" s="4"/>
      <c r="Q321" s="4"/>
      <c r="R321" s="4"/>
      <c r="S321" s="4"/>
      <c r="T321" s="4"/>
      <c r="U321" s="4"/>
      <c r="V321" s="4"/>
      <c r="W321" s="4"/>
      <c r="X321" s="4"/>
      <c r="Y321" s="4"/>
      <c r="Z321" s="4"/>
    </row>
    <row r="322" spans="1:26" ht="15.75" customHeight="1" x14ac:dyDescent="0.25">
      <c r="A322" s="143"/>
      <c r="B322" s="554"/>
      <c r="C322" s="86" t="s">
        <v>372</v>
      </c>
      <c r="D322" s="86" t="s">
        <v>373</v>
      </c>
      <c r="E322" s="86" t="s">
        <v>237</v>
      </c>
      <c r="F322" s="206">
        <v>148038</v>
      </c>
      <c r="G322" s="86" t="s">
        <v>563</v>
      </c>
      <c r="H322" s="456">
        <v>1032</v>
      </c>
      <c r="I322" s="86" t="s">
        <v>566</v>
      </c>
      <c r="J322" s="608">
        <v>152775.21599999999</v>
      </c>
      <c r="K322" s="496">
        <v>9959.6823666729506</v>
      </c>
      <c r="L322" s="217">
        <v>5.9419084235655353E-2</v>
      </c>
      <c r="M322" s="484">
        <v>0.24088817933373788</v>
      </c>
      <c r="N322" s="4"/>
      <c r="O322" s="107" t="s">
        <v>356</v>
      </c>
      <c r="P322" s="4"/>
      <c r="Q322" s="4"/>
      <c r="R322" s="4"/>
      <c r="S322" s="4"/>
      <c r="T322" s="4"/>
      <c r="U322" s="4"/>
      <c r="V322" s="4"/>
      <c r="W322" s="4"/>
      <c r="X322" s="4"/>
      <c r="Y322" s="4"/>
      <c r="Z322" s="4"/>
    </row>
    <row r="323" spans="1:26" ht="15.75" customHeight="1" x14ac:dyDescent="0.25">
      <c r="A323" s="143"/>
      <c r="B323" s="554"/>
      <c r="C323" s="86"/>
      <c r="D323" s="86"/>
      <c r="E323" s="86"/>
      <c r="F323" s="206"/>
      <c r="G323" s="86"/>
      <c r="H323" s="456"/>
      <c r="I323" s="86"/>
      <c r="J323" s="608"/>
      <c r="K323" s="496"/>
      <c r="L323" s="217">
        <v>7.3999999999999996E-2</v>
      </c>
      <c r="M323" s="484">
        <v>0.3</v>
      </c>
      <c r="N323" s="4"/>
      <c r="O323" s="107" t="s">
        <v>356</v>
      </c>
      <c r="P323" s="4"/>
      <c r="Q323" s="4"/>
      <c r="R323" s="4"/>
      <c r="S323" s="4"/>
      <c r="T323" s="4"/>
      <c r="U323" s="4"/>
      <c r="V323" s="4"/>
      <c r="W323" s="4"/>
      <c r="X323" s="4"/>
      <c r="Y323" s="4"/>
      <c r="Z323" s="4"/>
    </row>
    <row r="324" spans="1:26" ht="15.75" customHeight="1" x14ac:dyDescent="0.25">
      <c r="A324" s="143"/>
      <c r="B324" s="554"/>
      <c r="C324" s="86" t="s">
        <v>374</v>
      </c>
      <c r="D324" s="86" t="s">
        <v>375</v>
      </c>
      <c r="E324" s="86" t="s">
        <v>237</v>
      </c>
      <c r="F324" s="206">
        <v>95208</v>
      </c>
      <c r="G324" s="86" t="s">
        <v>563</v>
      </c>
      <c r="H324" s="456">
        <v>1032</v>
      </c>
      <c r="I324" s="86" t="s">
        <v>566</v>
      </c>
      <c r="J324" s="608">
        <v>98254.656000000003</v>
      </c>
      <c r="K324" s="496">
        <v>6010.3847131191642</v>
      </c>
      <c r="L324" s="217">
        <v>4.0217304222705294E-2</v>
      </c>
      <c r="M324" s="484">
        <v>0.10968355697101446</v>
      </c>
      <c r="N324" s="4"/>
      <c r="O324" s="107" t="s">
        <v>356</v>
      </c>
      <c r="P324" s="4"/>
      <c r="Q324" s="4"/>
      <c r="R324" s="4"/>
      <c r="S324" s="4"/>
      <c r="T324" s="4"/>
      <c r="U324" s="4"/>
      <c r="V324" s="4"/>
      <c r="W324" s="4"/>
      <c r="X324" s="4"/>
      <c r="Y324" s="4"/>
      <c r="Z324" s="4"/>
    </row>
    <row r="325" spans="1:26" ht="15.75" customHeight="1" x14ac:dyDescent="0.25">
      <c r="A325" s="143"/>
      <c r="B325" s="554"/>
      <c r="C325" s="86"/>
      <c r="D325" s="86"/>
      <c r="E325" s="86"/>
      <c r="F325" s="206"/>
      <c r="G325" s="86"/>
      <c r="H325" s="456"/>
      <c r="I325" s="86"/>
      <c r="J325" s="608"/>
      <c r="K325" s="496"/>
      <c r="L325" s="217">
        <v>4.3999999999999997E-2</v>
      </c>
      <c r="M325" s="484">
        <v>0.12</v>
      </c>
      <c r="N325" s="4"/>
      <c r="O325" s="107" t="s">
        <v>356</v>
      </c>
      <c r="P325" s="4"/>
      <c r="Q325" s="4"/>
      <c r="R325" s="4"/>
      <c r="S325" s="4"/>
      <c r="T325" s="4"/>
      <c r="U325" s="4"/>
      <c r="V325" s="4"/>
      <c r="W325" s="4"/>
      <c r="X325" s="4"/>
      <c r="Y325" s="4"/>
      <c r="Z325" s="4"/>
    </row>
    <row r="326" spans="1:26" ht="15.75" customHeight="1" x14ac:dyDescent="0.25">
      <c r="A326" s="143"/>
      <c r="B326" s="554"/>
      <c r="C326" s="86" t="s">
        <v>376</v>
      </c>
      <c r="D326" s="86" t="s">
        <v>377</v>
      </c>
      <c r="E326" s="86" t="s">
        <v>237</v>
      </c>
      <c r="F326" s="206">
        <v>179012</v>
      </c>
      <c r="G326" s="86" t="s">
        <v>563</v>
      </c>
      <c r="H326" s="456">
        <v>1032</v>
      </c>
      <c r="I326" s="86" t="s">
        <v>566</v>
      </c>
      <c r="J326" s="608">
        <v>184740.38399999999</v>
      </c>
      <c r="K326" s="496">
        <v>10696.148404055595</v>
      </c>
      <c r="L326" s="217">
        <v>6.7618966284057197E-2</v>
      </c>
      <c r="M326" s="484">
        <v>0.18933310559536018</v>
      </c>
      <c r="N326" s="4"/>
      <c r="O326" s="107" t="s">
        <v>356</v>
      </c>
      <c r="P326" s="4"/>
      <c r="Q326" s="4"/>
      <c r="R326" s="4"/>
      <c r="S326" s="4"/>
      <c r="T326" s="4"/>
      <c r="U326" s="4"/>
      <c r="V326" s="4"/>
      <c r="W326" s="4"/>
      <c r="X326" s="4"/>
      <c r="Y326" s="4"/>
      <c r="Z326" s="4"/>
    </row>
    <row r="327" spans="1:26" ht="15.75" customHeight="1" x14ac:dyDescent="0.25">
      <c r="A327" s="143"/>
      <c r="B327" s="554"/>
      <c r="C327" s="86"/>
      <c r="D327" s="86"/>
      <c r="E327" s="86"/>
      <c r="F327" s="206"/>
      <c r="G327" s="86"/>
      <c r="H327" s="456"/>
      <c r="I327" s="86"/>
      <c r="J327" s="608"/>
      <c r="K327" s="496"/>
      <c r="L327" s="217">
        <v>7.4999999999999997E-2</v>
      </c>
      <c r="M327" s="484">
        <v>0.21</v>
      </c>
      <c r="N327" s="4"/>
      <c r="O327" s="107" t="s">
        <v>356</v>
      </c>
      <c r="P327" s="4"/>
      <c r="Q327" s="4"/>
      <c r="R327" s="4"/>
      <c r="S327" s="4"/>
      <c r="T327" s="4"/>
      <c r="U327" s="4"/>
      <c r="V327" s="4"/>
      <c r="W327" s="4"/>
      <c r="X327" s="4"/>
      <c r="Y327" s="4"/>
      <c r="Z327" s="4"/>
    </row>
    <row r="328" spans="1:26" ht="15.75" customHeight="1" x14ac:dyDescent="0.25">
      <c r="A328" s="143"/>
      <c r="B328" s="554"/>
      <c r="C328" s="86" t="s">
        <v>378</v>
      </c>
      <c r="D328" s="86" t="s">
        <v>379</v>
      </c>
      <c r="E328" s="86" t="s">
        <v>237</v>
      </c>
      <c r="F328" s="206">
        <v>193249</v>
      </c>
      <c r="G328" s="86" t="s">
        <v>563</v>
      </c>
      <c r="H328" s="456">
        <v>1031</v>
      </c>
      <c r="I328" s="86" t="s">
        <v>566</v>
      </c>
      <c r="J328" s="608">
        <v>199239.71900000001</v>
      </c>
      <c r="K328" s="496">
        <v>13397.858494014101</v>
      </c>
      <c r="L328" s="217">
        <v>8.4618788264208558E-2</v>
      </c>
      <c r="M328" s="484">
        <v>0.27043117898870772</v>
      </c>
      <c r="N328" s="4"/>
      <c r="O328" s="107" t="s">
        <v>356</v>
      </c>
      <c r="P328" s="4"/>
      <c r="Q328" s="4"/>
      <c r="R328" s="4"/>
      <c r="S328" s="4"/>
      <c r="T328" s="4"/>
      <c r="U328" s="4"/>
      <c r="V328" s="4"/>
      <c r="W328" s="4"/>
      <c r="X328" s="4"/>
      <c r="Y328" s="4"/>
      <c r="Z328" s="4"/>
    </row>
    <row r="329" spans="1:26" ht="15.75" customHeight="1" x14ac:dyDescent="0.25">
      <c r="A329" s="143"/>
      <c r="B329" s="357"/>
      <c r="C329" s="358"/>
      <c r="D329" s="358"/>
      <c r="E329" s="358"/>
      <c r="F329" s="221"/>
      <c r="G329" s="358"/>
      <c r="H329" s="566"/>
      <c r="I329" s="358"/>
      <c r="J329" s="610"/>
      <c r="K329" s="568"/>
      <c r="L329" s="222"/>
      <c r="M329" s="611"/>
      <c r="N329" s="4"/>
      <c r="O329" s="107"/>
      <c r="P329" s="4"/>
      <c r="Q329" s="4"/>
      <c r="R329" s="4"/>
      <c r="S329" s="4"/>
      <c r="T329" s="4"/>
      <c r="U329" s="4"/>
      <c r="V329" s="4"/>
      <c r="W329" s="4"/>
      <c r="X329" s="4"/>
      <c r="Y329" s="4"/>
      <c r="Z329" s="4"/>
    </row>
    <row r="330" spans="1:26" ht="15.75" customHeight="1" x14ac:dyDescent="0.25">
      <c r="A330" s="143"/>
      <c r="B330" s="570" t="s">
        <v>386</v>
      </c>
      <c r="C330" s="122" t="s">
        <v>387</v>
      </c>
      <c r="D330" s="449"/>
      <c r="E330" s="449"/>
      <c r="F330" s="451"/>
      <c r="G330" s="449"/>
      <c r="H330" s="571"/>
      <c r="I330" s="449"/>
      <c r="J330" s="612"/>
      <c r="K330" s="573"/>
      <c r="L330" s="574"/>
      <c r="M330" s="613"/>
      <c r="N330" s="4"/>
      <c r="O330" s="107"/>
      <c r="P330" s="4"/>
      <c r="Q330" s="4"/>
      <c r="R330" s="4"/>
      <c r="S330" s="4"/>
      <c r="T330" s="4"/>
      <c r="U330" s="4"/>
      <c r="V330" s="4"/>
      <c r="W330" s="4"/>
      <c r="X330" s="4"/>
      <c r="Y330" s="4"/>
      <c r="Z330" s="4"/>
    </row>
    <row r="331" spans="1:26" ht="15.75" customHeight="1" x14ac:dyDescent="0.25">
      <c r="A331" s="143"/>
      <c r="B331" s="353"/>
      <c r="C331" s="86" t="s">
        <v>388</v>
      </c>
      <c r="D331" s="86" t="s">
        <v>389</v>
      </c>
      <c r="E331" s="86" t="s">
        <v>237</v>
      </c>
      <c r="F331" s="206">
        <v>90508</v>
      </c>
      <c r="G331" s="86" t="s">
        <v>563</v>
      </c>
      <c r="H331" s="456">
        <v>1032</v>
      </c>
      <c r="I331" s="86" t="s">
        <v>564</v>
      </c>
      <c r="J331" s="608">
        <v>93404.255999999994</v>
      </c>
      <c r="K331" s="496">
        <v>5476.2034079014793</v>
      </c>
      <c r="L331" s="217">
        <v>9.0109554954250229E-2</v>
      </c>
      <c r="M331" s="484">
        <v>0.18021910990850046</v>
      </c>
      <c r="N331" s="4"/>
      <c r="O331" s="107" t="s">
        <v>356</v>
      </c>
      <c r="P331" s="4"/>
      <c r="Q331" s="4"/>
      <c r="R331" s="4"/>
      <c r="S331" s="4"/>
      <c r="T331" s="4"/>
      <c r="U331" s="4"/>
      <c r="V331" s="4"/>
      <c r="W331" s="4"/>
      <c r="X331" s="4"/>
      <c r="Y331" s="4"/>
      <c r="Z331" s="4"/>
    </row>
    <row r="332" spans="1:26" ht="15.75" customHeight="1" x14ac:dyDescent="0.25">
      <c r="A332" s="143"/>
      <c r="B332" s="357"/>
      <c r="C332" s="358"/>
      <c r="D332" s="358"/>
      <c r="E332" s="358"/>
      <c r="F332" s="221"/>
      <c r="G332" s="358"/>
      <c r="H332" s="566"/>
      <c r="I332" s="358"/>
      <c r="J332" s="610"/>
      <c r="K332" s="568"/>
      <c r="L332" s="222"/>
      <c r="M332" s="611"/>
      <c r="N332" s="4"/>
      <c r="O332" s="107"/>
      <c r="P332" s="4"/>
      <c r="Q332" s="4"/>
      <c r="R332" s="4"/>
      <c r="S332" s="4"/>
      <c r="T332" s="4"/>
      <c r="U332" s="4"/>
      <c r="V332" s="4"/>
      <c r="W332" s="4"/>
      <c r="X332" s="4"/>
      <c r="Y332" s="4"/>
      <c r="Z332" s="4"/>
    </row>
    <row r="333" spans="1:26" ht="15.75" customHeight="1" x14ac:dyDescent="0.25">
      <c r="A333" s="143"/>
      <c r="B333" s="570" t="s">
        <v>314</v>
      </c>
      <c r="C333" s="122" t="s">
        <v>315</v>
      </c>
      <c r="D333" s="449"/>
      <c r="E333" s="449"/>
      <c r="F333" s="451"/>
      <c r="G333" s="449"/>
      <c r="H333" s="571"/>
      <c r="I333" s="449"/>
      <c r="J333" s="612"/>
      <c r="K333" s="573"/>
      <c r="L333" s="574"/>
      <c r="M333" s="613"/>
      <c r="N333" s="4"/>
      <c r="O333" s="107"/>
      <c r="P333" s="4"/>
      <c r="Q333" s="4"/>
      <c r="R333" s="4"/>
      <c r="S333" s="4"/>
      <c r="T333" s="4"/>
      <c r="U333" s="4"/>
      <c r="V333" s="4"/>
      <c r="W333" s="4"/>
      <c r="X333" s="4"/>
      <c r="Y333" s="4"/>
      <c r="Z333" s="4"/>
    </row>
    <row r="334" spans="1:26" ht="15.75" customHeight="1" x14ac:dyDescent="0.25">
      <c r="A334" s="143"/>
      <c r="B334" s="554"/>
      <c r="C334" s="86" t="s">
        <v>567</v>
      </c>
      <c r="D334" s="86" t="s">
        <v>298</v>
      </c>
      <c r="E334" s="86" t="s">
        <v>237</v>
      </c>
      <c r="F334" s="206">
        <v>443000000</v>
      </c>
      <c r="G334" s="86" t="s">
        <v>563</v>
      </c>
      <c r="H334" s="456">
        <v>1027</v>
      </c>
      <c r="I334" s="86" t="s">
        <v>568</v>
      </c>
      <c r="J334" s="608">
        <v>503736</v>
      </c>
      <c r="K334" s="496">
        <v>29944</v>
      </c>
      <c r="L334" s="217">
        <v>0.5</v>
      </c>
      <c r="M334" s="484">
        <v>0.49</v>
      </c>
      <c r="N334" s="4"/>
      <c r="O334" s="107" t="s">
        <v>270</v>
      </c>
      <c r="P334" s="4"/>
      <c r="Q334" s="4"/>
      <c r="R334" s="4"/>
      <c r="S334" s="4"/>
      <c r="T334" s="4"/>
      <c r="U334" s="4"/>
      <c r="V334" s="4"/>
      <c r="W334" s="4"/>
      <c r="X334" s="4"/>
      <c r="Y334" s="4"/>
      <c r="Z334" s="4"/>
    </row>
    <row r="335" spans="1:26" ht="15.75" customHeight="1" x14ac:dyDescent="0.25">
      <c r="A335" s="143"/>
      <c r="B335" s="554"/>
      <c r="C335" s="86"/>
      <c r="D335" s="86"/>
      <c r="E335" s="86"/>
      <c r="F335" s="206"/>
      <c r="G335" s="86"/>
      <c r="H335" s="456"/>
      <c r="I335" s="86"/>
      <c r="J335" s="608"/>
      <c r="K335" s="483"/>
      <c r="L335" s="86"/>
      <c r="M335" s="361"/>
      <c r="N335" s="4"/>
      <c r="O335" s="107"/>
      <c r="P335" s="4"/>
      <c r="Q335" s="4"/>
      <c r="R335" s="4"/>
      <c r="S335" s="4"/>
      <c r="T335" s="4"/>
      <c r="U335" s="4"/>
      <c r="V335" s="4"/>
      <c r="W335" s="4"/>
      <c r="X335" s="4"/>
      <c r="Y335" s="4"/>
      <c r="Z335" s="4"/>
    </row>
    <row r="336" spans="1:26" ht="15.75" customHeight="1" x14ac:dyDescent="0.25">
      <c r="A336" s="143"/>
      <c r="B336" s="554"/>
      <c r="C336" s="86" t="s">
        <v>316</v>
      </c>
      <c r="D336" s="86" t="s">
        <v>302</v>
      </c>
      <c r="E336" s="86" t="s">
        <v>565</v>
      </c>
      <c r="F336" s="206">
        <v>43000000</v>
      </c>
      <c r="G336" s="86" t="s">
        <v>563</v>
      </c>
      <c r="H336" s="456">
        <v>1027</v>
      </c>
      <c r="I336" s="86" t="s">
        <v>568</v>
      </c>
      <c r="J336" s="608">
        <v>44161</v>
      </c>
      <c r="K336" s="496">
        <v>4841.7340263570513</v>
      </c>
      <c r="L336" s="217">
        <v>3.6544284840361319E-2</v>
      </c>
      <c r="M336" s="484">
        <v>2.7773656478674608E-2</v>
      </c>
      <c r="N336" s="4"/>
      <c r="O336" s="107" t="s">
        <v>356</v>
      </c>
      <c r="P336" s="4"/>
      <c r="Q336" s="4"/>
      <c r="R336" s="4"/>
      <c r="S336" s="4"/>
      <c r="T336" s="4"/>
      <c r="U336" s="4"/>
      <c r="V336" s="4"/>
      <c r="W336" s="4"/>
      <c r="X336" s="4"/>
      <c r="Y336" s="4"/>
      <c r="Z336" s="4"/>
    </row>
    <row r="337" spans="1:26" ht="15.75" customHeight="1" x14ac:dyDescent="0.25">
      <c r="A337" s="143"/>
      <c r="B337" s="554"/>
      <c r="C337" s="86"/>
      <c r="D337" s="86"/>
      <c r="E337" s="86"/>
      <c r="F337" s="206"/>
      <c r="G337" s="86"/>
      <c r="H337" s="456"/>
      <c r="I337" s="86"/>
      <c r="J337" s="614"/>
      <c r="K337" s="496"/>
      <c r="L337" s="217"/>
      <c r="M337" s="484"/>
      <c r="N337" s="4"/>
      <c r="O337" s="107"/>
      <c r="P337" s="4"/>
      <c r="Q337" s="4"/>
      <c r="R337" s="4"/>
      <c r="S337" s="4"/>
      <c r="T337" s="4"/>
      <c r="U337" s="4"/>
      <c r="V337" s="4"/>
      <c r="W337" s="4"/>
      <c r="X337" s="4"/>
      <c r="Y337" s="4"/>
      <c r="Z337" s="4"/>
    </row>
    <row r="338" spans="1:26" ht="15.75" customHeight="1" x14ac:dyDescent="0.25">
      <c r="A338" s="143"/>
      <c r="B338" s="554"/>
      <c r="C338" s="86" t="s">
        <v>318</v>
      </c>
      <c r="D338" s="86" t="s">
        <v>319</v>
      </c>
      <c r="E338" s="86" t="s">
        <v>565</v>
      </c>
      <c r="F338" s="206">
        <v>72000000</v>
      </c>
      <c r="G338" s="86" t="s">
        <v>563</v>
      </c>
      <c r="H338" s="456">
        <v>1027</v>
      </c>
      <c r="I338" s="86" t="s">
        <v>568</v>
      </c>
      <c r="J338" s="608">
        <v>73944</v>
      </c>
      <c r="K338" s="615">
        <v>7697.276586086301</v>
      </c>
      <c r="L338" s="616">
        <v>6.172230143152161E-2</v>
      </c>
      <c r="M338" s="617">
        <v>4.6423050119240195E-2</v>
      </c>
      <c r="N338" s="4"/>
      <c r="O338" s="107" t="s">
        <v>356</v>
      </c>
      <c r="P338" s="4"/>
      <c r="Q338" s="4"/>
      <c r="R338" s="4"/>
      <c r="S338" s="4"/>
      <c r="T338" s="4"/>
      <c r="U338" s="4"/>
      <c r="V338" s="4"/>
      <c r="W338" s="4"/>
      <c r="X338" s="4"/>
      <c r="Y338" s="4"/>
      <c r="Z338" s="4"/>
    </row>
    <row r="339" spans="1:26" ht="15.75" customHeight="1" x14ac:dyDescent="0.25">
      <c r="A339" s="143"/>
      <c r="B339" s="554"/>
      <c r="C339" s="86"/>
      <c r="D339" s="86"/>
      <c r="E339" s="86"/>
      <c r="F339" s="206"/>
      <c r="G339" s="86"/>
      <c r="H339" s="456"/>
      <c r="I339" s="86"/>
      <c r="J339" s="614"/>
      <c r="K339" s="496"/>
      <c r="L339" s="217"/>
      <c r="M339" s="484"/>
      <c r="N339" s="4"/>
      <c r="O339" s="107"/>
      <c r="P339" s="4"/>
      <c r="Q339" s="4"/>
      <c r="R339" s="4"/>
      <c r="S339" s="4"/>
      <c r="T339" s="4"/>
      <c r="U339" s="4"/>
      <c r="V339" s="4"/>
      <c r="W339" s="4"/>
      <c r="X339" s="4"/>
      <c r="Y339" s="4"/>
      <c r="Z339" s="4"/>
    </row>
    <row r="340" spans="1:26" ht="15.75" customHeight="1" x14ac:dyDescent="0.25">
      <c r="A340" s="143"/>
      <c r="B340" s="554"/>
      <c r="C340" s="86" t="s">
        <v>525</v>
      </c>
      <c r="D340" s="86" t="s">
        <v>545</v>
      </c>
      <c r="E340" s="86" t="s">
        <v>565</v>
      </c>
      <c r="F340" s="206">
        <v>9000000</v>
      </c>
      <c r="G340" s="86" t="s">
        <v>563</v>
      </c>
      <c r="H340" s="456">
        <v>1027</v>
      </c>
      <c r="I340" s="86" t="s">
        <v>568</v>
      </c>
      <c r="J340" s="608">
        <v>9243</v>
      </c>
      <c r="K340" s="496">
        <v>737.03880652743953</v>
      </c>
      <c r="L340" s="217">
        <v>7.8436197927716153E-3</v>
      </c>
      <c r="M340" s="484">
        <v>1.5948693578635618E-2</v>
      </c>
      <c r="N340" s="4"/>
      <c r="O340" s="107" t="s">
        <v>356</v>
      </c>
      <c r="P340" s="4"/>
      <c r="Q340" s="4"/>
      <c r="R340" s="4"/>
      <c r="S340" s="4"/>
      <c r="T340" s="4"/>
      <c r="U340" s="4"/>
      <c r="V340" s="4"/>
      <c r="W340" s="4"/>
      <c r="X340" s="4"/>
      <c r="Y340" s="4"/>
      <c r="Z340" s="4"/>
    </row>
    <row r="341" spans="1:26" ht="15.75" customHeight="1" x14ac:dyDescent="0.25">
      <c r="A341" s="143"/>
      <c r="B341" s="357"/>
      <c r="C341" s="358"/>
      <c r="D341" s="358"/>
      <c r="E341" s="358"/>
      <c r="F341" s="221"/>
      <c r="G341" s="358"/>
      <c r="H341" s="566"/>
      <c r="I341" s="358"/>
      <c r="J341" s="610"/>
      <c r="K341" s="568"/>
      <c r="L341" s="222"/>
      <c r="M341" s="611"/>
      <c r="N341" s="4"/>
      <c r="O341" s="107"/>
      <c r="P341" s="4"/>
      <c r="Q341" s="4"/>
      <c r="R341" s="4"/>
      <c r="S341" s="4"/>
      <c r="T341" s="4"/>
      <c r="U341" s="4"/>
      <c r="V341" s="4"/>
      <c r="W341" s="4"/>
      <c r="X341" s="4"/>
      <c r="Y341" s="4"/>
      <c r="Z341" s="4"/>
    </row>
    <row r="342" spans="1:26" ht="15.75" customHeight="1" x14ac:dyDescent="0.25">
      <c r="A342" s="143"/>
      <c r="B342" s="570" t="s">
        <v>394</v>
      </c>
      <c r="C342" s="122" t="s">
        <v>395</v>
      </c>
      <c r="D342" s="449"/>
      <c r="E342" s="449"/>
      <c r="F342" s="451"/>
      <c r="G342" s="449"/>
      <c r="H342" s="571"/>
      <c r="I342" s="449"/>
      <c r="J342" s="612"/>
      <c r="K342" s="573"/>
      <c r="L342" s="574"/>
      <c r="M342" s="613"/>
      <c r="N342" s="4"/>
      <c r="O342" s="107"/>
      <c r="P342" s="4"/>
      <c r="Q342" s="4"/>
      <c r="R342" s="4"/>
      <c r="S342" s="4"/>
      <c r="T342" s="4"/>
      <c r="U342" s="4"/>
      <c r="V342" s="4"/>
      <c r="W342" s="4"/>
      <c r="X342" s="4"/>
      <c r="Y342" s="4"/>
      <c r="Z342" s="4"/>
    </row>
    <row r="343" spans="1:26" ht="15.75" customHeight="1" x14ac:dyDescent="0.25">
      <c r="A343" s="143"/>
      <c r="B343" s="554"/>
      <c r="C343" s="86" t="s">
        <v>396</v>
      </c>
      <c r="D343" s="86" t="s">
        <v>397</v>
      </c>
      <c r="E343" s="86" t="s">
        <v>237</v>
      </c>
      <c r="F343" s="206">
        <v>393000000</v>
      </c>
      <c r="G343" s="86" t="s">
        <v>563</v>
      </c>
      <c r="H343" s="456">
        <v>1027</v>
      </c>
      <c r="I343" s="86" t="s">
        <v>568</v>
      </c>
      <c r="J343" s="608">
        <v>403611</v>
      </c>
      <c r="K343" s="496">
        <v>26536.398017531566</v>
      </c>
      <c r="L343" s="217">
        <v>1.2524942549573961</v>
      </c>
      <c r="M343" s="484">
        <v>0.52736600208732465</v>
      </c>
      <c r="N343" s="4"/>
      <c r="O343" s="107" t="s">
        <v>356</v>
      </c>
      <c r="P343" s="4"/>
      <c r="Q343" s="4"/>
      <c r="R343" s="4"/>
      <c r="S343" s="4"/>
      <c r="T343" s="4"/>
      <c r="U343" s="4"/>
      <c r="V343" s="4"/>
      <c r="W343" s="4"/>
      <c r="X343" s="4"/>
      <c r="Y343" s="4"/>
      <c r="Z343" s="4"/>
    </row>
    <row r="344" spans="1:26" ht="15.75" customHeight="1" x14ac:dyDescent="0.25">
      <c r="A344" s="143"/>
      <c r="B344" s="357"/>
      <c r="C344" s="358"/>
      <c r="D344" s="358"/>
      <c r="E344" s="358"/>
      <c r="F344" s="221"/>
      <c r="G344" s="358"/>
      <c r="H344" s="566"/>
      <c r="I344" s="358"/>
      <c r="J344" s="610"/>
      <c r="K344" s="568"/>
      <c r="L344" s="222"/>
      <c r="M344" s="611"/>
      <c r="N344" s="4"/>
      <c r="O344" s="107"/>
      <c r="P344" s="4"/>
      <c r="Q344" s="4"/>
      <c r="R344" s="4"/>
      <c r="S344" s="4"/>
      <c r="T344" s="4"/>
      <c r="U344" s="4"/>
      <c r="V344" s="4"/>
      <c r="W344" s="4"/>
      <c r="X344" s="4"/>
      <c r="Y344" s="4"/>
      <c r="Z344" s="4"/>
    </row>
    <row r="345" spans="1:26" ht="15.75" customHeight="1" x14ac:dyDescent="0.25">
      <c r="A345" s="143"/>
      <c r="B345" s="570" t="s">
        <v>408</v>
      </c>
      <c r="C345" s="122" t="s">
        <v>409</v>
      </c>
      <c r="D345" s="449"/>
      <c r="E345" s="449"/>
      <c r="F345" s="451"/>
      <c r="G345" s="449"/>
      <c r="H345" s="571"/>
      <c r="I345" s="449"/>
      <c r="J345" s="612"/>
      <c r="K345" s="573"/>
      <c r="L345" s="574"/>
      <c r="M345" s="613"/>
      <c r="N345" s="4"/>
      <c r="O345" s="107"/>
      <c r="P345" s="4"/>
      <c r="Q345" s="4"/>
      <c r="R345" s="4"/>
      <c r="S345" s="4"/>
      <c r="T345" s="4"/>
      <c r="U345" s="4"/>
      <c r="V345" s="4"/>
      <c r="W345" s="4"/>
      <c r="X345" s="4"/>
      <c r="Y345" s="4"/>
      <c r="Z345" s="4"/>
    </row>
    <row r="346" spans="1:26" ht="15.75" customHeight="1" x14ac:dyDescent="0.25">
      <c r="A346" s="143"/>
      <c r="B346" s="554"/>
      <c r="C346" s="86" t="s">
        <v>569</v>
      </c>
      <c r="D346" s="86" t="s">
        <v>570</v>
      </c>
      <c r="E346" s="86" t="s">
        <v>237</v>
      </c>
      <c r="F346" s="206">
        <v>20000000</v>
      </c>
      <c r="G346" s="86" t="s">
        <v>563</v>
      </c>
      <c r="H346" s="456">
        <v>1020</v>
      </c>
      <c r="I346" s="86" t="s">
        <v>571</v>
      </c>
      <c r="J346" s="608">
        <v>20400</v>
      </c>
      <c r="K346" s="496">
        <v>751</v>
      </c>
      <c r="L346" s="217">
        <v>8.6999999999999994E-2</v>
      </c>
      <c r="M346" s="484">
        <v>0.03</v>
      </c>
      <c r="N346" s="4"/>
      <c r="O346" s="107" t="s">
        <v>356</v>
      </c>
      <c r="P346" s="4"/>
      <c r="Q346" s="4"/>
      <c r="R346" s="4"/>
      <c r="S346" s="4"/>
      <c r="T346" s="4"/>
      <c r="U346" s="4"/>
      <c r="V346" s="4"/>
      <c r="W346" s="4"/>
      <c r="X346" s="4"/>
      <c r="Y346" s="4"/>
      <c r="Z346" s="4"/>
    </row>
    <row r="347" spans="1:26" ht="15.75" customHeight="1" x14ac:dyDescent="0.25">
      <c r="A347" s="143"/>
      <c r="B347" s="554"/>
      <c r="C347" s="86"/>
      <c r="D347" s="86"/>
      <c r="E347" s="86"/>
      <c r="F347" s="206"/>
      <c r="G347" s="86"/>
      <c r="H347" s="456"/>
      <c r="I347" s="86"/>
      <c r="J347" s="608"/>
      <c r="K347" s="496"/>
      <c r="L347" s="217"/>
      <c r="M347" s="484"/>
      <c r="N347" s="4"/>
      <c r="O347" s="107"/>
      <c r="P347" s="4"/>
      <c r="Q347" s="4"/>
      <c r="R347" s="4"/>
      <c r="S347" s="4"/>
      <c r="T347" s="4"/>
      <c r="U347" s="4"/>
      <c r="V347" s="4"/>
      <c r="W347" s="4"/>
      <c r="X347" s="4"/>
      <c r="Y347" s="4"/>
      <c r="Z347" s="4"/>
    </row>
    <row r="348" spans="1:26" ht="15.75" customHeight="1" x14ac:dyDescent="0.25">
      <c r="A348" s="143"/>
      <c r="B348" s="554"/>
      <c r="C348" s="86" t="s">
        <v>572</v>
      </c>
      <c r="D348" s="86" t="s">
        <v>573</v>
      </c>
      <c r="E348" s="86" t="s">
        <v>237</v>
      </c>
      <c r="F348" s="206">
        <v>220000000</v>
      </c>
      <c r="G348" s="86" t="s">
        <v>563</v>
      </c>
      <c r="H348" s="456">
        <v>1020</v>
      </c>
      <c r="I348" s="86" t="s">
        <v>571</v>
      </c>
      <c r="J348" s="608">
        <v>224400</v>
      </c>
      <c r="K348" s="496">
        <v>13289</v>
      </c>
      <c r="L348" s="217">
        <v>0.252</v>
      </c>
      <c r="M348" s="484">
        <v>0.24</v>
      </c>
      <c r="N348" s="4"/>
      <c r="O348" s="107" t="s">
        <v>356</v>
      </c>
      <c r="P348" s="4"/>
      <c r="Q348" s="4"/>
      <c r="R348" s="4"/>
      <c r="S348" s="4"/>
      <c r="T348" s="4"/>
      <c r="U348" s="4"/>
      <c r="V348" s="4"/>
      <c r="W348" s="4"/>
      <c r="X348" s="4"/>
      <c r="Y348" s="4"/>
      <c r="Z348" s="4"/>
    </row>
    <row r="349" spans="1:26" ht="15.75" customHeight="1" x14ac:dyDescent="0.25">
      <c r="A349" s="143"/>
      <c r="B349" s="357"/>
      <c r="C349" s="358"/>
      <c r="D349" s="358"/>
      <c r="E349" s="358"/>
      <c r="F349" s="221"/>
      <c r="G349" s="358"/>
      <c r="H349" s="566"/>
      <c r="I349" s="358"/>
      <c r="J349" s="610"/>
      <c r="K349" s="568"/>
      <c r="L349" s="222"/>
      <c r="M349" s="611"/>
      <c r="N349" s="4"/>
      <c r="O349" s="107"/>
      <c r="P349" s="4"/>
      <c r="Q349" s="4"/>
      <c r="R349" s="4"/>
      <c r="S349" s="4"/>
      <c r="T349" s="4"/>
      <c r="U349" s="4"/>
      <c r="V349" s="4"/>
      <c r="W349" s="4"/>
      <c r="X349" s="4"/>
      <c r="Y349" s="4"/>
      <c r="Z349" s="4"/>
    </row>
    <row r="350" spans="1:26" ht="15.75" customHeight="1" x14ac:dyDescent="0.25">
      <c r="A350" s="143"/>
      <c r="B350" s="570" t="s">
        <v>574</v>
      </c>
      <c r="C350" s="122" t="s">
        <v>575</v>
      </c>
      <c r="D350" s="449"/>
      <c r="E350" s="449"/>
      <c r="F350" s="451"/>
      <c r="G350" s="449"/>
      <c r="H350" s="571"/>
      <c r="I350" s="449"/>
      <c r="J350" s="612"/>
      <c r="K350" s="573"/>
      <c r="L350" s="574"/>
      <c r="M350" s="613"/>
      <c r="N350" s="4"/>
      <c r="O350" s="107"/>
      <c r="P350" s="4"/>
      <c r="Q350" s="4"/>
      <c r="R350" s="4"/>
      <c r="S350" s="4"/>
      <c r="T350" s="4"/>
      <c r="U350" s="4"/>
      <c r="V350" s="4"/>
      <c r="W350" s="4"/>
      <c r="X350" s="4"/>
      <c r="Y350" s="4"/>
      <c r="Z350" s="4"/>
    </row>
    <row r="351" spans="1:26" ht="15.75" customHeight="1" x14ac:dyDescent="0.25">
      <c r="A351" s="143"/>
      <c r="B351" s="554"/>
      <c r="C351" s="86" t="s">
        <v>576</v>
      </c>
      <c r="D351" s="86" t="s">
        <v>577</v>
      </c>
      <c r="E351" s="86" t="s">
        <v>237</v>
      </c>
      <c r="F351" s="206">
        <v>8000000</v>
      </c>
      <c r="G351" s="86" t="s">
        <v>563</v>
      </c>
      <c r="H351" s="456">
        <v>1027</v>
      </c>
      <c r="I351" s="86" t="s">
        <v>571</v>
      </c>
      <c r="J351" s="608">
        <v>8216</v>
      </c>
      <c r="K351" s="496">
        <v>410</v>
      </c>
      <c r="L351" s="217">
        <v>0.03</v>
      </c>
      <c r="M351" s="484">
        <v>0.01</v>
      </c>
      <c r="N351" s="4"/>
      <c r="O351" s="107" t="s">
        <v>356</v>
      </c>
      <c r="P351" s="4"/>
      <c r="Q351" s="4"/>
      <c r="R351" s="4"/>
      <c r="S351" s="4"/>
      <c r="T351" s="4"/>
      <c r="U351" s="4"/>
      <c r="V351" s="4"/>
      <c r="W351" s="4"/>
      <c r="X351" s="4"/>
      <c r="Y351" s="4"/>
      <c r="Z351" s="4"/>
    </row>
    <row r="352" spans="1:26" ht="15.75" customHeight="1" x14ac:dyDescent="0.25">
      <c r="A352" s="143"/>
      <c r="B352" s="357"/>
      <c r="C352" s="358"/>
      <c r="D352" s="358"/>
      <c r="E352" s="358"/>
      <c r="F352" s="221"/>
      <c r="G352" s="358"/>
      <c r="H352" s="566"/>
      <c r="I352" s="358"/>
      <c r="J352" s="610"/>
      <c r="K352" s="568"/>
      <c r="L352" s="222"/>
      <c r="M352" s="611"/>
      <c r="N352" s="4"/>
      <c r="O352" s="107"/>
      <c r="P352" s="4"/>
      <c r="Q352" s="4"/>
      <c r="R352" s="4"/>
      <c r="S352" s="4"/>
      <c r="T352" s="4"/>
      <c r="U352" s="4"/>
      <c r="V352" s="4"/>
      <c r="W352" s="4"/>
      <c r="X352" s="4"/>
      <c r="Y352" s="4"/>
      <c r="Z352" s="4"/>
    </row>
    <row r="353" spans="1:26" ht="15.75" customHeight="1" x14ac:dyDescent="0.25">
      <c r="A353" s="143"/>
      <c r="B353" s="570" t="s">
        <v>425</v>
      </c>
      <c r="C353" s="122" t="s">
        <v>426</v>
      </c>
      <c r="D353" s="449"/>
      <c r="E353" s="449"/>
      <c r="F353" s="451"/>
      <c r="G353" s="449"/>
      <c r="H353" s="571"/>
      <c r="I353" s="449"/>
      <c r="J353" s="612"/>
      <c r="K353" s="573"/>
      <c r="L353" s="574"/>
      <c r="M353" s="613"/>
      <c r="N353" s="4"/>
      <c r="O353" s="107"/>
      <c r="P353" s="4"/>
      <c r="Q353" s="4"/>
      <c r="R353" s="4"/>
      <c r="S353" s="4"/>
      <c r="T353" s="4"/>
      <c r="U353" s="4"/>
      <c r="V353" s="4"/>
      <c r="W353" s="4"/>
      <c r="X353" s="4"/>
      <c r="Y353" s="4"/>
      <c r="Z353" s="4"/>
    </row>
    <row r="354" spans="1:26" ht="15.75" customHeight="1" x14ac:dyDescent="0.25">
      <c r="A354" s="143"/>
      <c r="B354" s="554"/>
      <c r="C354" s="86" t="s">
        <v>427</v>
      </c>
      <c r="D354" s="86" t="s">
        <v>428</v>
      </c>
      <c r="E354" s="86" t="s">
        <v>237</v>
      </c>
      <c r="F354" s="206">
        <v>150625</v>
      </c>
      <c r="G354" s="86" t="s">
        <v>563</v>
      </c>
      <c r="H354" s="456">
        <v>1032</v>
      </c>
      <c r="I354" s="86" t="s">
        <v>571</v>
      </c>
      <c r="J354" s="608">
        <v>155445</v>
      </c>
      <c r="K354" s="496">
        <v>7682.9804922914709</v>
      </c>
      <c r="L354" s="217">
        <v>0.62769448466433575</v>
      </c>
      <c r="M354" s="484">
        <v>0.26901192199900104</v>
      </c>
      <c r="N354" s="4"/>
      <c r="O354" s="107" t="s">
        <v>356</v>
      </c>
      <c r="P354" s="4"/>
      <c r="Q354" s="4"/>
      <c r="R354" s="4"/>
      <c r="S354" s="4"/>
      <c r="T354" s="4"/>
      <c r="U354" s="4"/>
      <c r="V354" s="4"/>
      <c r="W354" s="4"/>
      <c r="X354" s="4"/>
      <c r="Y354" s="4"/>
      <c r="Z354" s="4"/>
    </row>
    <row r="355" spans="1:26" ht="15.75" customHeight="1" x14ac:dyDescent="0.25">
      <c r="A355" s="143"/>
      <c r="B355" s="554"/>
      <c r="C355" s="86"/>
      <c r="D355" s="86"/>
      <c r="E355" s="86"/>
      <c r="F355" s="206"/>
      <c r="G355" s="86"/>
      <c r="H355" s="456"/>
      <c r="I355" s="86"/>
      <c r="J355" s="608"/>
      <c r="K355" s="496"/>
      <c r="L355" s="217"/>
      <c r="M355" s="484"/>
      <c r="N355" s="4"/>
      <c r="O355" s="107"/>
      <c r="P355" s="4"/>
      <c r="Q355" s="4"/>
      <c r="R355" s="4"/>
      <c r="S355" s="4"/>
      <c r="T355" s="4"/>
      <c r="U355" s="4"/>
      <c r="V355" s="4"/>
      <c r="W355" s="4"/>
      <c r="X355" s="4"/>
      <c r="Y355" s="4"/>
      <c r="Z355" s="4"/>
    </row>
    <row r="356" spans="1:26" ht="15.75" customHeight="1" x14ac:dyDescent="0.25">
      <c r="A356" s="143"/>
      <c r="B356" s="554"/>
      <c r="C356" s="86" t="s">
        <v>429</v>
      </c>
      <c r="D356" s="86" t="s">
        <v>430</v>
      </c>
      <c r="E356" s="86" t="s">
        <v>237</v>
      </c>
      <c r="F356" s="206">
        <v>206653</v>
      </c>
      <c r="G356" s="86" t="s">
        <v>563</v>
      </c>
      <c r="H356" s="456">
        <v>1032</v>
      </c>
      <c r="I356" s="86" t="s">
        <v>571</v>
      </c>
      <c r="J356" s="608">
        <v>213265.89600000001</v>
      </c>
      <c r="K356" s="496">
        <v>10136.750086008988</v>
      </c>
      <c r="L356" s="217">
        <v>0.83575257213339038</v>
      </c>
      <c r="M356" s="484">
        <v>0.37144558761484014</v>
      </c>
      <c r="N356" s="4"/>
      <c r="O356" s="107" t="s">
        <v>356</v>
      </c>
      <c r="P356" s="4"/>
      <c r="Q356" s="4"/>
      <c r="R356" s="4"/>
      <c r="S356" s="4"/>
      <c r="T356" s="4"/>
      <c r="U356" s="4"/>
      <c r="V356" s="4"/>
      <c r="W356" s="4"/>
      <c r="X356" s="4"/>
      <c r="Y356" s="4"/>
      <c r="Z356" s="4"/>
    </row>
    <row r="357" spans="1:26" ht="15.75" customHeight="1" x14ac:dyDescent="0.25">
      <c r="A357" s="143"/>
      <c r="B357" s="357"/>
      <c r="C357" s="358"/>
      <c r="D357" s="358"/>
      <c r="E357" s="358"/>
      <c r="F357" s="221"/>
      <c r="G357" s="358"/>
      <c r="H357" s="566"/>
      <c r="I357" s="358"/>
      <c r="J357" s="610"/>
      <c r="K357" s="568"/>
      <c r="L357" s="222"/>
      <c r="M357" s="611"/>
      <c r="N357" s="4"/>
      <c r="O357" s="107"/>
      <c r="P357" s="4"/>
      <c r="Q357" s="4"/>
      <c r="R357" s="4"/>
      <c r="S357" s="4"/>
      <c r="T357" s="4"/>
      <c r="U357" s="4"/>
      <c r="V357" s="4"/>
      <c r="W357" s="4"/>
      <c r="X357" s="4"/>
      <c r="Y357" s="4"/>
      <c r="Z357" s="4"/>
    </row>
    <row r="358" spans="1:26" ht="15.75" customHeight="1" x14ac:dyDescent="0.25">
      <c r="A358" s="143"/>
      <c r="B358" s="570" t="s">
        <v>447</v>
      </c>
      <c r="C358" s="122" t="s">
        <v>448</v>
      </c>
      <c r="D358" s="449"/>
      <c r="E358" s="449"/>
      <c r="F358" s="451"/>
      <c r="G358" s="449"/>
      <c r="H358" s="571"/>
      <c r="I358" s="449"/>
      <c r="J358" s="612"/>
      <c r="K358" s="573"/>
      <c r="L358" s="574"/>
      <c r="M358" s="613"/>
      <c r="N358" s="4"/>
      <c r="O358" s="107"/>
      <c r="P358" s="4"/>
      <c r="Q358" s="4"/>
      <c r="R358" s="4"/>
      <c r="S358" s="4"/>
      <c r="T358" s="4"/>
      <c r="U358" s="4"/>
      <c r="V358" s="4"/>
      <c r="W358" s="4"/>
      <c r="X358" s="4"/>
      <c r="Y358" s="4"/>
      <c r="Z358" s="4"/>
    </row>
    <row r="359" spans="1:26" ht="15.75" customHeight="1" x14ac:dyDescent="0.25">
      <c r="A359" s="143"/>
      <c r="B359" s="554"/>
      <c r="C359" s="86" t="s">
        <v>449</v>
      </c>
      <c r="D359" s="86">
        <v>1</v>
      </c>
      <c r="E359" s="86" t="s">
        <v>221</v>
      </c>
      <c r="F359" s="206">
        <v>2250113.0269999998</v>
      </c>
      <c r="G359" s="86" t="s">
        <v>563</v>
      </c>
      <c r="H359" s="456">
        <v>1044</v>
      </c>
      <c r="I359" s="86" t="s">
        <v>578</v>
      </c>
      <c r="J359" s="608">
        <v>2349118.000188</v>
      </c>
      <c r="K359" s="496">
        <v>139938.30264075581</v>
      </c>
      <c r="L359" s="217">
        <v>10.034125791914024</v>
      </c>
      <c r="M359" s="484">
        <v>3.4771723041286222</v>
      </c>
      <c r="N359" s="4"/>
      <c r="O359" s="107" t="s">
        <v>356</v>
      </c>
      <c r="P359" s="4"/>
      <c r="Q359" s="4"/>
      <c r="R359" s="4"/>
      <c r="S359" s="4"/>
      <c r="T359" s="4"/>
      <c r="U359" s="4"/>
      <c r="V359" s="4"/>
      <c r="W359" s="4"/>
      <c r="X359" s="4"/>
      <c r="Y359" s="4"/>
      <c r="Z359" s="4"/>
    </row>
    <row r="360" spans="1:26" ht="15.75" customHeight="1" x14ac:dyDescent="0.25">
      <c r="A360" s="143"/>
      <c r="B360" s="554"/>
      <c r="C360" s="86"/>
      <c r="D360" s="86"/>
      <c r="E360" s="86"/>
      <c r="F360" s="206"/>
      <c r="G360" s="86"/>
      <c r="H360" s="456"/>
      <c r="I360" s="86"/>
      <c r="J360" s="608"/>
      <c r="K360" s="496"/>
      <c r="L360" s="217"/>
      <c r="M360" s="484"/>
      <c r="N360" s="4"/>
      <c r="O360" s="107"/>
      <c r="P360" s="4"/>
      <c r="Q360" s="4"/>
      <c r="R360" s="4"/>
      <c r="S360" s="4"/>
      <c r="T360" s="4"/>
      <c r="U360" s="4"/>
      <c r="V360" s="4"/>
      <c r="W360" s="4"/>
      <c r="X360" s="4"/>
      <c r="Y360" s="4"/>
      <c r="Z360" s="4"/>
    </row>
    <row r="361" spans="1:26" ht="15.75" customHeight="1" x14ac:dyDescent="0.25">
      <c r="A361" s="143"/>
      <c r="B361" s="554"/>
      <c r="C361" s="86" t="s">
        <v>451</v>
      </c>
      <c r="D361" s="86">
        <v>2</v>
      </c>
      <c r="E361" s="86" t="s">
        <v>221</v>
      </c>
      <c r="F361" s="206">
        <v>2074000</v>
      </c>
      <c r="G361" s="86" t="s">
        <v>563</v>
      </c>
      <c r="H361" s="456">
        <v>1044</v>
      </c>
      <c r="I361" s="86" t="s">
        <v>579</v>
      </c>
      <c r="J361" s="608">
        <v>2165256</v>
      </c>
      <c r="K361" s="496">
        <v>129014.23319592261</v>
      </c>
      <c r="L361" s="217">
        <v>9.2336704252089827</v>
      </c>
      <c r="M361" s="484">
        <v>3.1771769205020153</v>
      </c>
      <c r="N361" s="4"/>
      <c r="O361" s="107" t="s">
        <v>356</v>
      </c>
      <c r="P361" s="4"/>
      <c r="Q361" s="4"/>
      <c r="R361" s="4"/>
      <c r="S361" s="4"/>
      <c r="T361" s="4"/>
      <c r="U361" s="4"/>
      <c r="V361" s="4"/>
      <c r="W361" s="4"/>
      <c r="X361" s="4"/>
      <c r="Y361" s="4"/>
      <c r="Z361" s="4"/>
    </row>
    <row r="362" spans="1:26" ht="15.75" customHeight="1" x14ac:dyDescent="0.25">
      <c r="A362" s="143"/>
      <c r="B362" s="357"/>
      <c r="C362" s="358"/>
      <c r="D362" s="358"/>
      <c r="E362" s="358"/>
      <c r="F362" s="221"/>
      <c r="G362" s="358"/>
      <c r="H362" s="566"/>
      <c r="I362" s="358"/>
      <c r="J362" s="610"/>
      <c r="K362" s="568"/>
      <c r="L362" s="222"/>
      <c r="M362" s="611"/>
      <c r="N362" s="4"/>
      <c r="O362" s="107"/>
      <c r="P362" s="4"/>
      <c r="Q362" s="4"/>
      <c r="R362" s="4"/>
      <c r="S362" s="4"/>
      <c r="T362" s="4"/>
      <c r="U362" s="4"/>
      <c r="V362" s="4"/>
      <c r="W362" s="4"/>
      <c r="X362" s="4"/>
      <c r="Y362" s="4"/>
      <c r="Z362" s="4"/>
    </row>
    <row r="363" spans="1:26" ht="15.75" customHeight="1" x14ac:dyDescent="0.25">
      <c r="A363" s="143"/>
      <c r="B363" s="570" t="s">
        <v>580</v>
      </c>
      <c r="C363" s="122" t="s">
        <v>581</v>
      </c>
      <c r="D363" s="449"/>
      <c r="E363" s="449"/>
      <c r="F363" s="451"/>
      <c r="G363" s="449"/>
      <c r="H363" s="571"/>
      <c r="I363" s="449"/>
      <c r="J363" s="612"/>
      <c r="K363" s="573"/>
      <c r="L363" s="574"/>
      <c r="M363" s="613"/>
      <c r="N363" s="4"/>
      <c r="O363" s="107"/>
      <c r="P363" s="4"/>
      <c r="Q363" s="4"/>
      <c r="R363" s="4"/>
      <c r="S363" s="4"/>
      <c r="T363" s="4"/>
      <c r="U363" s="4"/>
      <c r="V363" s="4"/>
      <c r="W363" s="4"/>
      <c r="X363" s="4"/>
      <c r="Y363" s="4"/>
      <c r="Z363" s="4"/>
    </row>
    <row r="364" spans="1:26" ht="15.75" customHeight="1" x14ac:dyDescent="0.25">
      <c r="A364" s="143"/>
      <c r="B364" s="554"/>
      <c r="C364" s="86" t="s">
        <v>576</v>
      </c>
      <c r="D364" s="86" t="s">
        <v>399</v>
      </c>
      <c r="E364" s="86" t="s">
        <v>237</v>
      </c>
      <c r="F364" s="206">
        <v>36000000</v>
      </c>
      <c r="G364" s="86" t="s">
        <v>563</v>
      </c>
      <c r="H364" s="456">
        <v>1027</v>
      </c>
      <c r="I364" s="86" t="s">
        <v>582</v>
      </c>
      <c r="J364" s="608">
        <v>36972</v>
      </c>
      <c r="K364" s="496">
        <v>2018</v>
      </c>
      <c r="L364" s="217">
        <v>0.16</v>
      </c>
      <c r="M364" s="484">
        <v>0.06</v>
      </c>
      <c r="N364" s="4"/>
      <c r="O364" s="107" t="s">
        <v>356</v>
      </c>
      <c r="P364" s="4"/>
      <c r="Q364" s="4"/>
      <c r="R364" s="4"/>
      <c r="S364" s="4"/>
      <c r="T364" s="4"/>
      <c r="U364" s="4"/>
      <c r="V364" s="4"/>
      <c r="W364" s="4"/>
      <c r="X364" s="4"/>
      <c r="Y364" s="4"/>
      <c r="Z364" s="4"/>
    </row>
    <row r="365" spans="1:26" ht="15.75" customHeight="1" x14ac:dyDescent="0.25">
      <c r="A365" s="143"/>
      <c r="B365" s="554"/>
      <c r="C365" s="86" t="s">
        <v>583</v>
      </c>
      <c r="D365" s="86" t="s">
        <v>401</v>
      </c>
      <c r="E365" s="86" t="s">
        <v>237</v>
      </c>
      <c r="F365" s="206">
        <v>45000000</v>
      </c>
      <c r="G365" s="86" t="s">
        <v>563</v>
      </c>
      <c r="H365" s="456">
        <v>1027</v>
      </c>
      <c r="I365" s="86" t="s">
        <v>582</v>
      </c>
      <c r="J365" s="608">
        <v>46215</v>
      </c>
      <c r="K365" s="496">
        <v>2565</v>
      </c>
      <c r="L365" s="217">
        <v>0.2</v>
      </c>
      <c r="M365" s="484">
        <v>7.0000000000000007E-2</v>
      </c>
      <c r="N365" s="4"/>
      <c r="O365" s="107" t="s">
        <v>356</v>
      </c>
      <c r="P365" s="4"/>
      <c r="Q365" s="4"/>
      <c r="R365" s="4"/>
      <c r="S365" s="4"/>
      <c r="T365" s="4"/>
      <c r="U365" s="4"/>
      <c r="V365" s="4"/>
      <c r="W365" s="4"/>
      <c r="X365" s="4"/>
      <c r="Y365" s="4"/>
      <c r="Z365" s="4"/>
    </row>
    <row r="366" spans="1:26" ht="15.75" customHeight="1" x14ac:dyDescent="0.25">
      <c r="A366" s="143"/>
      <c r="B366" s="554"/>
      <c r="C366" s="86" t="s">
        <v>584</v>
      </c>
      <c r="D366" s="86" t="s">
        <v>403</v>
      </c>
      <c r="E366" s="86" t="s">
        <v>237</v>
      </c>
      <c r="F366" s="206">
        <v>42000000</v>
      </c>
      <c r="G366" s="86" t="s">
        <v>585</v>
      </c>
      <c r="H366" s="456">
        <v>1027</v>
      </c>
      <c r="I366" s="86" t="s">
        <v>582</v>
      </c>
      <c r="J366" s="608">
        <v>43134</v>
      </c>
      <c r="K366" s="496">
        <v>2382</v>
      </c>
      <c r="L366" s="217">
        <v>0.19</v>
      </c>
      <c r="M366" s="484">
        <v>0.06</v>
      </c>
      <c r="N366" s="4"/>
      <c r="O366" s="107" t="s">
        <v>356</v>
      </c>
      <c r="P366" s="4"/>
      <c r="Q366" s="4"/>
      <c r="R366" s="4"/>
      <c r="S366" s="4"/>
      <c r="T366" s="4"/>
      <c r="U366" s="4"/>
      <c r="V366" s="4"/>
      <c r="W366" s="4"/>
      <c r="X366" s="4"/>
      <c r="Y366" s="4"/>
      <c r="Z366" s="4"/>
    </row>
    <row r="367" spans="1:26" ht="15.75" customHeight="1" x14ac:dyDescent="0.25">
      <c r="A367" s="143"/>
      <c r="B367" s="554"/>
      <c r="C367" s="86" t="s">
        <v>586</v>
      </c>
      <c r="D367" s="86" t="s">
        <v>405</v>
      </c>
      <c r="E367" s="86" t="s">
        <v>237</v>
      </c>
      <c r="F367" s="206">
        <v>50000000</v>
      </c>
      <c r="G367" s="86" t="s">
        <v>563</v>
      </c>
      <c r="H367" s="456">
        <v>1027</v>
      </c>
      <c r="I367" s="86" t="s">
        <v>582</v>
      </c>
      <c r="J367" s="618" t="s">
        <v>587</v>
      </c>
      <c r="K367" s="496">
        <v>2811</v>
      </c>
      <c r="L367" s="217">
        <v>0.22</v>
      </c>
      <c r="M367" s="484">
        <v>0.08</v>
      </c>
      <c r="N367" s="4"/>
      <c r="O367" s="107" t="s">
        <v>356</v>
      </c>
      <c r="P367" s="4"/>
      <c r="Q367" s="4"/>
      <c r="R367" s="4"/>
      <c r="S367" s="4"/>
      <c r="T367" s="4"/>
      <c r="U367" s="4"/>
      <c r="V367" s="4"/>
      <c r="W367" s="4"/>
      <c r="X367" s="4"/>
      <c r="Y367" s="4"/>
      <c r="Z367" s="4"/>
    </row>
    <row r="368" spans="1:26" ht="15.75" customHeight="1" x14ac:dyDescent="0.25">
      <c r="A368" s="143"/>
      <c r="B368" s="554"/>
      <c r="C368" s="86" t="s">
        <v>588</v>
      </c>
      <c r="D368" s="86" t="s">
        <v>589</v>
      </c>
      <c r="E368" s="86" t="s">
        <v>237</v>
      </c>
      <c r="F368" s="206">
        <v>41000000</v>
      </c>
      <c r="G368" s="86" t="s">
        <v>585</v>
      </c>
      <c r="H368" s="456">
        <v>1027</v>
      </c>
      <c r="I368" s="86" t="s">
        <v>582</v>
      </c>
      <c r="J368" s="608">
        <v>42107</v>
      </c>
      <c r="K368" s="496">
        <v>2300</v>
      </c>
      <c r="L368" s="217">
        <v>0.18</v>
      </c>
      <c r="M368" s="484">
        <v>0.06</v>
      </c>
      <c r="N368" s="4"/>
      <c r="O368" s="107" t="s">
        <v>356</v>
      </c>
      <c r="P368" s="4"/>
      <c r="Q368" s="4"/>
      <c r="R368" s="4"/>
      <c r="S368" s="4"/>
      <c r="T368" s="4"/>
      <c r="U368" s="4"/>
      <c r="V368" s="4"/>
      <c r="W368" s="4"/>
      <c r="X368" s="4"/>
      <c r="Y368" s="4"/>
      <c r="Z368" s="4"/>
    </row>
    <row r="369" spans="1:26" ht="15.75" customHeight="1" x14ac:dyDescent="0.25">
      <c r="A369" s="143"/>
      <c r="B369" s="554"/>
      <c r="C369" s="86" t="s">
        <v>590</v>
      </c>
      <c r="D369" s="86" t="s">
        <v>591</v>
      </c>
      <c r="E369" s="86" t="s">
        <v>237</v>
      </c>
      <c r="F369" s="206">
        <v>55000000</v>
      </c>
      <c r="G369" s="86" t="s">
        <v>563</v>
      </c>
      <c r="H369" s="456">
        <v>1027</v>
      </c>
      <c r="I369" s="86" t="s">
        <v>582</v>
      </c>
      <c r="J369" s="608">
        <v>56485</v>
      </c>
      <c r="K369" s="496">
        <v>3087</v>
      </c>
      <c r="L369" s="217">
        <v>0.24</v>
      </c>
      <c r="M369" s="484">
        <v>0.08</v>
      </c>
      <c r="N369" s="4"/>
      <c r="O369" s="107" t="s">
        <v>356</v>
      </c>
      <c r="P369" s="4"/>
      <c r="Q369" s="4"/>
      <c r="R369" s="4"/>
      <c r="S369" s="4"/>
      <c r="T369" s="4"/>
      <c r="U369" s="4"/>
      <c r="V369" s="4"/>
      <c r="W369" s="4"/>
      <c r="X369" s="4"/>
      <c r="Y369" s="4"/>
      <c r="Z369" s="4"/>
    </row>
    <row r="370" spans="1:26" ht="15.75" customHeight="1" x14ac:dyDescent="0.25">
      <c r="A370" s="143"/>
      <c r="B370" s="554"/>
      <c r="C370" s="86" t="s">
        <v>592</v>
      </c>
      <c r="D370" s="86" t="s">
        <v>593</v>
      </c>
      <c r="E370" s="86" t="s">
        <v>237</v>
      </c>
      <c r="F370" s="206">
        <v>46000000</v>
      </c>
      <c r="G370" s="86" t="s">
        <v>563</v>
      </c>
      <c r="H370" s="456">
        <v>1027</v>
      </c>
      <c r="I370" s="86" t="s">
        <v>582</v>
      </c>
      <c r="J370" s="608">
        <v>47242</v>
      </c>
      <c r="K370" s="496">
        <v>2584</v>
      </c>
      <c r="L370" s="217">
        <v>0.2</v>
      </c>
      <c r="M370" s="484">
        <v>7.0000000000000007E-2</v>
      </c>
      <c r="N370" s="4"/>
      <c r="O370" s="107" t="s">
        <v>356</v>
      </c>
      <c r="P370" s="4"/>
      <c r="Q370" s="4"/>
      <c r="R370" s="4"/>
      <c r="S370" s="4"/>
      <c r="T370" s="4"/>
      <c r="U370" s="4"/>
      <c r="V370" s="4"/>
      <c r="W370" s="4"/>
      <c r="X370" s="4"/>
      <c r="Y370" s="4"/>
      <c r="Z370" s="4"/>
    </row>
    <row r="371" spans="1:26" ht="15.75" customHeight="1" x14ac:dyDescent="0.25">
      <c r="A371" s="143"/>
      <c r="B371" s="554"/>
      <c r="C371" s="86" t="s">
        <v>594</v>
      </c>
      <c r="D371" s="86" t="s">
        <v>595</v>
      </c>
      <c r="E371" s="86" t="s">
        <v>237</v>
      </c>
      <c r="F371" s="424">
        <v>29350000</v>
      </c>
      <c r="G371" s="86" t="s">
        <v>563</v>
      </c>
      <c r="H371" s="456">
        <v>1027</v>
      </c>
      <c r="I371" s="86" t="s">
        <v>582</v>
      </c>
      <c r="J371" s="619">
        <v>30142</v>
      </c>
      <c r="K371" s="496">
        <v>2229</v>
      </c>
      <c r="L371" s="217">
        <v>0.17</v>
      </c>
      <c r="M371" s="484">
        <v>0.06</v>
      </c>
      <c r="N371" s="4"/>
      <c r="O371" s="107" t="s">
        <v>356</v>
      </c>
      <c r="P371" s="4"/>
      <c r="Q371" s="4"/>
      <c r="R371" s="4"/>
      <c r="S371" s="4"/>
      <c r="T371" s="4"/>
      <c r="U371" s="4"/>
      <c r="V371" s="4"/>
      <c r="W371" s="4"/>
      <c r="X371" s="4"/>
      <c r="Y371" s="4"/>
      <c r="Z371" s="4"/>
    </row>
    <row r="372" spans="1:26" ht="15.75" customHeight="1" x14ac:dyDescent="0.25">
      <c r="A372" s="143"/>
      <c r="B372" s="357"/>
      <c r="C372" s="358"/>
      <c r="D372" s="358"/>
      <c r="E372" s="358"/>
      <c r="F372" s="221"/>
      <c r="G372" s="358"/>
      <c r="H372" s="566"/>
      <c r="I372" s="358"/>
      <c r="J372" s="610"/>
      <c r="K372" s="568"/>
      <c r="L372" s="222"/>
      <c r="M372" s="611"/>
      <c r="N372" s="4"/>
      <c r="O372" s="107"/>
      <c r="P372" s="4"/>
      <c r="Q372" s="4"/>
      <c r="R372" s="4"/>
      <c r="S372" s="4"/>
      <c r="T372" s="4"/>
      <c r="U372" s="4"/>
      <c r="V372" s="4"/>
      <c r="W372" s="4"/>
      <c r="X372" s="4"/>
      <c r="Y372" s="4"/>
      <c r="Z372" s="4"/>
    </row>
    <row r="373" spans="1:26" ht="15.75" customHeight="1" x14ac:dyDescent="0.25">
      <c r="A373" s="143"/>
      <c r="B373" s="570" t="s">
        <v>596</v>
      </c>
      <c r="C373" s="122" t="s">
        <v>597</v>
      </c>
      <c r="D373" s="449"/>
      <c r="E373" s="449"/>
      <c r="F373" s="451"/>
      <c r="G373" s="449"/>
      <c r="H373" s="571"/>
      <c r="I373" s="449"/>
      <c r="J373" s="612"/>
      <c r="K373" s="573"/>
      <c r="L373" s="574"/>
      <c r="M373" s="613"/>
      <c r="N373" s="4"/>
      <c r="O373" s="107"/>
      <c r="P373" s="4"/>
      <c r="Q373" s="4"/>
      <c r="R373" s="4"/>
      <c r="S373" s="4"/>
      <c r="T373" s="4"/>
      <c r="U373" s="4"/>
      <c r="V373" s="4"/>
      <c r="W373" s="4"/>
      <c r="X373" s="4"/>
      <c r="Y373" s="4"/>
      <c r="Z373" s="4"/>
    </row>
    <row r="374" spans="1:26" ht="15.75" customHeight="1" x14ac:dyDescent="0.25">
      <c r="A374" s="143"/>
      <c r="B374" s="554"/>
      <c r="C374" s="86" t="s">
        <v>598</v>
      </c>
      <c r="D374" s="86" t="s">
        <v>599</v>
      </c>
      <c r="E374" s="86" t="s">
        <v>221</v>
      </c>
      <c r="F374" s="206">
        <v>596422</v>
      </c>
      <c r="G374" s="86" t="s">
        <v>563</v>
      </c>
      <c r="H374" s="456">
        <v>1036</v>
      </c>
      <c r="I374" s="86" t="s">
        <v>579</v>
      </c>
      <c r="J374" s="608">
        <v>617893</v>
      </c>
      <c r="K374" s="496">
        <v>36721.1</v>
      </c>
      <c r="L374" s="217">
        <v>1.08</v>
      </c>
      <c r="M374" s="484">
        <v>0.11</v>
      </c>
      <c r="N374" s="4"/>
      <c r="O374" s="107" t="s">
        <v>356</v>
      </c>
      <c r="P374" s="4"/>
      <c r="Q374" s="4"/>
      <c r="R374" s="4"/>
      <c r="S374" s="4"/>
      <c r="T374" s="4"/>
      <c r="U374" s="4"/>
      <c r="V374" s="4"/>
      <c r="W374" s="4"/>
      <c r="X374" s="4"/>
      <c r="Y374" s="4"/>
      <c r="Z374" s="4"/>
    </row>
    <row r="375" spans="1:26" ht="15.75" customHeight="1" x14ac:dyDescent="0.25">
      <c r="A375" s="143"/>
      <c r="B375" s="554"/>
      <c r="C375" s="86" t="s">
        <v>600</v>
      </c>
      <c r="D375" s="86" t="s">
        <v>601</v>
      </c>
      <c r="E375" s="86" t="s">
        <v>221</v>
      </c>
      <c r="F375" s="206">
        <v>617412</v>
      </c>
      <c r="G375" s="86" t="s">
        <v>563</v>
      </c>
      <c r="H375" s="456">
        <v>1036</v>
      </c>
      <c r="I375" s="86" t="s">
        <v>579</v>
      </c>
      <c r="J375" s="608">
        <v>639639</v>
      </c>
      <c r="K375" s="496">
        <v>38013.599999999999</v>
      </c>
      <c r="L375" s="217">
        <v>1.0900000000000001</v>
      </c>
      <c r="M375" s="484">
        <v>0.11</v>
      </c>
      <c r="N375" s="4"/>
      <c r="O375" s="107" t="s">
        <v>356</v>
      </c>
      <c r="P375" s="4"/>
      <c r="Q375" s="4"/>
      <c r="R375" s="4"/>
      <c r="S375" s="4"/>
      <c r="T375" s="4"/>
      <c r="U375" s="4"/>
      <c r="V375" s="4"/>
      <c r="W375" s="4"/>
      <c r="X375" s="4"/>
      <c r="Y375" s="4"/>
      <c r="Z375" s="4"/>
    </row>
    <row r="376" spans="1:26" ht="15.75" customHeight="1" x14ac:dyDescent="0.25">
      <c r="A376" s="143"/>
      <c r="B376" s="554"/>
      <c r="C376" s="86" t="s">
        <v>602</v>
      </c>
      <c r="D376" s="86" t="s">
        <v>603</v>
      </c>
      <c r="E376" s="86" t="s">
        <v>221</v>
      </c>
      <c r="F376" s="206">
        <v>909604</v>
      </c>
      <c r="G376" s="86" t="s">
        <v>563</v>
      </c>
      <c r="H376" s="456">
        <v>1036</v>
      </c>
      <c r="I376" s="86" t="s">
        <v>579</v>
      </c>
      <c r="J376" s="608">
        <v>942350</v>
      </c>
      <c r="K376" s="496">
        <v>56002.3</v>
      </c>
      <c r="L376" s="217">
        <v>1.54</v>
      </c>
      <c r="M376" s="484">
        <v>0.154</v>
      </c>
      <c r="N376" s="4"/>
      <c r="O376" s="107" t="s">
        <v>356</v>
      </c>
      <c r="P376" s="4"/>
      <c r="Q376" s="4"/>
      <c r="R376" s="4"/>
      <c r="S376" s="4"/>
      <c r="T376" s="4"/>
      <c r="U376" s="4"/>
      <c r="V376" s="4"/>
      <c r="W376" s="4"/>
      <c r="X376" s="4"/>
      <c r="Y376" s="4"/>
      <c r="Z376" s="4"/>
    </row>
    <row r="377" spans="1:26" ht="15.75" customHeight="1" x14ac:dyDescent="0.25">
      <c r="A377" s="143"/>
      <c r="B377" s="554"/>
      <c r="C377" s="86" t="s">
        <v>604</v>
      </c>
      <c r="D377" s="86" t="s">
        <v>605</v>
      </c>
      <c r="E377" s="86" t="s">
        <v>221</v>
      </c>
      <c r="F377" s="206">
        <v>863731</v>
      </c>
      <c r="G377" s="86" t="s">
        <v>563</v>
      </c>
      <c r="H377" s="456">
        <v>1036</v>
      </c>
      <c r="I377" s="86" t="s">
        <v>578</v>
      </c>
      <c r="J377" s="608">
        <v>894825</v>
      </c>
      <c r="K377" s="496">
        <v>53178.7</v>
      </c>
      <c r="L377" s="217">
        <v>1.73</v>
      </c>
      <c r="M377" s="484">
        <v>0.20899999999999999</v>
      </c>
      <c r="N377" s="4"/>
      <c r="O377" s="107" t="s">
        <v>356</v>
      </c>
      <c r="P377" s="4"/>
      <c r="Q377" s="4"/>
      <c r="R377" s="4"/>
      <c r="S377" s="4"/>
      <c r="T377" s="4"/>
      <c r="U377" s="4"/>
      <c r="V377" s="4"/>
      <c r="W377" s="4"/>
      <c r="X377" s="4"/>
      <c r="Y377" s="4"/>
      <c r="Z377" s="4"/>
    </row>
    <row r="378" spans="1:26" ht="15.75" customHeight="1" x14ac:dyDescent="0.25">
      <c r="A378" s="143"/>
      <c r="B378" s="554"/>
      <c r="C378" s="86" t="s">
        <v>606</v>
      </c>
      <c r="D378" s="86" t="s">
        <v>607</v>
      </c>
      <c r="E378" s="86" t="s">
        <v>221</v>
      </c>
      <c r="F378" s="206">
        <v>5469</v>
      </c>
      <c r="G378" s="86" t="s">
        <v>563</v>
      </c>
      <c r="H378" s="456">
        <v>1036</v>
      </c>
      <c r="I378" s="86" t="s">
        <v>578</v>
      </c>
      <c r="J378" s="608">
        <v>5665.6587829239998</v>
      </c>
      <c r="K378" s="496">
        <v>331.03</v>
      </c>
      <c r="L378" s="609">
        <v>0</v>
      </c>
      <c r="M378" s="484">
        <v>1.9E-2</v>
      </c>
      <c r="N378" s="4"/>
      <c r="O378" s="107" t="s">
        <v>356</v>
      </c>
      <c r="P378" s="4"/>
      <c r="Q378" s="4"/>
      <c r="R378" s="4"/>
      <c r="S378" s="4"/>
      <c r="T378" s="4"/>
      <c r="U378" s="4"/>
      <c r="V378" s="4"/>
      <c r="W378" s="4"/>
      <c r="X378" s="4"/>
      <c r="Y378" s="4"/>
      <c r="Z378" s="4"/>
    </row>
    <row r="379" spans="1:26" ht="15.75" customHeight="1" x14ac:dyDescent="0.25">
      <c r="A379" s="143"/>
      <c r="B379" s="357"/>
      <c r="C379" s="358"/>
      <c r="D379" s="358"/>
      <c r="E379" s="358"/>
      <c r="F379" s="221"/>
      <c r="G379" s="358"/>
      <c r="H379" s="566"/>
      <c r="I379" s="358"/>
      <c r="J379" s="610"/>
      <c r="K379" s="568"/>
      <c r="L379" s="222"/>
      <c r="M379" s="611"/>
      <c r="N379" s="4"/>
      <c r="O379" s="107"/>
      <c r="P379" s="4"/>
      <c r="Q379" s="4"/>
      <c r="R379" s="4"/>
      <c r="S379" s="4"/>
      <c r="T379" s="4"/>
      <c r="U379" s="4"/>
      <c r="V379" s="4"/>
      <c r="W379" s="4"/>
      <c r="X379" s="4"/>
      <c r="Y379" s="4"/>
      <c r="Z379" s="4"/>
    </row>
    <row r="380" spans="1:26" ht="15.75" customHeight="1" x14ac:dyDescent="0.25">
      <c r="A380" s="143"/>
      <c r="B380" s="570" t="s">
        <v>608</v>
      </c>
      <c r="C380" s="122" t="s">
        <v>609</v>
      </c>
      <c r="D380" s="449"/>
      <c r="E380" s="449"/>
      <c r="F380" s="451"/>
      <c r="G380" s="449"/>
      <c r="H380" s="571"/>
      <c r="I380" s="449"/>
      <c r="J380" s="612"/>
      <c r="K380" s="573"/>
      <c r="L380" s="574"/>
      <c r="M380" s="613"/>
      <c r="N380" s="4"/>
      <c r="O380" s="107"/>
      <c r="P380" s="4"/>
      <c r="Q380" s="4"/>
      <c r="R380" s="4"/>
      <c r="S380" s="4"/>
      <c r="T380" s="4"/>
      <c r="U380" s="4"/>
      <c r="V380" s="4"/>
      <c r="W380" s="4"/>
      <c r="X380" s="4"/>
      <c r="Y380" s="4"/>
      <c r="Z380" s="4"/>
    </row>
    <row r="381" spans="1:26" ht="15.75" customHeight="1" x14ac:dyDescent="0.25">
      <c r="A381" s="143"/>
      <c r="B381" s="554"/>
      <c r="C381" s="86" t="s">
        <v>610</v>
      </c>
      <c r="D381" s="86" t="s">
        <v>611</v>
      </c>
      <c r="E381" s="86" t="s">
        <v>237</v>
      </c>
      <c r="F381" s="206">
        <v>313000000</v>
      </c>
      <c r="G381" s="86" t="s">
        <v>563</v>
      </c>
      <c r="H381" s="456">
        <v>1027</v>
      </c>
      <c r="I381" s="86" t="s">
        <v>566</v>
      </c>
      <c r="J381" s="608">
        <v>321451</v>
      </c>
      <c r="K381" s="620">
        <v>18499</v>
      </c>
      <c r="L381" s="621">
        <v>0</v>
      </c>
      <c r="M381" s="491">
        <v>0</v>
      </c>
      <c r="N381" s="4"/>
      <c r="O381" s="107" t="s">
        <v>356</v>
      </c>
      <c r="P381" s="4"/>
      <c r="Q381" s="4"/>
      <c r="R381" s="4"/>
      <c r="S381" s="4"/>
      <c r="T381" s="4"/>
      <c r="U381" s="4"/>
      <c r="V381" s="4"/>
      <c r="W381" s="4"/>
      <c r="X381" s="4"/>
      <c r="Y381" s="4"/>
      <c r="Z381" s="4"/>
    </row>
    <row r="382" spans="1:26" ht="15.75" customHeight="1" x14ac:dyDescent="0.25">
      <c r="A382" s="143"/>
      <c r="B382" s="357"/>
      <c r="C382" s="358"/>
      <c r="D382" s="358"/>
      <c r="E382" s="358"/>
      <c r="F382" s="221"/>
      <c r="G382" s="358"/>
      <c r="H382" s="566"/>
      <c r="I382" s="358"/>
      <c r="J382" s="610"/>
      <c r="K382" s="568"/>
      <c r="L382" s="222"/>
      <c r="M382" s="611"/>
      <c r="N382" s="4"/>
      <c r="O382" s="107"/>
      <c r="P382" s="4"/>
      <c r="Q382" s="4"/>
      <c r="R382" s="4"/>
      <c r="S382" s="4"/>
      <c r="T382" s="4"/>
      <c r="U382" s="4"/>
      <c r="V382" s="4"/>
      <c r="W382" s="4"/>
      <c r="X382" s="4"/>
      <c r="Y382" s="4"/>
      <c r="Z382" s="4"/>
    </row>
    <row r="383" spans="1:26" ht="15.75" customHeight="1" x14ac:dyDescent="0.25">
      <c r="A383" s="143"/>
      <c r="B383" s="570" t="s">
        <v>338</v>
      </c>
      <c r="C383" s="122" t="s">
        <v>339</v>
      </c>
      <c r="D383" s="622"/>
      <c r="E383" s="449"/>
      <c r="F383" s="451"/>
      <c r="G383" s="449"/>
      <c r="H383" s="451"/>
      <c r="I383" s="449"/>
      <c r="J383" s="605"/>
      <c r="K383" s="573"/>
      <c r="L383" s="574"/>
      <c r="M383" s="613"/>
      <c r="N383" s="4"/>
      <c r="O383" s="107"/>
      <c r="P383" s="4"/>
      <c r="Q383" s="4"/>
      <c r="R383" s="4"/>
      <c r="S383" s="4"/>
      <c r="T383" s="4"/>
      <c r="U383" s="4"/>
      <c r="V383" s="4"/>
      <c r="W383" s="4"/>
      <c r="X383" s="4"/>
      <c r="Y383" s="4"/>
      <c r="Z383" s="4"/>
    </row>
    <row r="384" spans="1:26" ht="15.75" customHeight="1" x14ac:dyDescent="0.25">
      <c r="A384" s="143"/>
      <c r="B384" s="554"/>
      <c r="C384" s="86" t="s">
        <v>340</v>
      </c>
      <c r="D384" s="436" t="s">
        <v>341</v>
      </c>
      <c r="E384" s="86" t="s">
        <v>221</v>
      </c>
      <c r="F384" s="206">
        <v>196372000</v>
      </c>
      <c r="G384" s="86" t="s">
        <v>563</v>
      </c>
      <c r="H384" s="206">
        <v>1053</v>
      </c>
      <c r="I384" s="86" t="s">
        <v>578</v>
      </c>
      <c r="J384" s="623">
        <f>Luke!H16</f>
        <v>206779.71599999999</v>
      </c>
      <c r="K384" s="496">
        <f>Luke!H18+Luke!H22+Luke!H26</f>
        <v>20766.034656974934</v>
      </c>
      <c r="L384" s="217">
        <f>Luke!H19+Luke!H23+Luke!H27</f>
        <v>2.4683680780527459</v>
      </c>
      <c r="M384" s="484">
        <f>Luke!H20+Luke!H24+Luke!H28</f>
        <v>0.36341636461681814</v>
      </c>
      <c r="N384" s="4"/>
      <c r="O384" s="107" t="s">
        <v>356</v>
      </c>
      <c r="P384" s="4"/>
      <c r="Q384" s="4"/>
      <c r="R384" s="4"/>
      <c r="S384" s="4"/>
      <c r="T384" s="4"/>
      <c r="U384" s="4"/>
      <c r="V384" s="4"/>
      <c r="W384" s="4"/>
      <c r="X384" s="4"/>
      <c r="Y384" s="4"/>
      <c r="Z384" s="4"/>
    </row>
    <row r="385" spans="1:26" ht="15.75" customHeight="1" x14ac:dyDescent="0.25">
      <c r="A385" s="143"/>
      <c r="B385" s="357"/>
      <c r="C385" s="358"/>
      <c r="D385" s="358"/>
      <c r="E385" s="358"/>
      <c r="F385" s="221"/>
      <c r="G385" s="358"/>
      <c r="H385" s="566"/>
      <c r="I385" s="358"/>
      <c r="J385" s="610"/>
      <c r="K385" s="568"/>
      <c r="L385" s="222"/>
      <c r="M385" s="611"/>
      <c r="N385" s="4"/>
      <c r="O385" s="107"/>
      <c r="P385" s="4"/>
      <c r="Q385" s="4"/>
      <c r="R385" s="4"/>
      <c r="S385" s="4"/>
      <c r="T385" s="4"/>
      <c r="U385" s="4"/>
      <c r="V385" s="4"/>
      <c r="W385" s="4"/>
      <c r="X385" s="4"/>
      <c r="Y385" s="4"/>
      <c r="Z385" s="4"/>
    </row>
    <row r="386" spans="1:26" ht="15.75" customHeight="1" x14ac:dyDescent="0.25">
      <c r="A386" s="143"/>
      <c r="B386" s="570" t="s">
        <v>550</v>
      </c>
      <c r="C386" s="122" t="s">
        <v>551</v>
      </c>
      <c r="D386" s="449"/>
      <c r="E386" s="449"/>
      <c r="F386" s="451"/>
      <c r="G386" s="449"/>
      <c r="H386" s="571"/>
      <c r="I386" s="449"/>
      <c r="J386" s="612"/>
      <c r="K386" s="573"/>
      <c r="L386" s="574"/>
      <c r="M386" s="613"/>
      <c r="N386" s="4"/>
      <c r="O386" s="107"/>
      <c r="P386" s="4"/>
      <c r="Q386" s="4"/>
      <c r="R386" s="4"/>
      <c r="S386" s="4"/>
      <c r="T386" s="4"/>
      <c r="U386" s="4"/>
      <c r="V386" s="4"/>
      <c r="W386" s="4"/>
      <c r="X386" s="4"/>
      <c r="Y386" s="4"/>
      <c r="Z386" s="4"/>
    </row>
    <row r="387" spans="1:26" ht="15.75" customHeight="1" x14ac:dyDescent="0.25">
      <c r="A387" s="143"/>
      <c r="B387" s="554"/>
      <c r="C387" s="86"/>
      <c r="D387" s="86"/>
      <c r="E387" s="86"/>
      <c r="F387" s="206"/>
      <c r="G387" s="86"/>
      <c r="H387" s="456"/>
      <c r="I387" s="86"/>
      <c r="J387" s="608"/>
      <c r="K387" s="496"/>
      <c r="L387" s="217"/>
      <c r="M387" s="484"/>
      <c r="N387" s="4"/>
      <c r="O387" s="107"/>
      <c r="P387" s="4"/>
      <c r="Q387" s="4"/>
      <c r="R387" s="4"/>
      <c r="S387" s="4"/>
      <c r="T387" s="4"/>
      <c r="U387" s="4"/>
      <c r="V387" s="4"/>
      <c r="W387" s="4"/>
      <c r="X387" s="4"/>
      <c r="Y387" s="4"/>
      <c r="Z387" s="4"/>
    </row>
    <row r="388" spans="1:26" ht="15.75" customHeight="1" x14ac:dyDescent="0.25">
      <c r="A388" s="143"/>
      <c r="B388" s="554"/>
      <c r="C388" s="86" t="s">
        <v>552</v>
      </c>
      <c r="D388" s="87" t="s">
        <v>612</v>
      </c>
      <c r="E388" s="621" t="s">
        <v>221</v>
      </c>
      <c r="F388" s="206">
        <f>Severstal!G48*1000</f>
        <v>2258000</v>
      </c>
      <c r="G388" s="436" t="s">
        <v>563</v>
      </c>
      <c r="H388" s="86">
        <v>1.04</v>
      </c>
      <c r="I388" s="86" t="s">
        <v>613</v>
      </c>
      <c r="J388" s="608">
        <v>2348900</v>
      </c>
      <c r="K388" s="496">
        <f>(Severstal!G11+Severstal!G21+Severstal!G31+Severstal!G41)*1.1023</f>
        <v>137248.91622000001</v>
      </c>
      <c r="L388" s="217">
        <f>(Severstal!G12+Severstal!G22+Severstal!G32+Severstal!G42)*1.1023</f>
        <v>2.5904050000000001</v>
      </c>
      <c r="M388" s="484">
        <f>(Severstal!G13+Severstal!G23+Severstal!G33+Severstal!G43)*1.1023</f>
        <v>0.25904050000000001</v>
      </c>
      <c r="N388" s="4"/>
      <c r="O388" s="107" t="s">
        <v>356</v>
      </c>
      <c r="P388" s="4"/>
      <c r="Q388" s="4"/>
      <c r="R388" s="4"/>
      <c r="S388" s="4"/>
      <c r="T388" s="4"/>
      <c r="U388" s="4"/>
      <c r="V388" s="4"/>
      <c r="W388" s="4"/>
      <c r="X388" s="4"/>
      <c r="Y388" s="4"/>
      <c r="Z388" s="4"/>
    </row>
    <row r="389" spans="1:26" ht="15.75" customHeight="1" x14ac:dyDescent="0.25">
      <c r="A389" s="143"/>
      <c r="B389" s="554"/>
      <c r="C389" s="86"/>
      <c r="D389" s="87"/>
      <c r="E389" s="621"/>
      <c r="F389" s="206"/>
      <c r="G389" s="436"/>
      <c r="H389" s="86"/>
      <c r="I389" s="86"/>
      <c r="J389" s="608"/>
      <c r="K389" s="496"/>
      <c r="L389" s="217"/>
      <c r="M389" s="484"/>
      <c r="N389" s="4"/>
      <c r="O389" s="107"/>
      <c r="P389" s="4"/>
      <c r="Q389" s="4"/>
      <c r="R389" s="4"/>
      <c r="S389" s="4"/>
      <c r="T389" s="4"/>
      <c r="U389" s="4"/>
      <c r="V389" s="4"/>
      <c r="W389" s="4"/>
      <c r="X389" s="4"/>
      <c r="Y389" s="4"/>
      <c r="Z389" s="4"/>
    </row>
    <row r="390" spans="1:26" ht="15.75" customHeight="1" x14ac:dyDescent="0.25">
      <c r="A390" s="143"/>
      <c r="B390" s="554"/>
      <c r="C390" s="86" t="s">
        <v>552</v>
      </c>
      <c r="D390" s="87" t="s">
        <v>614</v>
      </c>
      <c r="E390" s="621" t="s">
        <v>615</v>
      </c>
      <c r="F390" s="206">
        <f>Severstal!F48</f>
        <v>46722</v>
      </c>
      <c r="G390" s="436" t="s">
        <v>563</v>
      </c>
      <c r="H390" s="86">
        <v>8.6999999999999994E-2</v>
      </c>
      <c r="I390" s="86" t="s">
        <v>613</v>
      </c>
      <c r="J390" s="608">
        <v>4064843</v>
      </c>
      <c r="K390" s="496">
        <f>(Severstal!F11+Severstal!F21+Severstal!F31+Severstal!F41)*1.1023</f>
        <v>1290944.42533</v>
      </c>
      <c r="L390" s="217">
        <f>(Severstal!F12+Severstal!F22+Severstal!F32+Severstal!F42)*1.1023</f>
        <v>9.9207000000000004E-2</v>
      </c>
      <c r="M390" s="484">
        <f>(Severstal!F13+Severstal!F23+Severstal!F33+Severstal!F43)*1.1023</f>
        <v>0.50705800000000001</v>
      </c>
      <c r="N390" s="4"/>
      <c r="O390" s="107" t="s">
        <v>356</v>
      </c>
      <c r="P390" s="4"/>
      <c r="Q390" s="4"/>
      <c r="R390" s="4"/>
      <c r="S390" s="4"/>
      <c r="T390" s="4"/>
      <c r="U390" s="4"/>
      <c r="V390" s="4"/>
      <c r="W390" s="4"/>
      <c r="X390" s="4"/>
      <c r="Y390" s="4"/>
      <c r="Z390" s="4"/>
    </row>
    <row r="391" spans="1:26" ht="15.75" customHeight="1" x14ac:dyDescent="0.25">
      <c r="A391" s="143"/>
      <c r="B391" s="357"/>
      <c r="C391" s="358"/>
      <c r="D391" s="358"/>
      <c r="E391" s="358"/>
      <c r="F391" s="221"/>
      <c r="G391" s="358"/>
      <c r="H391" s="566"/>
      <c r="I391" s="358"/>
      <c r="J391" s="221"/>
      <c r="K391" s="222"/>
      <c r="L391" s="222"/>
      <c r="M391" s="611"/>
      <c r="N391" s="4"/>
      <c r="O391" s="107"/>
      <c r="P391" s="4"/>
      <c r="Q391" s="4"/>
      <c r="R391" s="4"/>
      <c r="S391" s="4"/>
      <c r="T391" s="4"/>
      <c r="U391" s="4"/>
      <c r="V391" s="4"/>
      <c r="W391" s="4"/>
      <c r="X391" s="4"/>
      <c r="Y391" s="4"/>
      <c r="Z391" s="4"/>
    </row>
    <row r="392" spans="1:26" ht="15.75" customHeight="1" x14ac:dyDescent="0.25">
      <c r="A392" s="143"/>
      <c r="B392" s="554"/>
      <c r="C392" s="86"/>
      <c r="D392" s="86"/>
      <c r="E392" s="86"/>
      <c r="F392" s="206"/>
      <c r="G392" s="86"/>
      <c r="H392" s="206"/>
      <c r="I392" s="86"/>
      <c r="J392" s="206"/>
      <c r="K392" s="217"/>
      <c r="L392" s="217"/>
      <c r="M392" s="484"/>
      <c r="N392" s="4"/>
      <c r="O392" s="107"/>
      <c r="P392" s="4"/>
      <c r="Q392" s="4"/>
      <c r="R392" s="4"/>
      <c r="S392" s="4"/>
      <c r="T392" s="4"/>
      <c r="U392" s="4"/>
      <c r="V392" s="4"/>
      <c r="W392" s="4"/>
      <c r="X392" s="4"/>
      <c r="Y392" s="4"/>
      <c r="Z392" s="4"/>
    </row>
    <row r="393" spans="1:26" ht="15.75" customHeight="1" x14ac:dyDescent="0.25">
      <c r="A393" s="143"/>
      <c r="B393" s="624"/>
      <c r="C393" s="625"/>
      <c r="D393" s="625"/>
      <c r="E393" s="625"/>
      <c r="F393" s="626">
        <f>SUM(F305:F392)</f>
        <v>2218186926.027</v>
      </c>
      <c r="G393" s="625"/>
      <c r="H393" s="627"/>
      <c r="I393" s="625"/>
      <c r="J393" s="627">
        <f t="shared" ref="J393:M393" si="4">SUM(J305:J392)</f>
        <v>25646912.286970925</v>
      </c>
      <c r="K393" s="628">
        <f t="shared" si="4"/>
        <v>2660241.2312450777</v>
      </c>
      <c r="L393" s="628">
        <f t="shared" si="4"/>
        <v>46.118157938978527</v>
      </c>
      <c r="M393" s="629">
        <f t="shared" si="4"/>
        <v>16.41812203366425</v>
      </c>
      <c r="N393" s="4"/>
      <c r="O393" s="107"/>
      <c r="P393" s="4"/>
      <c r="Q393" s="4"/>
      <c r="R393" s="4"/>
      <c r="S393" s="4"/>
      <c r="T393" s="4"/>
      <c r="U393" s="4"/>
      <c r="V393" s="4"/>
      <c r="W393" s="4"/>
      <c r="X393" s="4"/>
      <c r="Y393" s="4"/>
      <c r="Z393" s="4"/>
    </row>
    <row r="394" spans="1:26" ht="15.75" customHeight="1" x14ac:dyDescent="0.25">
      <c r="A394" s="143"/>
      <c r="B394" s="630"/>
      <c r="C394" s="631"/>
      <c r="D394" s="631"/>
      <c r="E394" s="631"/>
      <c r="F394" s="632"/>
      <c r="G394" s="631"/>
      <c r="H394" s="633"/>
      <c r="I394" s="631"/>
      <c r="J394" s="633"/>
      <c r="K394" s="574"/>
      <c r="L394" s="574"/>
      <c r="M394" s="613"/>
      <c r="N394" s="4"/>
      <c r="O394" s="107"/>
      <c r="P394" s="4"/>
      <c r="Q394" s="4"/>
      <c r="R394" s="4"/>
      <c r="S394" s="4"/>
      <c r="T394" s="4"/>
      <c r="U394" s="4"/>
      <c r="V394" s="4"/>
      <c r="W394" s="4"/>
      <c r="X394" s="4"/>
      <c r="Y394" s="4"/>
      <c r="Z394" s="4"/>
    </row>
    <row r="395" spans="1:26" ht="15.75" customHeight="1" x14ac:dyDescent="0.25">
      <c r="A395" s="143"/>
      <c r="B395" s="634"/>
      <c r="C395" s="635"/>
      <c r="D395" s="635"/>
      <c r="E395" s="635"/>
      <c r="F395" s="636" t="s">
        <v>616</v>
      </c>
      <c r="G395" s="635"/>
      <c r="H395" s="636"/>
      <c r="I395" s="635"/>
      <c r="J395" s="636"/>
      <c r="K395" s="637">
        <f>(K393*0.90718474)/1000000</f>
        <v>2.4133302497043454</v>
      </c>
      <c r="L395" s="638">
        <f>(L393*$J$425*0.90718474)/1000000</f>
        <v>1.171455295336233E-3</v>
      </c>
      <c r="M395" s="639">
        <f>(M393*$J$426*0.90718474)/1000000</f>
        <v>3.9469814886254635E-3</v>
      </c>
      <c r="N395" s="4"/>
      <c r="O395" s="107"/>
      <c r="P395" s="4"/>
      <c r="Q395" s="4"/>
      <c r="R395" s="4"/>
      <c r="S395" s="4"/>
      <c r="T395" s="4"/>
      <c r="U395" s="4"/>
      <c r="V395" s="4"/>
      <c r="W395" s="4"/>
      <c r="X395" s="4"/>
      <c r="Y395" s="4"/>
      <c r="Z395" s="4"/>
    </row>
    <row r="396" spans="1:26" ht="15.75" customHeight="1" x14ac:dyDescent="0.25">
      <c r="A396" s="143"/>
      <c r="B396" s="640"/>
      <c r="C396" s="641"/>
      <c r="D396" s="641"/>
      <c r="E396" s="641"/>
      <c r="F396" s="641"/>
      <c r="G396" s="641"/>
      <c r="H396" s="641"/>
      <c r="I396" s="641"/>
      <c r="J396" s="641"/>
      <c r="K396" s="641"/>
      <c r="L396" s="641"/>
      <c r="M396" s="642"/>
      <c r="N396" s="4"/>
      <c r="O396" s="107"/>
      <c r="P396" s="4"/>
      <c r="Q396" s="4"/>
      <c r="R396" s="4"/>
      <c r="S396" s="4"/>
      <c r="T396" s="4"/>
      <c r="U396" s="4"/>
      <c r="V396" s="4"/>
      <c r="W396" s="4"/>
      <c r="X396" s="4"/>
      <c r="Y396" s="4"/>
      <c r="Z396" s="4"/>
    </row>
    <row r="397" spans="1:26" ht="15.75" customHeight="1" x14ac:dyDescent="0.25">
      <c r="A397" s="143"/>
      <c r="B397" s="1"/>
      <c r="C397" s="1"/>
      <c r="D397" s="4"/>
      <c r="E397" s="4"/>
      <c r="F397" s="540"/>
      <c r="G397" s="98"/>
      <c r="H397" s="4"/>
      <c r="I397" s="4"/>
      <c r="J397" s="98"/>
      <c r="K397" s="542"/>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24" customHeight="1" x14ac:dyDescent="0.45">
      <c r="A399" s="4"/>
      <c r="B399" s="643" t="s">
        <v>617</v>
      </c>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643" t="s">
        <v>618</v>
      </c>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348"/>
      <c r="C402" s="349" t="s">
        <v>213</v>
      </c>
      <c r="D402" s="349" t="s">
        <v>619</v>
      </c>
      <c r="E402" s="349" t="s">
        <v>620</v>
      </c>
      <c r="F402" s="349" t="s">
        <v>621</v>
      </c>
      <c r="G402" s="352" t="s">
        <v>622</v>
      </c>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644"/>
      <c r="C403" s="645"/>
      <c r="D403" s="645" t="s">
        <v>189</v>
      </c>
      <c r="E403" s="645" t="s">
        <v>217</v>
      </c>
      <c r="F403" s="645" t="s">
        <v>623</v>
      </c>
      <c r="G403" s="646" t="s">
        <v>624</v>
      </c>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121"/>
      <c r="C404" s="230"/>
      <c r="D404" s="230"/>
      <c r="E404" s="230"/>
      <c r="F404" s="230"/>
      <c r="G404" s="647"/>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648" t="s">
        <v>219</v>
      </c>
      <c r="C405" s="649">
        <f t="shared" ref="C405:D405" si="5">J55+J62</f>
        <v>225613367.01600003</v>
      </c>
      <c r="D405" s="649">
        <f t="shared" si="5"/>
        <v>24088126.86396306</v>
      </c>
      <c r="E405" s="649">
        <f>D405*0.90718474</f>
        <v>21852381.106171343</v>
      </c>
      <c r="F405" s="650">
        <f>E405/1000000</f>
        <v>21.852381106171343</v>
      </c>
      <c r="G405" s="651">
        <f>F405*(12/44)</f>
        <v>5.9597403016830928</v>
      </c>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231"/>
      <c r="C406" s="107"/>
      <c r="D406" s="107"/>
      <c r="E406" s="232"/>
      <c r="F406" s="652"/>
      <c r="G406" s="653"/>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231" t="s">
        <v>220</v>
      </c>
      <c r="C407" s="232">
        <f t="shared" ref="C407:D407" si="6">J287+J243</f>
        <v>2646768.202045762</v>
      </c>
      <c r="D407" s="232">
        <f t="shared" si="6"/>
        <v>214540.42072217981</v>
      </c>
      <c r="E407" s="232">
        <f>D407*0.90718474</f>
        <v>194627.79579234132</v>
      </c>
      <c r="F407" s="652">
        <f>E407/1000000</f>
        <v>0.19462779579234132</v>
      </c>
      <c r="G407" s="653">
        <f>F407*(12/44)</f>
        <v>5.3080307943365809E-2</v>
      </c>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231"/>
      <c r="C408" s="107"/>
      <c r="D408" s="107"/>
      <c r="E408" s="232"/>
      <c r="F408" s="652"/>
      <c r="G408" s="653"/>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231" t="s">
        <v>221</v>
      </c>
      <c r="C409" s="232">
        <f t="shared" ref="C409:D409" si="7">J393</f>
        <v>25646912.286970925</v>
      </c>
      <c r="D409" s="232">
        <f t="shared" si="7"/>
        <v>2660241.2312450777</v>
      </c>
      <c r="E409" s="232">
        <f>D409*0.90718474</f>
        <v>2413330.2497043456</v>
      </c>
      <c r="F409" s="652">
        <f>E409/1000000</f>
        <v>2.4133302497043454</v>
      </c>
      <c r="G409" s="653">
        <f>F409*(12/44)</f>
        <v>0.65818097719209412</v>
      </c>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235"/>
      <c r="C410" s="236"/>
      <c r="D410" s="236"/>
      <c r="E410" s="237"/>
      <c r="F410" s="654"/>
      <c r="G410" s="655"/>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239" t="s">
        <v>222</v>
      </c>
      <c r="C411" s="656"/>
      <c r="D411" s="137">
        <f t="shared" ref="D411:E411" si="8">SUM(D405:D410)</f>
        <v>26962908.515930317</v>
      </c>
      <c r="E411" s="137">
        <f t="shared" si="8"/>
        <v>24460339.151668031</v>
      </c>
      <c r="F411" s="657">
        <f>E411/1000000</f>
        <v>24.46033915166803</v>
      </c>
      <c r="G411" s="658">
        <f>SUM(G405:G410)</f>
        <v>6.6710015868185524</v>
      </c>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140"/>
      <c r="C412" s="141"/>
      <c r="D412" s="141"/>
      <c r="E412" s="141"/>
      <c r="F412" s="141"/>
      <c r="G412" s="142"/>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24" customHeight="1" x14ac:dyDescent="0.45">
      <c r="A417" s="4"/>
      <c r="B417" s="643" t="s">
        <v>625</v>
      </c>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643" t="s">
        <v>618</v>
      </c>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21" customHeight="1" x14ac:dyDescent="0.4">
      <c r="A420" s="4"/>
      <c r="B420" s="261" t="s">
        <v>626</v>
      </c>
      <c r="C420" s="261"/>
      <c r="D420" s="261"/>
      <c r="E420" s="261">
        <v>2011</v>
      </c>
      <c r="F420" s="261"/>
      <c r="G420" s="261"/>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261"/>
      <c r="C421" s="261"/>
      <c r="D421" s="261"/>
      <c r="E421" s="261"/>
      <c r="F421" s="261"/>
      <c r="G421" s="261"/>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659"/>
      <c r="C422" s="660" t="s">
        <v>627</v>
      </c>
      <c r="D422" s="661" t="s">
        <v>628</v>
      </c>
      <c r="E422" s="661" t="s">
        <v>628</v>
      </c>
      <c r="F422" s="660" t="s">
        <v>629</v>
      </c>
      <c r="G422" s="662" t="s">
        <v>628</v>
      </c>
      <c r="H422" s="4"/>
      <c r="I422" s="2146" t="s">
        <v>0</v>
      </c>
      <c r="J422" s="2147"/>
      <c r="K422" s="4"/>
      <c r="L422" s="4"/>
      <c r="M422" s="4"/>
      <c r="N422" s="4"/>
      <c r="O422" s="4"/>
      <c r="P422" s="4"/>
      <c r="Q422" s="4"/>
      <c r="R422" s="4"/>
      <c r="S422" s="4"/>
      <c r="T422" s="4"/>
      <c r="U422" s="4"/>
      <c r="V422" s="4"/>
      <c r="W422" s="4"/>
      <c r="X422" s="4"/>
      <c r="Y422" s="4"/>
      <c r="Z422" s="4"/>
    </row>
    <row r="423" spans="1:26" ht="16.5" customHeight="1" x14ac:dyDescent="0.35">
      <c r="A423" s="4"/>
      <c r="B423" s="663" t="s">
        <v>277</v>
      </c>
      <c r="C423" s="664" t="s">
        <v>630</v>
      </c>
      <c r="D423" s="665" t="s">
        <v>631</v>
      </c>
      <c r="E423" s="665" t="s">
        <v>632</v>
      </c>
      <c r="F423" s="664"/>
      <c r="G423" s="666" t="s">
        <v>633</v>
      </c>
      <c r="H423" s="4"/>
      <c r="I423" s="120"/>
      <c r="J423" s="120"/>
      <c r="K423" s="4"/>
      <c r="L423" s="4"/>
      <c r="M423" s="4"/>
      <c r="N423" s="4"/>
      <c r="O423" s="4"/>
      <c r="P423" s="4"/>
      <c r="Q423" s="4"/>
      <c r="R423" s="4"/>
      <c r="S423" s="4"/>
      <c r="T423" s="4"/>
      <c r="U423" s="4"/>
      <c r="V423" s="4"/>
      <c r="W423" s="4"/>
      <c r="X423" s="4"/>
      <c r="Y423" s="4"/>
      <c r="Z423" s="4"/>
    </row>
    <row r="424" spans="1:26" ht="15.75" customHeight="1" x14ac:dyDescent="0.25">
      <c r="A424" s="4"/>
      <c r="B424" s="667" t="s">
        <v>219</v>
      </c>
      <c r="C424" s="668">
        <f>C405/1000</f>
        <v>225613.36701600003</v>
      </c>
      <c r="D424" s="669">
        <f>L55+L62</f>
        <v>461.60369068234735</v>
      </c>
      <c r="E424" s="245">
        <f t="shared" ref="E424:E427" si="9">D424*0.90718474</f>
        <v>418.75982411470574</v>
      </c>
      <c r="F424" s="232">
        <f t="shared" ref="F424:F427" si="10">$J$425</f>
        <v>28</v>
      </c>
      <c r="G424" s="670">
        <f t="shared" ref="G424:G427" si="11">(E424*F424)/1000000</f>
        <v>1.1725275075211761E-2</v>
      </c>
      <c r="H424" s="4"/>
      <c r="I424" s="124" t="s">
        <v>4</v>
      </c>
      <c r="J424" s="125">
        <f>'Summ GHG Rpt Expanded'!G4</f>
        <v>1</v>
      </c>
      <c r="K424" s="4"/>
      <c r="L424" s="4"/>
      <c r="M424" s="4"/>
      <c r="N424" s="4"/>
      <c r="O424" s="4"/>
      <c r="P424" s="4"/>
      <c r="Q424" s="4"/>
      <c r="R424" s="4"/>
      <c r="S424" s="4"/>
      <c r="T424" s="4"/>
      <c r="U424" s="4"/>
      <c r="V424" s="4"/>
      <c r="W424" s="4"/>
      <c r="X424" s="4"/>
      <c r="Y424" s="4"/>
      <c r="Z424" s="4"/>
    </row>
    <row r="425" spans="1:26" ht="15.75" customHeight="1" x14ac:dyDescent="0.25">
      <c r="A425" s="4"/>
      <c r="B425" s="667" t="s">
        <v>634</v>
      </c>
      <c r="C425" s="668">
        <f>J243/1000</f>
        <v>1804.1313567367617</v>
      </c>
      <c r="D425" s="669">
        <f>L243</f>
        <v>3.6689612981783335</v>
      </c>
      <c r="E425" s="245">
        <f t="shared" si="9"/>
        <v>3.3284257013579741</v>
      </c>
      <c r="F425" s="232">
        <f t="shared" si="10"/>
        <v>28</v>
      </c>
      <c r="G425" s="670">
        <f t="shared" si="11"/>
        <v>9.3195919638023263E-5</v>
      </c>
      <c r="H425" s="4"/>
      <c r="I425" s="124" t="s">
        <v>5</v>
      </c>
      <c r="J425" s="125">
        <f>'Summ GHG Rpt Expanded'!G5</f>
        <v>28</v>
      </c>
      <c r="K425" s="4"/>
      <c r="L425" s="4"/>
      <c r="M425" s="4"/>
      <c r="N425" s="4"/>
      <c r="O425" s="4"/>
      <c r="P425" s="4"/>
      <c r="Q425" s="4"/>
      <c r="R425" s="4"/>
      <c r="S425" s="4"/>
      <c r="T425" s="4"/>
      <c r="U425" s="4"/>
      <c r="V425" s="4"/>
      <c r="W425" s="4"/>
      <c r="X425" s="4"/>
      <c r="Y425" s="4"/>
      <c r="Z425" s="4"/>
    </row>
    <row r="426" spans="1:26" ht="15.75" customHeight="1" x14ac:dyDescent="0.25">
      <c r="A426" s="4"/>
      <c r="B426" s="667" t="s">
        <v>635</v>
      </c>
      <c r="C426" s="668">
        <f>J287/1000</f>
        <v>842.63684530900002</v>
      </c>
      <c r="D426" s="669">
        <f>L287</f>
        <v>1.629046185748185</v>
      </c>
      <c r="E426" s="245">
        <f t="shared" si="9"/>
        <v>1.4778458404659591</v>
      </c>
      <c r="F426" s="232">
        <f t="shared" si="10"/>
        <v>28</v>
      </c>
      <c r="G426" s="670">
        <f t="shared" si="11"/>
        <v>4.1379683533046859E-5</v>
      </c>
      <c r="H426" s="4"/>
      <c r="I426" s="124" t="s">
        <v>6</v>
      </c>
      <c r="J426" s="125">
        <f>'Summ GHG Rpt Expanded'!G6</f>
        <v>265</v>
      </c>
      <c r="K426" s="4"/>
      <c r="L426" s="4"/>
      <c r="M426" s="4"/>
      <c r="N426" s="4"/>
      <c r="O426" s="4"/>
      <c r="P426" s="4"/>
      <c r="Q426" s="4"/>
      <c r="R426" s="4"/>
      <c r="S426" s="4"/>
      <c r="T426" s="4"/>
      <c r="U426" s="4"/>
      <c r="V426" s="4"/>
      <c r="W426" s="4"/>
      <c r="X426" s="4"/>
      <c r="Y426" s="4"/>
      <c r="Z426" s="4"/>
    </row>
    <row r="427" spans="1:26" ht="15.75" customHeight="1" x14ac:dyDescent="0.25">
      <c r="A427" s="4"/>
      <c r="B427" s="667" t="s">
        <v>221</v>
      </c>
      <c r="C427" s="668">
        <f>J393/1000</f>
        <v>25646.912286970924</v>
      </c>
      <c r="D427" s="669">
        <f>L393</f>
        <v>46.118157938978527</v>
      </c>
      <c r="E427" s="245">
        <f t="shared" si="9"/>
        <v>41.837689119151172</v>
      </c>
      <c r="F427" s="232">
        <f t="shared" si="10"/>
        <v>28</v>
      </c>
      <c r="G427" s="670">
        <f t="shared" si="11"/>
        <v>1.171455295336233E-3</v>
      </c>
      <c r="H427" s="4"/>
      <c r="I427" s="124" t="s">
        <v>7</v>
      </c>
      <c r="J427" s="129">
        <f>'Summ GHG Rpt Expanded'!G7</f>
        <v>23500</v>
      </c>
      <c r="K427" s="4"/>
      <c r="L427" s="4"/>
      <c r="M427" s="4"/>
      <c r="N427" s="4"/>
      <c r="O427" s="4"/>
      <c r="P427" s="4"/>
      <c r="Q427" s="4"/>
      <c r="R427" s="4"/>
      <c r="S427" s="4"/>
      <c r="T427" s="4"/>
      <c r="U427" s="4"/>
      <c r="V427" s="4"/>
      <c r="W427" s="4"/>
      <c r="X427" s="4"/>
      <c r="Y427" s="4"/>
      <c r="Z427" s="4"/>
    </row>
    <row r="428" spans="1:26" ht="15.75" customHeight="1" x14ac:dyDescent="0.25">
      <c r="A428" s="4"/>
      <c r="B428" s="671"/>
      <c r="C428" s="672"/>
      <c r="D428" s="673">
        <f>SUM(D424:D427)</f>
        <v>513.0198561052523</v>
      </c>
      <c r="E428" s="672"/>
      <c r="F428" s="674" t="s">
        <v>222</v>
      </c>
      <c r="G428" s="675">
        <f>SUM(G424:G427)</f>
        <v>1.3031305973719064E-2</v>
      </c>
      <c r="H428" s="4"/>
      <c r="I428" s="124" t="s">
        <v>8</v>
      </c>
      <c r="J428" s="129">
        <f>'Summ GHG Rpt Expanded'!G8</f>
        <v>11100</v>
      </c>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24" customHeight="1" x14ac:dyDescent="0.45">
      <c r="A430" s="4"/>
      <c r="B430" s="643" t="s">
        <v>636</v>
      </c>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643" t="s">
        <v>637</v>
      </c>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21" customHeight="1" x14ac:dyDescent="0.4">
      <c r="A432" s="4"/>
      <c r="B432" s="4" t="s">
        <v>638</v>
      </c>
      <c r="C432" s="261"/>
      <c r="D432" s="261"/>
      <c r="E432" s="261">
        <v>2011</v>
      </c>
      <c r="F432" s="261"/>
      <c r="G432" s="261"/>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261"/>
      <c r="D433" s="261"/>
      <c r="E433" s="261"/>
      <c r="F433" s="261"/>
      <c r="G433" s="261"/>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676"/>
      <c r="C434" s="677" t="s">
        <v>627</v>
      </c>
      <c r="D434" s="678" t="s">
        <v>184</v>
      </c>
      <c r="E434" s="678" t="s">
        <v>184</v>
      </c>
      <c r="F434" s="677" t="s">
        <v>629</v>
      </c>
      <c r="G434" s="679" t="s">
        <v>628</v>
      </c>
      <c r="H434" s="4"/>
      <c r="I434" s="4"/>
      <c r="J434" s="4"/>
      <c r="K434" s="4"/>
      <c r="L434" s="4"/>
      <c r="M434" s="4"/>
      <c r="N434" s="4"/>
      <c r="O434" s="4"/>
      <c r="P434" s="4"/>
      <c r="Q434" s="4"/>
      <c r="R434" s="4"/>
      <c r="S434" s="4"/>
      <c r="T434" s="4"/>
      <c r="U434" s="4"/>
      <c r="V434" s="4"/>
      <c r="W434" s="4"/>
      <c r="X434" s="4"/>
      <c r="Y434" s="4"/>
      <c r="Z434" s="4"/>
    </row>
    <row r="435" spans="1:26" ht="16.5" customHeight="1" x14ac:dyDescent="0.35">
      <c r="A435" s="4"/>
      <c r="B435" s="680" t="s">
        <v>277</v>
      </c>
      <c r="C435" s="681" t="s">
        <v>630</v>
      </c>
      <c r="D435" s="682" t="s">
        <v>639</v>
      </c>
      <c r="E435" s="682" t="s">
        <v>640</v>
      </c>
      <c r="F435" s="681"/>
      <c r="G435" s="683" t="s">
        <v>641</v>
      </c>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231" t="s">
        <v>219</v>
      </c>
      <c r="C436" s="668">
        <f t="shared" ref="C436:C439" si="12">C424</f>
        <v>225613.36701600003</v>
      </c>
      <c r="D436" s="684">
        <f>M55+M62</f>
        <v>266.80721122700658</v>
      </c>
      <c r="E436" s="245">
        <f t="shared" ref="E436:E439" si="13">D436*0.90718474</f>
        <v>242.04343054709705</v>
      </c>
      <c r="F436" s="232">
        <f t="shared" ref="F436:F439" si="14">$J$426</f>
        <v>265</v>
      </c>
      <c r="G436" s="685">
        <f t="shared" ref="G436:G439" si="15">E436*F436/1000000</f>
        <v>6.4141509094980717E-2</v>
      </c>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231" t="s">
        <v>634</v>
      </c>
      <c r="C437" s="668">
        <f t="shared" si="12"/>
        <v>1804.1313567367617</v>
      </c>
      <c r="D437" s="684">
        <f>M243</f>
        <v>3.5683588965733426</v>
      </c>
      <c r="E437" s="245">
        <f t="shared" si="13"/>
        <v>3.237160737814575</v>
      </c>
      <c r="F437" s="232">
        <f t="shared" si="14"/>
        <v>265</v>
      </c>
      <c r="G437" s="685">
        <f t="shared" si="15"/>
        <v>8.5784759552086235E-4</v>
      </c>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231" t="s">
        <v>635</v>
      </c>
      <c r="C438" s="668">
        <f t="shared" si="12"/>
        <v>842.63684530900002</v>
      </c>
      <c r="D438" s="684">
        <f>M287</f>
        <v>1.1718190251999789</v>
      </c>
      <c r="E438" s="245">
        <f t="shared" si="13"/>
        <v>1.0630563377030964</v>
      </c>
      <c r="F438" s="232">
        <f t="shared" si="14"/>
        <v>265</v>
      </c>
      <c r="G438" s="685">
        <f t="shared" si="15"/>
        <v>2.8170992949132055E-4</v>
      </c>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231" t="s">
        <v>221</v>
      </c>
      <c r="C439" s="668">
        <f t="shared" si="12"/>
        <v>25646.912286970924</v>
      </c>
      <c r="D439" s="684">
        <f>M393</f>
        <v>16.41812203366425</v>
      </c>
      <c r="E439" s="245">
        <f t="shared" si="13"/>
        <v>14.894269768397974</v>
      </c>
      <c r="F439" s="232">
        <f t="shared" si="14"/>
        <v>265</v>
      </c>
      <c r="G439" s="685">
        <f t="shared" si="15"/>
        <v>3.9469814886254635E-3</v>
      </c>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686"/>
      <c r="C440" s="672"/>
      <c r="D440" s="672"/>
      <c r="E440" s="672"/>
      <c r="F440" s="674" t="s">
        <v>222</v>
      </c>
      <c r="G440" s="687">
        <f>SUM(G436:G439)</f>
        <v>6.9228048108618365E-2</v>
      </c>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261"/>
      <c r="D441" s="261"/>
      <c r="E441" s="261"/>
      <c r="F441" s="42"/>
      <c r="G441" s="688"/>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643" t="s">
        <v>642</v>
      </c>
      <c r="C443" s="261"/>
      <c r="D443" s="261"/>
      <c r="E443" s="261"/>
      <c r="F443" s="42"/>
      <c r="G443" s="688"/>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643" t="s">
        <v>637</v>
      </c>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t="s">
        <v>643</v>
      </c>
      <c r="C445" s="261"/>
      <c r="D445" s="261"/>
      <c r="E445" s="261">
        <v>2011</v>
      </c>
      <c r="F445" s="261"/>
      <c r="G445" s="261"/>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689"/>
      <c r="C447" s="690"/>
      <c r="D447" s="691" t="s">
        <v>628</v>
      </c>
      <c r="E447" s="692" t="s">
        <v>628</v>
      </c>
      <c r="F447" s="692" t="s">
        <v>628</v>
      </c>
      <c r="G447" s="693" t="s">
        <v>628</v>
      </c>
      <c r="H447" s="4"/>
      <c r="I447" s="4"/>
      <c r="J447" s="4"/>
      <c r="K447" s="4"/>
      <c r="L447" s="4"/>
      <c r="M447" s="4"/>
      <c r="N447" s="4"/>
      <c r="O447" s="4"/>
      <c r="P447" s="4"/>
      <c r="Q447" s="4"/>
      <c r="R447" s="4"/>
      <c r="S447" s="4"/>
      <c r="T447" s="4"/>
      <c r="U447" s="4"/>
      <c r="V447" s="4"/>
      <c r="W447" s="4"/>
      <c r="X447" s="4"/>
      <c r="Y447" s="4"/>
      <c r="Z447" s="4"/>
    </row>
    <row r="448" spans="1:26" ht="16.5" customHeight="1" x14ac:dyDescent="0.35">
      <c r="A448" s="4"/>
      <c r="B448" s="554"/>
      <c r="C448" s="694" t="s">
        <v>627</v>
      </c>
      <c r="D448" s="695" t="s">
        <v>644</v>
      </c>
      <c r="E448" s="696" t="s">
        <v>645</v>
      </c>
      <c r="F448" s="696" t="s">
        <v>646</v>
      </c>
      <c r="G448" s="697" t="s">
        <v>222</v>
      </c>
      <c r="H448" s="4"/>
      <c r="I448" s="4"/>
      <c r="J448" s="4"/>
      <c r="K448" s="4"/>
      <c r="L448" s="4"/>
      <c r="M448" s="4"/>
      <c r="N448" s="4"/>
      <c r="O448" s="4"/>
      <c r="P448" s="4"/>
      <c r="Q448" s="4"/>
      <c r="R448" s="4"/>
      <c r="S448" s="4"/>
      <c r="T448" s="4"/>
      <c r="U448" s="4"/>
      <c r="V448" s="4"/>
      <c r="W448" s="4"/>
      <c r="X448" s="4"/>
      <c r="Y448" s="4"/>
      <c r="Z448" s="4"/>
    </row>
    <row r="449" spans="1:26" ht="16.5" customHeight="1" x14ac:dyDescent="0.35">
      <c r="A449" s="4"/>
      <c r="B449" s="698" t="s">
        <v>277</v>
      </c>
      <c r="C449" s="699" t="s">
        <v>630</v>
      </c>
      <c r="D449" s="695" t="s">
        <v>647</v>
      </c>
      <c r="E449" s="696" t="s">
        <v>648</v>
      </c>
      <c r="F449" s="696" t="s">
        <v>649</v>
      </c>
      <c r="G449" s="697" t="s">
        <v>650</v>
      </c>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231" t="s">
        <v>219</v>
      </c>
      <c r="C450" s="700">
        <f t="shared" ref="C450:C453" si="16">C436</f>
        <v>225613.36701600003</v>
      </c>
      <c r="D450" s="701">
        <f>D405*0.90718474/1000000</f>
        <v>21.852381106171343</v>
      </c>
      <c r="E450" s="701">
        <f t="shared" ref="E450:E453" si="17">G436</f>
        <v>6.4141509094980717E-2</v>
      </c>
      <c r="F450" s="701">
        <f t="shared" ref="F450:F453" si="18">G424</f>
        <v>1.1725275075211761E-2</v>
      </c>
      <c r="G450" s="702">
        <f t="shared" ref="G450:G453" si="19">D450+E450+F450</f>
        <v>21.928247890341535</v>
      </c>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231" t="s">
        <v>634</v>
      </c>
      <c r="C451" s="668">
        <f t="shared" si="16"/>
        <v>1804.1313567367617</v>
      </c>
      <c r="D451" s="703">
        <f>(K243*0.90718474)/1000000</f>
        <v>0.13522355827553242</v>
      </c>
      <c r="E451" s="703">
        <f t="shared" si="17"/>
        <v>8.5784759552086235E-4</v>
      </c>
      <c r="F451" s="703">
        <f t="shared" si="18"/>
        <v>9.3195919638023263E-5</v>
      </c>
      <c r="G451" s="704">
        <f t="shared" si="19"/>
        <v>0.1361746017906913</v>
      </c>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231" t="s">
        <v>635</v>
      </c>
      <c r="C452" s="668">
        <f t="shared" si="16"/>
        <v>842.63684530900002</v>
      </c>
      <c r="D452" s="703">
        <f>(K287*0.90718474)/1000000</f>
        <v>5.9404237516808879E-2</v>
      </c>
      <c r="E452" s="703">
        <f t="shared" si="17"/>
        <v>2.8170992949132055E-4</v>
      </c>
      <c r="F452" s="703">
        <f t="shared" si="18"/>
        <v>4.1379683533046859E-5</v>
      </c>
      <c r="G452" s="704">
        <f t="shared" si="19"/>
        <v>5.9727327129833245E-2</v>
      </c>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231" t="s">
        <v>221</v>
      </c>
      <c r="C453" s="668">
        <f t="shared" si="16"/>
        <v>25646.912286970924</v>
      </c>
      <c r="D453" s="703">
        <f>(K393*0.90718474)/1000000</f>
        <v>2.4133302497043454</v>
      </c>
      <c r="E453" s="703">
        <f t="shared" si="17"/>
        <v>3.9469814886254635E-3</v>
      </c>
      <c r="F453" s="703">
        <f t="shared" si="18"/>
        <v>1.171455295336233E-3</v>
      </c>
      <c r="G453" s="704">
        <f t="shared" si="19"/>
        <v>2.4184486864883072</v>
      </c>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686"/>
      <c r="C454" s="705"/>
      <c r="D454" s="706">
        <f t="shared" ref="D454:F454" si="20">SUM(D450:D453)</f>
        <v>24.46033915166803</v>
      </c>
      <c r="E454" s="706">
        <f t="shared" si="20"/>
        <v>6.9228048108618365E-2</v>
      </c>
      <c r="F454" s="706">
        <f t="shared" si="20"/>
        <v>1.3031305973719064E-2</v>
      </c>
      <c r="G454" s="707">
        <f>SUM(D454:F454)</f>
        <v>24.542598505750369</v>
      </c>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WPX3pTKr7/+1A3B/sZAznoN6zm9+RtS8KW0DA7CR3aShaiE016kTvGK+FEecLNNlS2jah8anHSNbsEDn5tO/dw==" saltValue="XIYP+dZNyUJIJ/Q0Q7ULqg==" spinCount="100000" sheet="1" objects="1" scenarios="1"/>
  <mergeCells count="2">
    <mergeCell ref="H293:I293"/>
    <mergeCell ref="I422:J422"/>
  </mergeCell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6.83203125" defaultRowHeight="15" customHeight="1" x14ac:dyDescent="0.2"/>
  <cols>
    <col min="1" max="1" width="3.83203125" customWidth="1"/>
    <col min="2" max="2" width="14.33203125" customWidth="1"/>
    <col min="3" max="3" width="34.5" customWidth="1"/>
    <col min="4" max="4" width="30.5" customWidth="1"/>
    <col min="5" max="5" width="13.5" customWidth="1"/>
    <col min="6" max="6" width="15.6640625" customWidth="1"/>
    <col min="7" max="7" width="13.5" customWidth="1"/>
    <col min="8" max="8" width="12.33203125" customWidth="1"/>
    <col min="9" max="9" width="18" customWidth="1"/>
    <col min="10" max="10" width="17.6640625" customWidth="1"/>
    <col min="11" max="11" width="21.33203125" customWidth="1"/>
    <col min="12" max="12" width="19.1640625" customWidth="1"/>
    <col min="13" max="13" width="19.33203125" customWidth="1"/>
    <col min="14" max="14" width="12.1640625" customWidth="1"/>
    <col min="15" max="15" width="11.5" customWidth="1"/>
    <col min="16" max="26" width="8" customWidth="1"/>
  </cols>
  <sheetData>
    <row r="1" spans="1:26" x14ac:dyDescent="0.25">
      <c r="A1" s="4"/>
      <c r="B1" s="4"/>
      <c r="C1" s="4" t="s">
        <v>268</v>
      </c>
      <c r="D1" s="4"/>
      <c r="E1" s="4"/>
      <c r="F1" s="4"/>
      <c r="G1" s="4"/>
      <c r="H1" s="4"/>
      <c r="I1" s="4"/>
      <c r="J1" s="4"/>
      <c r="K1" s="4"/>
      <c r="L1" s="4"/>
      <c r="M1" s="4"/>
      <c r="N1" s="4"/>
      <c r="O1" s="4"/>
      <c r="P1" s="4"/>
      <c r="Q1" s="4"/>
      <c r="R1" s="4"/>
      <c r="S1" s="4"/>
      <c r="T1" s="4"/>
      <c r="U1" s="4"/>
      <c r="V1" s="4"/>
      <c r="W1" s="4"/>
      <c r="X1" s="4"/>
      <c r="Y1" s="4"/>
      <c r="Z1" s="4"/>
    </row>
    <row r="2" spans="1:26" x14ac:dyDescent="0.25">
      <c r="A2" s="4"/>
      <c r="B2" s="4"/>
      <c r="C2" s="4"/>
      <c r="D2" s="4"/>
      <c r="E2" s="4"/>
      <c r="F2" s="4"/>
      <c r="G2" s="4"/>
      <c r="H2" s="4"/>
      <c r="I2" s="4"/>
      <c r="J2" s="39"/>
      <c r="K2" s="39"/>
      <c r="L2" s="39"/>
      <c r="M2" s="39"/>
      <c r="N2" s="4"/>
      <c r="O2" s="4"/>
      <c r="P2" s="4"/>
      <c r="Q2" s="4"/>
      <c r="R2" s="4"/>
      <c r="S2" s="4"/>
      <c r="T2" s="4"/>
      <c r="U2" s="4"/>
      <c r="V2" s="4"/>
      <c r="W2" s="4"/>
      <c r="X2" s="4"/>
      <c r="Y2" s="4"/>
      <c r="Z2" s="4"/>
    </row>
    <row r="3" spans="1:26" x14ac:dyDescent="0.25">
      <c r="A3" s="4"/>
      <c r="B3" s="708" t="s">
        <v>274</v>
      </c>
      <c r="C3" s="708" t="s">
        <v>275</v>
      </c>
      <c r="D3" s="708" t="s">
        <v>276</v>
      </c>
      <c r="E3" s="708" t="s">
        <v>277</v>
      </c>
      <c r="F3" s="708" t="s">
        <v>278</v>
      </c>
      <c r="G3" s="708" t="s">
        <v>278</v>
      </c>
      <c r="H3" s="708" t="s">
        <v>651</v>
      </c>
      <c r="I3" s="708" t="s">
        <v>652</v>
      </c>
      <c r="J3" s="709" t="s">
        <v>653</v>
      </c>
      <c r="K3" s="708" t="s">
        <v>654</v>
      </c>
      <c r="L3" s="708" t="s">
        <v>655</v>
      </c>
      <c r="M3" s="708" t="s">
        <v>656</v>
      </c>
      <c r="N3" s="4"/>
      <c r="O3" s="4"/>
      <c r="P3" s="4"/>
      <c r="Q3" s="4"/>
      <c r="R3" s="4"/>
      <c r="S3" s="4"/>
      <c r="T3" s="4"/>
      <c r="U3" s="4"/>
      <c r="V3" s="4"/>
      <c r="W3" s="4"/>
      <c r="X3" s="4"/>
      <c r="Y3" s="4"/>
      <c r="Z3" s="4"/>
    </row>
    <row r="4" spans="1:26" x14ac:dyDescent="0.25">
      <c r="A4" s="4"/>
      <c r="B4" s="89"/>
      <c r="C4" s="89"/>
      <c r="D4" s="89"/>
      <c r="E4" s="89"/>
      <c r="F4" s="89"/>
      <c r="G4" s="89" t="s">
        <v>657</v>
      </c>
      <c r="H4" s="89" t="s">
        <v>658</v>
      </c>
      <c r="I4" s="89" t="s">
        <v>659</v>
      </c>
      <c r="J4" s="89" t="s">
        <v>288</v>
      </c>
      <c r="K4" s="89" t="s">
        <v>243</v>
      </c>
      <c r="L4" s="89" t="s">
        <v>243</v>
      </c>
      <c r="M4" s="89" t="s">
        <v>243</v>
      </c>
      <c r="N4" s="4"/>
      <c r="O4" s="4"/>
      <c r="P4" s="4"/>
      <c r="Q4" s="4"/>
      <c r="R4" s="4"/>
      <c r="S4" s="4"/>
      <c r="T4" s="4"/>
      <c r="U4" s="4"/>
      <c r="V4" s="4"/>
      <c r="W4" s="4"/>
      <c r="X4" s="4"/>
      <c r="Y4" s="4"/>
      <c r="Z4" s="4"/>
    </row>
    <row r="5" spans="1:26" x14ac:dyDescent="0.25">
      <c r="A5" s="4"/>
      <c r="B5" s="95"/>
      <c r="C5" s="95"/>
      <c r="D5" s="95"/>
      <c r="E5" s="95"/>
      <c r="F5" s="95"/>
      <c r="G5" s="95"/>
      <c r="H5" s="95"/>
      <c r="I5" s="95"/>
      <c r="J5" s="95"/>
      <c r="K5" s="710"/>
      <c r="L5" s="95"/>
      <c r="M5" s="95"/>
      <c r="N5" s="4"/>
      <c r="O5" s="4"/>
      <c r="P5" s="4"/>
      <c r="Q5" s="4"/>
      <c r="R5" s="4"/>
      <c r="S5" s="4"/>
      <c r="T5" s="4"/>
      <c r="U5" s="4"/>
      <c r="V5" s="4"/>
      <c r="W5" s="4"/>
      <c r="X5" s="4"/>
      <c r="Y5" s="4"/>
      <c r="Z5" s="4"/>
    </row>
    <row r="6" spans="1:26" x14ac:dyDescent="0.25">
      <c r="A6" s="4"/>
      <c r="B6" s="45" t="s">
        <v>289</v>
      </c>
      <c r="C6" s="46" t="s">
        <v>290</v>
      </c>
      <c r="D6" s="45"/>
      <c r="E6" s="45"/>
      <c r="F6" s="363"/>
      <c r="G6" s="45"/>
      <c r="H6" s="45"/>
      <c r="I6" s="45"/>
      <c r="J6" s="711"/>
      <c r="K6" s="438"/>
      <c r="L6" s="45"/>
      <c r="M6" s="45"/>
      <c r="N6" s="4"/>
      <c r="O6" s="4"/>
      <c r="P6" s="4"/>
      <c r="Q6" s="4"/>
      <c r="R6" s="4"/>
      <c r="S6" s="4"/>
      <c r="T6" s="4"/>
      <c r="U6" s="4"/>
      <c r="V6" s="4"/>
      <c r="W6" s="4"/>
      <c r="X6" s="4"/>
      <c r="Y6" s="4"/>
      <c r="Z6" s="4"/>
    </row>
    <row r="7" spans="1:26" x14ac:dyDescent="0.25">
      <c r="A7" s="4"/>
      <c r="B7" s="54"/>
      <c r="C7" s="367" t="s">
        <v>291</v>
      </c>
      <c r="D7" s="367" t="s">
        <v>292</v>
      </c>
      <c r="E7" s="367" t="s">
        <v>219</v>
      </c>
      <c r="F7" s="368">
        <v>711214</v>
      </c>
      <c r="G7" s="367" t="s">
        <v>293</v>
      </c>
      <c r="H7" s="63">
        <v>11080</v>
      </c>
      <c r="I7" s="367" t="s">
        <v>294</v>
      </c>
      <c r="J7" s="194">
        <v>15857480</v>
      </c>
      <c r="K7" s="194">
        <f t="shared" ref="K7:K8" si="0">J7/($J$7+$J$8)*K$9</f>
        <v>1624579.0892771983</v>
      </c>
      <c r="L7" s="370">
        <f t="shared" ref="L7:L8" si="1">J7/($J$7+$J$8)*L$9</f>
        <v>192.13746850227773</v>
      </c>
      <c r="M7" s="370">
        <f t="shared" ref="M7:M8" si="2">J7/($J$7+$J$8)*M$9</f>
        <v>27.95199068628779</v>
      </c>
      <c r="N7" s="4"/>
      <c r="O7" s="4"/>
      <c r="P7" s="4"/>
      <c r="Q7" s="4"/>
      <c r="R7" s="4"/>
      <c r="S7" s="4"/>
      <c r="T7" s="4"/>
      <c r="U7" s="4"/>
      <c r="V7" s="4"/>
      <c r="W7" s="4"/>
      <c r="X7" s="4"/>
      <c r="Y7" s="4"/>
      <c r="Z7" s="4"/>
    </row>
    <row r="8" spans="1:26" x14ac:dyDescent="0.25">
      <c r="A8" s="4"/>
      <c r="B8" s="54"/>
      <c r="C8" s="367" t="s">
        <v>291</v>
      </c>
      <c r="D8" s="367" t="s">
        <v>292</v>
      </c>
      <c r="E8" s="367" t="s">
        <v>353</v>
      </c>
      <c r="F8" s="368">
        <v>113500</v>
      </c>
      <c r="G8" s="367" t="s">
        <v>354</v>
      </c>
      <c r="H8" s="63">
        <v>140000</v>
      </c>
      <c r="I8" s="367" t="s">
        <v>355</v>
      </c>
      <c r="J8" s="712">
        <f>(F8*H8)/1000000</f>
        <v>15890</v>
      </c>
      <c r="K8" s="194">
        <f t="shared" si="0"/>
        <v>1627.9107228017742</v>
      </c>
      <c r="L8" s="370">
        <f t="shared" si="1"/>
        <v>0.19253149772228581</v>
      </c>
      <c r="M8" s="370">
        <f t="shared" si="2"/>
        <v>2.8009313712211079E-2</v>
      </c>
      <c r="N8" s="4"/>
      <c r="O8" s="4"/>
      <c r="P8" s="4"/>
      <c r="Q8" s="4"/>
      <c r="R8" s="4"/>
      <c r="S8" s="4"/>
      <c r="T8" s="4"/>
      <c r="U8" s="4"/>
      <c r="V8" s="4"/>
      <c r="W8" s="4"/>
      <c r="X8" s="4"/>
      <c r="Y8" s="4"/>
      <c r="Z8" s="4"/>
    </row>
    <row r="9" spans="1:26" x14ac:dyDescent="0.25">
      <c r="A9" s="4"/>
      <c r="B9" s="54"/>
      <c r="C9" s="54"/>
      <c r="D9" s="421"/>
      <c r="E9" s="54"/>
      <c r="F9" s="372"/>
      <c r="G9" s="54"/>
      <c r="H9" s="53"/>
      <c r="I9" s="54"/>
      <c r="J9" s="713">
        <f>SUM(J7:J8)</f>
        <v>15873370</v>
      </c>
      <c r="K9" s="714">
        <v>1626207</v>
      </c>
      <c r="L9" s="375">
        <v>192.33</v>
      </c>
      <c r="M9" s="375">
        <v>27.98</v>
      </c>
      <c r="N9" s="4"/>
      <c r="O9" s="4"/>
      <c r="P9" s="4"/>
      <c r="Q9" s="4"/>
      <c r="R9" s="4"/>
      <c r="S9" s="4"/>
      <c r="T9" s="4"/>
      <c r="U9" s="4"/>
      <c r="V9" s="4"/>
      <c r="W9" s="4"/>
      <c r="X9" s="4"/>
      <c r="Y9" s="4"/>
      <c r="Z9" s="4"/>
    </row>
    <row r="10" spans="1:26" x14ac:dyDescent="0.25">
      <c r="A10" s="4"/>
      <c r="B10" s="54"/>
      <c r="C10" s="54" t="s">
        <v>357</v>
      </c>
      <c r="D10" s="54" t="s">
        <v>358</v>
      </c>
      <c r="E10" s="54" t="s">
        <v>353</v>
      </c>
      <c r="F10" s="372">
        <v>665</v>
      </c>
      <c r="G10" s="54" t="s">
        <v>354</v>
      </c>
      <c r="H10" s="53">
        <v>140000</v>
      </c>
      <c r="I10" s="54" t="s">
        <v>355</v>
      </c>
      <c r="J10" s="715">
        <f t="shared" ref="J10:J11" si="3">(F10*H10)/1000000</f>
        <v>93.1</v>
      </c>
      <c r="K10" s="392">
        <v>7.48</v>
      </c>
      <c r="L10" s="379">
        <v>0</v>
      </c>
      <c r="M10" s="379">
        <v>0</v>
      </c>
      <c r="N10" s="4"/>
      <c r="O10" s="4"/>
      <c r="P10" s="4"/>
      <c r="Q10" s="4"/>
      <c r="R10" s="4"/>
      <c r="S10" s="4"/>
      <c r="T10" s="4"/>
      <c r="U10" s="4"/>
      <c r="V10" s="4"/>
      <c r="W10" s="4"/>
      <c r="X10" s="4"/>
      <c r="Y10" s="4"/>
      <c r="Z10" s="4"/>
    </row>
    <row r="11" spans="1:26" x14ac:dyDescent="0.25">
      <c r="A11" s="4"/>
      <c r="B11" s="68"/>
      <c r="C11" s="68" t="s">
        <v>561</v>
      </c>
      <c r="D11" s="68" t="s">
        <v>562</v>
      </c>
      <c r="E11" s="68" t="s">
        <v>221</v>
      </c>
      <c r="F11" s="406">
        <v>2767100</v>
      </c>
      <c r="G11" s="68" t="s">
        <v>563</v>
      </c>
      <c r="H11" s="202">
        <v>1020</v>
      </c>
      <c r="I11" s="68" t="s">
        <v>564</v>
      </c>
      <c r="J11" s="716">
        <f t="shared" si="3"/>
        <v>2822.442</v>
      </c>
      <c r="K11" s="400">
        <v>166.25</v>
      </c>
      <c r="L11" s="717">
        <v>0</v>
      </c>
      <c r="M11" s="717">
        <v>0</v>
      </c>
      <c r="N11" s="4"/>
      <c r="O11" s="4"/>
      <c r="P11" s="4"/>
      <c r="Q11" s="4"/>
      <c r="R11" s="4"/>
      <c r="S11" s="4"/>
      <c r="T11" s="4"/>
      <c r="U11" s="4"/>
      <c r="V11" s="4"/>
      <c r="W11" s="4"/>
      <c r="X11" s="4"/>
      <c r="Y11" s="4"/>
      <c r="Z11" s="4"/>
    </row>
    <row r="12" spans="1:26" x14ac:dyDescent="0.25">
      <c r="A12" s="4"/>
      <c r="B12" s="83"/>
      <c r="C12" s="83"/>
      <c r="D12" s="83"/>
      <c r="E12" s="83"/>
      <c r="F12" s="718"/>
      <c r="G12" s="83"/>
      <c r="H12" s="718"/>
      <c r="I12" s="83"/>
      <c r="J12" s="718"/>
      <c r="K12" s="719"/>
      <c r="L12" s="720"/>
      <c r="M12" s="720"/>
      <c r="N12" s="4"/>
      <c r="O12" s="4"/>
      <c r="P12" s="4"/>
      <c r="Q12" s="4"/>
      <c r="R12" s="4"/>
      <c r="S12" s="4"/>
      <c r="T12" s="4"/>
      <c r="U12" s="4"/>
      <c r="V12" s="4"/>
      <c r="W12" s="4"/>
      <c r="X12" s="4"/>
      <c r="Y12" s="4"/>
      <c r="Z12" s="4"/>
    </row>
    <row r="13" spans="1:26" x14ac:dyDescent="0.25">
      <c r="A13" s="4"/>
      <c r="B13" s="45" t="s">
        <v>295</v>
      </c>
      <c r="C13" s="46" t="s">
        <v>296</v>
      </c>
      <c r="D13" s="45"/>
      <c r="E13" s="45"/>
      <c r="F13" s="363"/>
      <c r="G13" s="45"/>
      <c r="H13" s="363"/>
      <c r="I13" s="45"/>
      <c r="J13" s="711"/>
      <c r="K13" s="438"/>
      <c r="L13" s="384"/>
      <c r="M13" s="384"/>
      <c r="N13" s="4"/>
      <c r="O13" s="4"/>
      <c r="P13" s="4"/>
      <c r="Q13" s="4"/>
      <c r="R13" s="4"/>
      <c r="S13" s="4"/>
      <c r="T13" s="4"/>
      <c r="U13" s="4"/>
      <c r="V13" s="4"/>
      <c r="W13" s="4"/>
      <c r="X13" s="4"/>
      <c r="Y13" s="4"/>
      <c r="Z13" s="4"/>
    </row>
    <row r="14" spans="1:26" x14ac:dyDescent="0.25">
      <c r="A14" s="4"/>
      <c r="B14" s="54"/>
      <c r="C14" s="51"/>
      <c r="D14" s="54"/>
      <c r="E14" s="54"/>
      <c r="F14" s="53"/>
      <c r="G14" s="54"/>
      <c r="H14" s="53"/>
      <c r="I14" s="54"/>
      <c r="J14" s="721"/>
      <c r="K14" s="372"/>
      <c r="L14" s="392"/>
      <c r="M14" s="392"/>
      <c r="N14" s="4"/>
      <c r="O14" s="4"/>
      <c r="P14" s="4"/>
      <c r="Q14" s="4"/>
      <c r="R14" s="4"/>
      <c r="S14" s="4"/>
      <c r="T14" s="4"/>
      <c r="U14" s="4"/>
      <c r="V14" s="4"/>
      <c r="W14" s="4"/>
      <c r="X14" s="4"/>
      <c r="Y14" s="4"/>
      <c r="Z14" s="4"/>
    </row>
    <row r="15" spans="1:26" x14ac:dyDescent="0.25">
      <c r="A15" s="4"/>
      <c r="B15" s="54"/>
      <c r="C15" s="51" t="s">
        <v>660</v>
      </c>
      <c r="D15" s="54" t="s">
        <v>661</v>
      </c>
      <c r="E15" s="54"/>
      <c r="F15" s="53"/>
      <c r="G15" s="54"/>
      <c r="H15" s="53"/>
      <c r="I15" s="54"/>
      <c r="J15" s="721"/>
      <c r="K15" s="405"/>
      <c r="L15" s="392"/>
      <c r="M15" s="379"/>
      <c r="N15" s="4"/>
      <c r="O15" s="4"/>
      <c r="P15" s="4"/>
      <c r="Q15" s="4"/>
      <c r="R15" s="4"/>
      <c r="S15" s="4"/>
      <c r="T15" s="4"/>
      <c r="U15" s="4"/>
      <c r="V15" s="4"/>
      <c r="W15" s="4"/>
      <c r="X15" s="4"/>
      <c r="Y15" s="4"/>
      <c r="Z15" s="4"/>
    </row>
    <row r="16" spans="1:26" x14ac:dyDescent="0.25">
      <c r="A16" s="4"/>
      <c r="B16" s="54"/>
      <c r="C16" s="367" t="s">
        <v>297</v>
      </c>
      <c r="D16" s="386" t="s">
        <v>298</v>
      </c>
      <c r="E16" s="367" t="s">
        <v>359</v>
      </c>
      <c r="F16" s="368">
        <v>1080</v>
      </c>
      <c r="G16" s="367" t="s">
        <v>662</v>
      </c>
      <c r="H16" s="63">
        <v>139</v>
      </c>
      <c r="I16" s="367" t="s">
        <v>360</v>
      </c>
      <c r="J16" s="194">
        <f>(F16*H16)/1000</f>
        <v>150.12</v>
      </c>
      <c r="K16" s="388">
        <f>(+J16/(J16+J17))*K18</f>
        <v>17.680268317647489</v>
      </c>
      <c r="L16" s="389">
        <f>(J16/(J16+J17))*L18</f>
        <v>1.3260544686342993E-4</v>
      </c>
      <c r="M16" s="389">
        <f>(J16/(J16+J17))*M18</f>
        <v>9.9719296041299302E-5</v>
      </c>
      <c r="N16" s="4"/>
      <c r="O16" s="4"/>
      <c r="P16" s="4"/>
      <c r="Q16" s="4"/>
      <c r="R16" s="4"/>
      <c r="S16" s="4"/>
      <c r="T16" s="4"/>
      <c r="U16" s="4"/>
      <c r="V16" s="4"/>
      <c r="W16" s="4"/>
      <c r="X16" s="4"/>
      <c r="Y16" s="4"/>
      <c r="Z16" s="4"/>
    </row>
    <row r="17" spans="1:26" x14ac:dyDescent="0.25">
      <c r="A17" s="4"/>
      <c r="B17" s="54"/>
      <c r="C17" s="367"/>
      <c r="D17" s="386" t="s">
        <v>298</v>
      </c>
      <c r="E17" s="367" t="s">
        <v>299</v>
      </c>
      <c r="F17" s="368">
        <v>1246119</v>
      </c>
      <c r="G17" s="367" t="s">
        <v>293</v>
      </c>
      <c r="H17" s="63">
        <v>11356</v>
      </c>
      <c r="I17" s="367" t="s">
        <v>294</v>
      </c>
      <c r="J17" s="194">
        <f>(F17*H17*2000)/1000000</f>
        <v>28301854.728</v>
      </c>
      <c r="K17" s="388">
        <f>(+J17/(J16+J17))*K18</f>
        <v>3333229.3197316821</v>
      </c>
      <c r="L17" s="722">
        <f t="shared" ref="L17:M17" si="4">(J17/(J16+J17))*L18</f>
        <v>24.999867394553135</v>
      </c>
      <c r="M17" s="722">
        <f t="shared" si="4"/>
        <v>18.799900280703959</v>
      </c>
      <c r="N17" s="4"/>
      <c r="O17" s="4"/>
      <c r="P17" s="4"/>
      <c r="Q17" s="4"/>
      <c r="R17" s="4"/>
      <c r="S17" s="4"/>
      <c r="T17" s="4"/>
      <c r="U17" s="4"/>
      <c r="V17" s="4"/>
      <c r="W17" s="4"/>
      <c r="X17" s="4"/>
      <c r="Y17" s="4"/>
      <c r="Z17" s="4"/>
    </row>
    <row r="18" spans="1:26" x14ac:dyDescent="0.25">
      <c r="A18" s="4"/>
      <c r="B18" s="54"/>
      <c r="C18" s="54"/>
      <c r="D18" s="77"/>
      <c r="E18" s="54"/>
      <c r="F18" s="53"/>
      <c r="G18" s="54"/>
      <c r="H18" s="53"/>
      <c r="I18" s="54"/>
      <c r="J18" s="723">
        <v>32487813</v>
      </c>
      <c r="K18" s="724">
        <v>3333247</v>
      </c>
      <c r="L18" s="725">
        <v>25</v>
      </c>
      <c r="M18" s="725">
        <v>18.8</v>
      </c>
      <c r="N18" s="4"/>
      <c r="O18" s="4"/>
      <c r="P18" s="4"/>
      <c r="Q18" s="4"/>
      <c r="R18" s="4"/>
      <c r="S18" s="4"/>
      <c r="T18" s="4"/>
      <c r="U18" s="4"/>
      <c r="V18" s="4"/>
      <c r="W18" s="4"/>
      <c r="X18" s="4"/>
      <c r="Y18" s="4"/>
      <c r="Z18" s="4"/>
    </row>
    <row r="19" spans="1:26" x14ac:dyDescent="0.25">
      <c r="A19" s="4"/>
      <c r="B19" s="54"/>
      <c r="C19" s="367" t="s">
        <v>301</v>
      </c>
      <c r="D19" s="386" t="s">
        <v>302</v>
      </c>
      <c r="E19" s="367" t="s">
        <v>359</v>
      </c>
      <c r="F19" s="368">
        <v>1284</v>
      </c>
      <c r="G19" s="367" t="s">
        <v>354</v>
      </c>
      <c r="H19" s="63">
        <v>139</v>
      </c>
      <c r="I19" s="367" t="s">
        <v>360</v>
      </c>
      <c r="J19" s="194">
        <f>(F19*H19)/1000</f>
        <v>178.476</v>
      </c>
      <c r="K19" s="374">
        <f t="shared" ref="K19:K20" si="5">(J19/(J$20+J$19))*K$21</f>
        <v>18.523037689018818</v>
      </c>
      <c r="L19" s="394">
        <f t="shared" ref="L19:L20" si="6">(J19/(J$19+J$20))*L$21</f>
        <v>1.5769468121567734E-4</v>
      </c>
      <c r="M19" s="394">
        <f t="shared" ref="M19:M20" si="7">(J19/(J$19+J$20))*M$21</f>
        <v>1.1869492134513349E-4</v>
      </c>
      <c r="N19" s="4"/>
      <c r="O19" s="98"/>
      <c r="P19" s="4"/>
      <c r="Q19" s="4"/>
      <c r="R19" s="4"/>
      <c r="S19" s="4"/>
      <c r="T19" s="4"/>
      <c r="U19" s="4"/>
      <c r="V19" s="4"/>
      <c r="W19" s="4"/>
      <c r="X19" s="4"/>
      <c r="Y19" s="4"/>
      <c r="Z19" s="4"/>
    </row>
    <row r="20" spans="1:26" x14ac:dyDescent="0.25">
      <c r="A20" s="4"/>
      <c r="B20" s="54"/>
      <c r="C20" s="367"/>
      <c r="D20" s="386" t="s">
        <v>302</v>
      </c>
      <c r="E20" s="367" t="s">
        <v>299</v>
      </c>
      <c r="F20" s="368">
        <v>1390302</v>
      </c>
      <c r="G20" s="367" t="s">
        <v>293</v>
      </c>
      <c r="H20" s="63">
        <v>11356</v>
      </c>
      <c r="I20" s="367" t="s">
        <v>294</v>
      </c>
      <c r="J20" s="194">
        <f>(F20*H20*2000)/1000000</f>
        <v>31576539.024</v>
      </c>
      <c r="K20" s="374">
        <f t="shared" si="5"/>
        <v>3277154.4769623112</v>
      </c>
      <c r="L20" s="394">
        <f t="shared" si="6"/>
        <v>27.899842305318785</v>
      </c>
      <c r="M20" s="394">
        <f t="shared" si="7"/>
        <v>20.999881305078656</v>
      </c>
      <c r="N20" s="4"/>
      <c r="O20" s="4"/>
      <c r="P20" s="4"/>
      <c r="Q20" s="4"/>
      <c r="R20" s="4"/>
      <c r="S20" s="4"/>
      <c r="T20" s="4"/>
      <c r="U20" s="4"/>
      <c r="V20" s="4"/>
      <c r="W20" s="4"/>
      <c r="X20" s="4"/>
      <c r="Y20" s="4"/>
      <c r="Z20" s="4"/>
    </row>
    <row r="21" spans="1:26" ht="15.75" customHeight="1" x14ac:dyDescent="0.25">
      <c r="A21" s="4"/>
      <c r="B21" s="68"/>
      <c r="C21" s="68"/>
      <c r="D21" s="397"/>
      <c r="E21" s="68"/>
      <c r="F21" s="202"/>
      <c r="G21" s="68"/>
      <c r="H21" s="202"/>
      <c r="I21" s="68"/>
      <c r="J21" s="726">
        <v>31941293</v>
      </c>
      <c r="K21" s="727">
        <v>3277173</v>
      </c>
      <c r="L21" s="728">
        <v>27.9</v>
      </c>
      <c r="M21" s="728">
        <v>21</v>
      </c>
      <c r="N21" s="4"/>
      <c r="O21" s="4"/>
      <c r="P21" s="4"/>
      <c r="Q21" s="4"/>
      <c r="R21" s="4"/>
      <c r="S21" s="4"/>
      <c r="T21" s="4"/>
      <c r="U21" s="4"/>
      <c r="V21" s="4"/>
      <c r="W21" s="4"/>
      <c r="X21" s="4"/>
      <c r="Y21" s="4"/>
      <c r="Z21" s="4"/>
    </row>
    <row r="22" spans="1:26" ht="15.75" customHeight="1" x14ac:dyDescent="0.25">
      <c r="A22" s="4"/>
      <c r="B22" s="83"/>
      <c r="C22" s="83"/>
      <c r="D22" s="729"/>
      <c r="E22" s="83"/>
      <c r="F22" s="718"/>
      <c r="G22" s="83"/>
      <c r="H22" s="718"/>
      <c r="I22" s="83"/>
      <c r="J22" s="83"/>
      <c r="K22" s="719"/>
      <c r="L22" s="720"/>
      <c r="M22" s="720"/>
      <c r="N22" s="4"/>
      <c r="O22" s="4"/>
      <c r="P22" s="4"/>
      <c r="Q22" s="4"/>
      <c r="R22" s="4"/>
      <c r="S22" s="4"/>
      <c r="T22" s="4"/>
      <c r="U22" s="4"/>
      <c r="V22" s="4"/>
      <c r="W22" s="4"/>
      <c r="X22" s="4"/>
      <c r="Y22" s="4"/>
      <c r="Z22" s="4"/>
    </row>
    <row r="23" spans="1:26" ht="15.75" customHeight="1" x14ac:dyDescent="0.25">
      <c r="A23" s="4"/>
      <c r="B23" s="45" t="s">
        <v>303</v>
      </c>
      <c r="C23" s="46" t="s">
        <v>304</v>
      </c>
      <c r="D23" s="50"/>
      <c r="E23" s="45"/>
      <c r="F23" s="363"/>
      <c r="G23" s="45"/>
      <c r="H23" s="363"/>
      <c r="I23" s="45"/>
      <c r="J23" s="711"/>
      <c r="K23" s="438"/>
      <c r="L23" s="384"/>
      <c r="M23" s="384"/>
      <c r="N23" s="4"/>
      <c r="O23" s="4"/>
      <c r="P23" s="4"/>
      <c r="Q23" s="4"/>
      <c r="R23" s="4"/>
      <c r="S23" s="4"/>
      <c r="T23" s="4"/>
      <c r="U23" s="4"/>
      <c r="V23" s="4"/>
      <c r="W23" s="4"/>
      <c r="X23" s="4"/>
      <c r="Y23" s="4"/>
      <c r="Z23" s="4"/>
    </row>
    <row r="24" spans="1:26" ht="15.75" customHeight="1" x14ac:dyDescent="0.25">
      <c r="A24" s="4"/>
      <c r="B24" s="54"/>
      <c r="C24" s="367" t="s">
        <v>305</v>
      </c>
      <c r="D24" s="386" t="s">
        <v>306</v>
      </c>
      <c r="E24" s="367" t="s">
        <v>565</v>
      </c>
      <c r="F24" s="368">
        <v>75000000</v>
      </c>
      <c r="G24" s="367" t="s">
        <v>563</v>
      </c>
      <c r="H24" s="63">
        <v>1020</v>
      </c>
      <c r="I24" s="367" t="s">
        <v>566</v>
      </c>
      <c r="J24" s="194">
        <f>(F24*H24)/1000000</f>
        <v>76500</v>
      </c>
      <c r="K24" s="194">
        <f>(+J24/J26)*K26</f>
        <v>8023.2708769110341</v>
      </c>
      <c r="L24" s="370">
        <f>(+J24/J26)*L26</f>
        <v>2.1450042791546466E-2</v>
      </c>
      <c r="M24" s="370">
        <f>(+J24/J26)*M26</f>
        <v>0.18322488165166143</v>
      </c>
      <c r="N24" s="4"/>
      <c r="O24" s="4"/>
      <c r="P24" s="4"/>
      <c r="Q24" s="4"/>
      <c r="R24" s="4"/>
      <c r="S24" s="4"/>
      <c r="T24" s="4"/>
      <c r="U24" s="4"/>
      <c r="V24" s="4"/>
      <c r="W24" s="4"/>
      <c r="X24" s="4"/>
      <c r="Y24" s="4"/>
      <c r="Z24" s="4"/>
    </row>
    <row r="25" spans="1:26" ht="15.75" customHeight="1" x14ac:dyDescent="0.25">
      <c r="A25" s="4"/>
      <c r="B25" s="54"/>
      <c r="C25" s="367"/>
      <c r="D25" s="386" t="s">
        <v>306</v>
      </c>
      <c r="E25" s="367" t="s">
        <v>299</v>
      </c>
      <c r="F25" s="368">
        <v>292475</v>
      </c>
      <c r="G25" s="367" t="s">
        <v>293</v>
      </c>
      <c r="H25" s="63">
        <v>11356</v>
      </c>
      <c r="I25" s="367" t="s">
        <v>294</v>
      </c>
      <c r="J25" s="194">
        <f>J26-J24</f>
        <v>5451461</v>
      </c>
      <c r="K25" s="194">
        <f>(+J25/J26)*K26</f>
        <v>571745.729123089</v>
      </c>
      <c r="L25" s="370">
        <f>(+J25/J26)*L26</f>
        <v>1.5285499572084535</v>
      </c>
      <c r="M25" s="370">
        <f>(+J25/J26)*M26</f>
        <v>13.056775118348337</v>
      </c>
      <c r="N25" s="4"/>
      <c r="O25" s="4"/>
      <c r="P25" s="4"/>
      <c r="Q25" s="4"/>
      <c r="R25" s="4"/>
      <c r="S25" s="4"/>
      <c r="T25" s="4"/>
      <c r="U25" s="4"/>
      <c r="V25" s="4"/>
      <c r="W25" s="4"/>
      <c r="X25" s="4"/>
      <c r="Y25" s="4"/>
      <c r="Z25" s="4"/>
    </row>
    <row r="26" spans="1:26" ht="15.75" customHeight="1" x14ac:dyDescent="0.25">
      <c r="A26" s="4"/>
      <c r="B26" s="54"/>
      <c r="C26" s="54"/>
      <c r="D26" s="77"/>
      <c r="E26" s="54"/>
      <c r="F26" s="53"/>
      <c r="G26" s="54"/>
      <c r="H26" s="53"/>
      <c r="I26" s="54"/>
      <c r="J26" s="730">
        <v>5527961</v>
      </c>
      <c r="K26" s="724">
        <v>579769</v>
      </c>
      <c r="L26" s="731">
        <v>1.55</v>
      </c>
      <c r="M26" s="731">
        <v>13.24</v>
      </c>
      <c r="N26" s="4"/>
      <c r="O26" s="4"/>
      <c r="P26" s="4"/>
      <c r="Q26" s="4"/>
      <c r="R26" s="4"/>
      <c r="S26" s="4"/>
      <c r="T26" s="4"/>
      <c r="U26" s="4"/>
      <c r="V26" s="4"/>
      <c r="W26" s="4"/>
      <c r="X26" s="4"/>
      <c r="Y26" s="4"/>
      <c r="Z26" s="4"/>
    </row>
    <row r="27" spans="1:26" ht="15.75" customHeight="1" x14ac:dyDescent="0.25">
      <c r="A27" s="4"/>
      <c r="B27" s="54"/>
      <c r="C27" s="367" t="s">
        <v>307</v>
      </c>
      <c r="D27" s="386" t="s">
        <v>308</v>
      </c>
      <c r="E27" s="367" t="s">
        <v>565</v>
      </c>
      <c r="F27" s="368">
        <v>60000000</v>
      </c>
      <c r="G27" s="367" t="s">
        <v>563</v>
      </c>
      <c r="H27" s="63">
        <v>1020</v>
      </c>
      <c r="I27" s="367" t="s">
        <v>566</v>
      </c>
      <c r="J27" s="194">
        <f>(F27*H27)/1000000</f>
        <v>61200</v>
      </c>
      <c r="K27" s="194">
        <f>(+J27/J29)*K29</f>
        <v>6418.6666143325938</v>
      </c>
      <c r="L27" s="370">
        <f>(+J27/J29)*L29</f>
        <v>1.501333727527079E-2</v>
      </c>
      <c r="M27" s="370">
        <f>(+J27/J29)*M29</f>
        <v>0.12979272225072813</v>
      </c>
      <c r="N27" s="4"/>
      <c r="O27" s="4"/>
      <c r="P27" s="4"/>
      <c r="Q27" s="4"/>
      <c r="R27" s="4"/>
      <c r="S27" s="4"/>
      <c r="T27" s="4"/>
      <c r="U27" s="4"/>
      <c r="V27" s="4"/>
      <c r="W27" s="4"/>
      <c r="X27" s="4"/>
      <c r="Y27" s="4"/>
      <c r="Z27" s="4"/>
    </row>
    <row r="28" spans="1:26" ht="15.75" customHeight="1" x14ac:dyDescent="0.25">
      <c r="A28" s="4"/>
      <c r="B28" s="54"/>
      <c r="C28" s="367"/>
      <c r="D28" s="386" t="s">
        <v>308</v>
      </c>
      <c r="E28" s="367" t="s">
        <v>299</v>
      </c>
      <c r="F28" s="368">
        <v>296297</v>
      </c>
      <c r="G28" s="367" t="s">
        <v>293</v>
      </c>
      <c r="H28" s="63">
        <v>11356</v>
      </c>
      <c r="I28" s="367" t="s">
        <v>294</v>
      </c>
      <c r="J28" s="194">
        <f>J29-J27</f>
        <v>6257182</v>
      </c>
      <c r="K28" s="194">
        <f>(+J28/J29)*K29</f>
        <v>656254.33338566741</v>
      </c>
      <c r="L28" s="370">
        <f>(+J28/J29)*L29</f>
        <v>1.5349866627247293</v>
      </c>
      <c r="M28" s="370">
        <f>(+J28/J29)*M29</f>
        <v>13.270207277749272</v>
      </c>
      <c r="N28" s="4"/>
      <c r="O28" s="4"/>
      <c r="P28" s="4"/>
      <c r="Q28" s="4"/>
      <c r="R28" s="4"/>
      <c r="S28" s="4"/>
      <c r="T28" s="4"/>
      <c r="U28" s="4"/>
      <c r="V28" s="4"/>
      <c r="W28" s="4"/>
      <c r="X28" s="4"/>
      <c r="Y28" s="4"/>
      <c r="Z28" s="4"/>
    </row>
    <row r="29" spans="1:26" ht="15.75" customHeight="1" x14ac:dyDescent="0.25">
      <c r="A29" s="4"/>
      <c r="B29" s="54"/>
      <c r="C29" s="54"/>
      <c r="D29" s="77"/>
      <c r="E29" s="54"/>
      <c r="F29" s="53"/>
      <c r="G29" s="54"/>
      <c r="H29" s="53"/>
      <c r="I29" s="54"/>
      <c r="J29" s="730">
        <v>6318382</v>
      </c>
      <c r="K29" s="724">
        <v>662673</v>
      </c>
      <c r="L29" s="731">
        <v>1.55</v>
      </c>
      <c r="M29" s="731">
        <v>13.4</v>
      </c>
      <c r="N29" s="4"/>
      <c r="O29" s="4"/>
      <c r="P29" s="4"/>
      <c r="Q29" s="4"/>
      <c r="R29" s="4"/>
      <c r="S29" s="4"/>
      <c r="T29" s="4"/>
      <c r="U29" s="4"/>
      <c r="V29" s="4"/>
      <c r="W29" s="4"/>
      <c r="X29" s="4"/>
      <c r="Y29" s="4"/>
      <c r="Z29" s="4"/>
    </row>
    <row r="30" spans="1:26" ht="15.75" customHeight="1" x14ac:dyDescent="0.25">
      <c r="A30" s="4"/>
      <c r="B30" s="54"/>
      <c r="C30" s="54"/>
      <c r="D30" s="77"/>
      <c r="E30" s="54"/>
      <c r="F30" s="53"/>
      <c r="G30" s="54"/>
      <c r="H30" s="53"/>
      <c r="I30" s="54"/>
      <c r="J30" s="730"/>
      <c r="K30" s="714"/>
      <c r="L30" s="375"/>
      <c r="M30" s="375"/>
      <c r="N30" s="4"/>
      <c r="O30" s="4"/>
      <c r="P30" s="4"/>
      <c r="Q30" s="4"/>
      <c r="R30" s="4"/>
      <c r="S30" s="4"/>
      <c r="T30" s="4"/>
      <c r="U30" s="4"/>
      <c r="V30" s="4"/>
      <c r="W30" s="4"/>
      <c r="X30" s="4"/>
      <c r="Y30" s="4"/>
      <c r="Z30" s="4"/>
    </row>
    <row r="31" spans="1:26" ht="15.75" customHeight="1" x14ac:dyDescent="0.25">
      <c r="A31" s="4"/>
      <c r="B31" s="54"/>
      <c r="C31" s="54" t="s">
        <v>361</v>
      </c>
      <c r="D31" s="77" t="s">
        <v>362</v>
      </c>
      <c r="E31" s="54" t="s">
        <v>359</v>
      </c>
      <c r="F31" s="372">
        <v>121000</v>
      </c>
      <c r="G31" s="54" t="s">
        <v>354</v>
      </c>
      <c r="H31" s="53">
        <v>139</v>
      </c>
      <c r="I31" s="54" t="s">
        <v>360</v>
      </c>
      <c r="J31" s="730">
        <f>(F31*H31)/1000</f>
        <v>16819</v>
      </c>
      <c r="K31" s="714">
        <v>1320</v>
      </c>
      <c r="L31" s="403">
        <v>1.2999999999999999E-2</v>
      </c>
      <c r="M31" s="375">
        <v>1.6E-2</v>
      </c>
      <c r="N31" s="4"/>
      <c r="O31" s="4"/>
      <c r="P31" s="4"/>
      <c r="Q31" s="4"/>
      <c r="R31" s="4"/>
      <c r="S31" s="4"/>
      <c r="T31" s="4"/>
      <c r="U31" s="4"/>
      <c r="V31" s="4"/>
      <c r="W31" s="4"/>
      <c r="X31" s="4"/>
      <c r="Y31" s="4"/>
      <c r="Z31" s="4"/>
    </row>
    <row r="32" spans="1:26" ht="15.75" customHeight="1" x14ac:dyDescent="0.25">
      <c r="A32" s="4"/>
      <c r="B32" s="54"/>
      <c r="C32" s="54"/>
      <c r="D32" s="77"/>
      <c r="E32" s="54"/>
      <c r="F32" s="53"/>
      <c r="G32" s="54"/>
      <c r="H32" s="53"/>
      <c r="I32" s="54"/>
      <c r="J32" s="732"/>
      <c r="K32" s="372"/>
      <c r="L32" s="405"/>
      <c r="M32" s="392"/>
      <c r="N32" s="4"/>
      <c r="O32" s="4"/>
      <c r="P32" s="4"/>
      <c r="Q32" s="4"/>
      <c r="R32" s="4"/>
      <c r="S32" s="4"/>
      <c r="T32" s="4"/>
      <c r="U32" s="4"/>
      <c r="V32" s="4"/>
      <c r="W32" s="4"/>
      <c r="X32" s="4"/>
      <c r="Y32" s="4"/>
      <c r="Z32" s="4"/>
    </row>
    <row r="33" spans="1:26" ht="15.75" customHeight="1" x14ac:dyDescent="0.25">
      <c r="A33" s="4"/>
      <c r="B33" s="54"/>
      <c r="C33" s="54" t="s">
        <v>363</v>
      </c>
      <c r="D33" s="77" t="s">
        <v>364</v>
      </c>
      <c r="E33" s="54" t="s">
        <v>359</v>
      </c>
      <c r="F33" s="372">
        <v>15000</v>
      </c>
      <c r="G33" s="54" t="s">
        <v>354</v>
      </c>
      <c r="H33" s="53">
        <v>139</v>
      </c>
      <c r="I33" s="54" t="s">
        <v>360</v>
      </c>
      <c r="J33" s="730">
        <f>(F33*H33)/1000</f>
        <v>2085</v>
      </c>
      <c r="K33" s="714">
        <v>164</v>
      </c>
      <c r="L33" s="403">
        <v>2E-3</v>
      </c>
      <c r="M33" s="375">
        <v>2E-3</v>
      </c>
      <c r="N33" s="4"/>
      <c r="O33" s="4"/>
      <c r="P33" s="4"/>
      <c r="Q33" s="4"/>
      <c r="R33" s="4"/>
      <c r="S33" s="4"/>
      <c r="T33" s="4"/>
      <c r="U33" s="4"/>
      <c r="V33" s="4"/>
      <c r="W33" s="4"/>
      <c r="X33" s="4"/>
      <c r="Y33" s="4"/>
      <c r="Z33" s="4"/>
    </row>
    <row r="34" spans="1:26" ht="15.75" customHeight="1" x14ac:dyDescent="0.25">
      <c r="A34" s="4"/>
      <c r="B34" s="54"/>
      <c r="C34" s="54"/>
      <c r="D34" s="77"/>
      <c r="E34" s="54"/>
      <c r="F34" s="372"/>
      <c r="G34" s="54"/>
      <c r="H34" s="53"/>
      <c r="I34" s="54"/>
      <c r="J34" s="732"/>
      <c r="K34" s="372"/>
      <c r="L34" s="405"/>
      <c r="M34" s="392"/>
      <c r="N34" s="4"/>
      <c r="O34" s="4"/>
      <c r="P34" s="4"/>
      <c r="Q34" s="4"/>
      <c r="R34" s="4"/>
      <c r="S34" s="4"/>
      <c r="T34" s="4"/>
      <c r="U34" s="4"/>
      <c r="V34" s="4"/>
      <c r="W34" s="4"/>
      <c r="X34" s="4"/>
      <c r="Y34" s="4"/>
      <c r="Z34" s="4"/>
    </row>
    <row r="35" spans="1:26" ht="15.75" customHeight="1" x14ac:dyDescent="0.25">
      <c r="A35" s="4"/>
      <c r="B35" s="68"/>
      <c r="C35" s="68" t="s">
        <v>365</v>
      </c>
      <c r="D35" s="397" t="s">
        <v>366</v>
      </c>
      <c r="E35" s="68" t="s">
        <v>359</v>
      </c>
      <c r="F35" s="406">
        <v>89000</v>
      </c>
      <c r="G35" s="68" t="s">
        <v>354</v>
      </c>
      <c r="H35" s="202">
        <v>139</v>
      </c>
      <c r="I35" s="68" t="s">
        <v>360</v>
      </c>
      <c r="J35" s="733">
        <f>(F35*H35)/1000</f>
        <v>12371</v>
      </c>
      <c r="K35" s="734">
        <v>968</v>
      </c>
      <c r="L35" s="408">
        <v>0.01</v>
      </c>
      <c r="M35" s="735">
        <v>1.2E-2</v>
      </c>
      <c r="N35" s="4"/>
      <c r="O35" s="4"/>
      <c r="P35" s="4"/>
      <c r="Q35" s="4"/>
      <c r="R35" s="4"/>
      <c r="S35" s="4"/>
      <c r="T35" s="4"/>
      <c r="U35" s="4"/>
      <c r="V35" s="4"/>
      <c r="W35" s="4"/>
      <c r="X35" s="4"/>
      <c r="Y35" s="4"/>
      <c r="Z35" s="4"/>
    </row>
    <row r="36" spans="1:26" ht="15.75" customHeight="1" x14ac:dyDescent="0.25">
      <c r="A36" s="4"/>
      <c r="B36" s="83"/>
      <c r="C36" s="83"/>
      <c r="D36" s="83"/>
      <c r="E36" s="83"/>
      <c r="F36" s="718"/>
      <c r="G36" s="83"/>
      <c r="H36" s="718"/>
      <c r="I36" s="83"/>
      <c r="J36" s="718"/>
      <c r="K36" s="719"/>
      <c r="L36" s="720"/>
      <c r="M36" s="720"/>
      <c r="N36" s="4"/>
      <c r="O36" s="4"/>
      <c r="P36" s="4"/>
      <c r="Q36" s="4"/>
      <c r="R36" s="4"/>
      <c r="S36" s="4"/>
      <c r="T36" s="4"/>
      <c r="U36" s="4"/>
      <c r="V36" s="4"/>
      <c r="W36" s="4"/>
      <c r="X36" s="4"/>
      <c r="Y36" s="4"/>
      <c r="Z36" s="4"/>
    </row>
    <row r="37" spans="1:26" ht="15.75" customHeight="1" x14ac:dyDescent="0.25">
      <c r="A37" s="4"/>
      <c r="B37" s="45" t="s">
        <v>309</v>
      </c>
      <c r="C37" s="46" t="s">
        <v>310</v>
      </c>
      <c r="D37" s="45"/>
      <c r="E37" s="45"/>
      <c r="F37" s="363"/>
      <c r="G37" s="45"/>
      <c r="H37" s="363"/>
      <c r="I37" s="45"/>
      <c r="J37" s="492"/>
      <c r="K37" s="438"/>
      <c r="L37" s="384"/>
      <c r="M37" s="384"/>
      <c r="N37" s="4"/>
      <c r="O37" s="4"/>
      <c r="P37" s="4"/>
      <c r="Q37" s="4"/>
      <c r="R37" s="4"/>
      <c r="S37" s="4"/>
      <c r="T37" s="4"/>
      <c r="U37" s="4"/>
      <c r="V37" s="4"/>
      <c r="W37" s="4"/>
      <c r="X37" s="4"/>
      <c r="Y37" s="4"/>
      <c r="Z37" s="4"/>
    </row>
    <row r="38" spans="1:26" ht="15.75" customHeight="1" x14ac:dyDescent="0.25">
      <c r="A38" s="4"/>
      <c r="B38" s="54"/>
      <c r="C38" s="54"/>
      <c r="D38" s="54"/>
      <c r="E38" s="54"/>
      <c r="F38" s="53"/>
      <c r="G38" s="54"/>
      <c r="H38" s="53"/>
      <c r="I38" s="54"/>
      <c r="J38" s="732"/>
      <c r="K38" s="372"/>
      <c r="L38" s="392"/>
      <c r="M38" s="392"/>
      <c r="N38" s="4"/>
      <c r="O38" s="4"/>
      <c r="P38" s="4"/>
      <c r="Q38" s="4"/>
      <c r="R38" s="4"/>
      <c r="S38" s="4"/>
      <c r="T38" s="4"/>
      <c r="U38" s="4"/>
      <c r="V38" s="4"/>
      <c r="W38" s="4"/>
      <c r="X38" s="4"/>
      <c r="Y38" s="4"/>
      <c r="Z38" s="4"/>
    </row>
    <row r="39" spans="1:26" ht="15.75" customHeight="1" x14ac:dyDescent="0.25">
      <c r="A39" s="4"/>
      <c r="B39" s="54"/>
      <c r="C39" s="367" t="s">
        <v>311</v>
      </c>
      <c r="D39" s="386" t="s">
        <v>298</v>
      </c>
      <c r="E39" s="367" t="s">
        <v>219</v>
      </c>
      <c r="F39" s="368">
        <v>575093</v>
      </c>
      <c r="G39" s="367" t="s">
        <v>293</v>
      </c>
      <c r="H39" s="63">
        <v>12971</v>
      </c>
      <c r="I39" s="367" t="s">
        <v>312</v>
      </c>
      <c r="J39" s="194">
        <f>(F39*H39*2000)/1000000</f>
        <v>14919062.606000001</v>
      </c>
      <c r="K39" s="374">
        <f t="shared" ref="K39:K41" si="8">(J39/(J$39+J$40+J$41))*K$42</f>
        <v>1609435.734807441</v>
      </c>
      <c r="L39" s="374">
        <f t="shared" ref="L39:L41" si="9">(J39/(J$39+J$40+J$41))*L$42</f>
        <v>11.762627550617388</v>
      </c>
      <c r="M39" s="394">
        <f t="shared" ref="M39:M41" si="10">(J39/(J$39+J$40+J$41))*M$42</f>
        <v>9.4140658576971514</v>
      </c>
      <c r="N39" s="4"/>
      <c r="O39" s="4"/>
      <c r="P39" s="4"/>
      <c r="Q39" s="4"/>
      <c r="R39" s="4"/>
      <c r="S39" s="4"/>
      <c r="T39" s="4"/>
      <c r="U39" s="4"/>
      <c r="V39" s="4"/>
      <c r="W39" s="4"/>
      <c r="X39" s="4"/>
      <c r="Y39" s="4"/>
      <c r="Z39" s="4"/>
    </row>
    <row r="40" spans="1:26" ht="15.75" customHeight="1" x14ac:dyDescent="0.25">
      <c r="A40" s="4"/>
      <c r="B40" s="54"/>
      <c r="C40" s="367"/>
      <c r="D40" s="367"/>
      <c r="E40" s="367" t="s">
        <v>367</v>
      </c>
      <c r="F40" s="368">
        <v>757726</v>
      </c>
      <c r="G40" s="367" t="s">
        <v>354</v>
      </c>
      <c r="H40" s="63">
        <v>137572</v>
      </c>
      <c r="I40" s="367" t="s">
        <v>355</v>
      </c>
      <c r="J40" s="194">
        <f>(F40*H40)/1000000</f>
        <v>104241.881272</v>
      </c>
      <c r="K40" s="374">
        <f t="shared" si="8"/>
        <v>11245.385398090562</v>
      </c>
      <c r="L40" s="374">
        <f t="shared" si="9"/>
        <v>8.2187363707763361E-2</v>
      </c>
      <c r="M40" s="394">
        <f t="shared" si="10"/>
        <v>6.5777586792228476E-2</v>
      </c>
      <c r="N40" s="4"/>
      <c r="O40" s="4"/>
      <c r="P40" s="4"/>
      <c r="Q40" s="4"/>
      <c r="R40" s="4"/>
      <c r="S40" s="4"/>
      <c r="T40" s="4"/>
      <c r="U40" s="4"/>
      <c r="V40" s="4"/>
      <c r="W40" s="4"/>
      <c r="X40" s="4"/>
      <c r="Y40" s="4"/>
      <c r="Z40" s="4"/>
    </row>
    <row r="41" spans="1:26" ht="15.75" customHeight="1" x14ac:dyDescent="0.25">
      <c r="A41" s="4"/>
      <c r="B41" s="54"/>
      <c r="C41" s="367"/>
      <c r="D41" s="367"/>
      <c r="E41" s="367" t="s">
        <v>237</v>
      </c>
      <c r="F41" s="368">
        <v>30893</v>
      </c>
      <c r="G41" s="367" t="s">
        <v>563</v>
      </c>
      <c r="H41" s="63">
        <v>1034</v>
      </c>
      <c r="I41" s="367" t="s">
        <v>566</v>
      </c>
      <c r="J41" s="194">
        <f>(F41*H41)/1000</f>
        <v>31943.362000000001</v>
      </c>
      <c r="K41" s="374">
        <f t="shared" si="8"/>
        <v>3445.9797944687357</v>
      </c>
      <c r="L41" s="374">
        <f t="shared" si="9"/>
        <v>2.5185085674848902E-2</v>
      </c>
      <c r="M41" s="394">
        <f t="shared" si="10"/>
        <v>2.0156555510620434E-2</v>
      </c>
      <c r="N41" s="4"/>
      <c r="O41" s="4"/>
      <c r="P41" s="4"/>
      <c r="Q41" s="4"/>
      <c r="R41" s="4"/>
      <c r="S41" s="4"/>
      <c r="T41" s="4"/>
      <c r="U41" s="4"/>
      <c r="V41" s="4"/>
      <c r="W41" s="4"/>
      <c r="X41" s="4"/>
      <c r="Y41" s="4"/>
      <c r="Z41" s="4"/>
    </row>
    <row r="42" spans="1:26" ht="15.75" customHeight="1" x14ac:dyDescent="0.25">
      <c r="A42" s="4"/>
      <c r="B42" s="54"/>
      <c r="C42" s="54"/>
      <c r="D42" s="54"/>
      <c r="E42" s="54"/>
      <c r="F42" s="53"/>
      <c r="G42" s="54"/>
      <c r="H42" s="53"/>
      <c r="I42" s="54"/>
      <c r="J42" s="730">
        <v>15831379</v>
      </c>
      <c r="K42" s="724">
        <v>1624127.1</v>
      </c>
      <c r="L42" s="731">
        <v>11.87</v>
      </c>
      <c r="M42" s="731">
        <v>9.5</v>
      </c>
      <c r="N42" s="4"/>
      <c r="O42" s="4"/>
      <c r="P42" s="4"/>
      <c r="Q42" s="4"/>
      <c r="R42" s="4"/>
      <c r="S42" s="4"/>
      <c r="T42" s="4"/>
      <c r="U42" s="4"/>
      <c r="V42" s="4"/>
      <c r="W42" s="4"/>
      <c r="X42" s="4"/>
      <c r="Y42" s="4"/>
      <c r="Z42" s="4"/>
    </row>
    <row r="43" spans="1:26" ht="15.75" customHeight="1" x14ac:dyDescent="0.25">
      <c r="A43" s="4"/>
      <c r="B43" s="54"/>
      <c r="C43" s="367" t="s">
        <v>313</v>
      </c>
      <c r="D43" s="386" t="s">
        <v>302</v>
      </c>
      <c r="E43" s="367" t="s">
        <v>219</v>
      </c>
      <c r="F43" s="368">
        <v>781584</v>
      </c>
      <c r="G43" s="367" t="s">
        <v>293</v>
      </c>
      <c r="H43" s="63">
        <v>12976</v>
      </c>
      <c r="I43" s="367" t="s">
        <v>312</v>
      </c>
      <c r="J43" s="194">
        <f>(F43*H43*2000)/1000000</f>
        <v>20283667.967999998</v>
      </c>
      <c r="K43" s="374">
        <f t="shared" ref="K43:K45" si="11">(J43/(J$43+J$44+J$45))*K$46</f>
        <v>2177032.1726198266</v>
      </c>
      <c r="L43" s="394">
        <f t="shared" ref="L43:L45" si="12">(J43/(J$43+J$44+J$45))*L$46</f>
        <v>15.912165354062218</v>
      </c>
      <c r="M43" s="394">
        <f t="shared" ref="M43:M45" si="13">(J43/(J$43+J$44+J$45))*M$46</f>
        <v>12.729732283249774</v>
      </c>
      <c r="N43" s="4"/>
      <c r="O43" s="4"/>
      <c r="P43" s="4"/>
      <c r="Q43" s="4"/>
      <c r="R43" s="4"/>
      <c r="S43" s="4"/>
      <c r="T43" s="4"/>
      <c r="U43" s="4"/>
      <c r="V43" s="4"/>
      <c r="W43" s="4"/>
      <c r="X43" s="4"/>
      <c r="Y43" s="4"/>
      <c r="Z43" s="4"/>
    </row>
    <row r="44" spans="1:26" ht="15.75" customHeight="1" x14ac:dyDescent="0.25">
      <c r="A44" s="4"/>
      <c r="B44" s="54"/>
      <c r="C44" s="367"/>
      <c r="D44" s="386"/>
      <c r="E44" s="367" t="s">
        <v>367</v>
      </c>
      <c r="F44" s="368">
        <v>47448</v>
      </c>
      <c r="G44" s="367" t="s">
        <v>354</v>
      </c>
      <c r="H44" s="63">
        <v>137658</v>
      </c>
      <c r="I44" s="367" t="s">
        <v>355</v>
      </c>
      <c r="J44" s="194">
        <f>(F44*H44)/1000000</f>
        <v>6531.5967840000003</v>
      </c>
      <c r="K44" s="374">
        <f t="shared" si="11"/>
        <v>701.03180350719674</v>
      </c>
      <c r="L44" s="394">
        <f t="shared" si="12"/>
        <v>5.1239178346359441E-3</v>
      </c>
      <c r="M44" s="394">
        <f t="shared" si="13"/>
        <v>4.0991342677087553E-3</v>
      </c>
      <c r="N44" s="4"/>
      <c r="O44" s="4"/>
      <c r="P44" s="4"/>
      <c r="Q44" s="4"/>
      <c r="R44" s="4"/>
      <c r="S44" s="4"/>
      <c r="T44" s="4"/>
      <c r="U44" s="4"/>
      <c r="V44" s="4"/>
      <c r="W44" s="4"/>
      <c r="X44" s="4"/>
      <c r="Y44" s="4"/>
      <c r="Z44" s="4"/>
    </row>
    <row r="45" spans="1:26" ht="15.75" customHeight="1" x14ac:dyDescent="0.25">
      <c r="A45" s="4"/>
      <c r="B45" s="54"/>
      <c r="C45" s="367"/>
      <c r="D45" s="386"/>
      <c r="E45" s="367" t="s">
        <v>237</v>
      </c>
      <c r="F45" s="368">
        <v>163134</v>
      </c>
      <c r="G45" s="367" t="s">
        <v>563</v>
      </c>
      <c r="H45" s="63">
        <v>1037</v>
      </c>
      <c r="I45" s="367" t="s">
        <v>566</v>
      </c>
      <c r="J45" s="194">
        <f>(F45*H45)/1000</f>
        <v>169169.95800000001</v>
      </c>
      <c r="K45" s="374">
        <f t="shared" si="11"/>
        <v>18156.895576666189</v>
      </c>
      <c r="L45" s="394">
        <f t="shared" si="12"/>
        <v>0.13271072810314702</v>
      </c>
      <c r="M45" s="394">
        <f t="shared" si="13"/>
        <v>0.10616858248251762</v>
      </c>
      <c r="N45" s="4"/>
      <c r="O45" s="4"/>
      <c r="P45" s="4"/>
      <c r="Q45" s="4"/>
      <c r="R45" s="4"/>
      <c r="S45" s="4"/>
      <c r="T45" s="4"/>
      <c r="U45" s="4"/>
      <c r="V45" s="4"/>
      <c r="W45" s="4"/>
      <c r="X45" s="4"/>
      <c r="Y45" s="4"/>
      <c r="Z45" s="4"/>
    </row>
    <row r="46" spans="1:26" ht="15.75" customHeight="1" x14ac:dyDescent="0.25">
      <c r="A46" s="4"/>
      <c r="B46" s="54"/>
      <c r="C46" s="54"/>
      <c r="D46" s="77"/>
      <c r="E46" s="54"/>
      <c r="F46" s="53"/>
      <c r="G46" s="54"/>
      <c r="H46" s="53"/>
      <c r="I46" s="54"/>
      <c r="J46" s="730">
        <v>21404540</v>
      </c>
      <c r="K46" s="724">
        <v>2195890.1</v>
      </c>
      <c r="L46" s="731">
        <v>16.05</v>
      </c>
      <c r="M46" s="731">
        <v>12.84</v>
      </c>
      <c r="N46" s="4"/>
      <c r="O46" s="4"/>
      <c r="P46" s="4"/>
      <c r="Q46" s="4"/>
      <c r="R46" s="4"/>
      <c r="S46" s="4"/>
      <c r="T46" s="4"/>
      <c r="U46" s="4"/>
      <c r="V46" s="4"/>
      <c r="W46" s="4"/>
      <c r="X46" s="4"/>
      <c r="Y46" s="4"/>
      <c r="Z46" s="4"/>
    </row>
    <row r="47" spans="1:26" ht="15.75" customHeight="1" x14ac:dyDescent="0.25">
      <c r="A47" s="4"/>
      <c r="B47" s="54"/>
      <c r="C47" s="54"/>
      <c r="D47" s="77"/>
      <c r="E47" s="54"/>
      <c r="F47" s="53"/>
      <c r="G47" s="54"/>
      <c r="H47" s="53"/>
      <c r="I47" s="54"/>
      <c r="J47" s="732"/>
      <c r="K47" s="372"/>
      <c r="L47" s="392"/>
      <c r="M47" s="392"/>
      <c r="N47" s="4"/>
      <c r="O47" s="4"/>
      <c r="P47" s="4"/>
      <c r="Q47" s="4"/>
      <c r="R47" s="4"/>
      <c r="S47" s="4"/>
      <c r="T47" s="4"/>
      <c r="U47" s="4"/>
      <c r="V47" s="4"/>
      <c r="W47" s="4"/>
      <c r="X47" s="4"/>
      <c r="Y47" s="4"/>
      <c r="Z47" s="4"/>
    </row>
    <row r="48" spans="1:26" ht="15.75" customHeight="1" x14ac:dyDescent="0.25">
      <c r="A48" s="4"/>
      <c r="B48" s="54"/>
      <c r="C48" s="367" t="s">
        <v>541</v>
      </c>
      <c r="D48" s="386" t="s">
        <v>319</v>
      </c>
      <c r="E48" s="367" t="s">
        <v>542</v>
      </c>
      <c r="F48" s="368">
        <v>620224</v>
      </c>
      <c r="G48" s="367" t="s">
        <v>354</v>
      </c>
      <c r="H48" s="63">
        <v>151598</v>
      </c>
      <c r="I48" s="367" t="s">
        <v>355</v>
      </c>
      <c r="J48" s="194">
        <f t="shared" ref="J48:J49" si="14">(F48*H48)/1000000</f>
        <v>94024.717952000006</v>
      </c>
      <c r="K48" s="374">
        <f>(J48/(J$48+J$49+J$50))*K$51</f>
        <v>5852.9094182510353</v>
      </c>
      <c r="L48" s="394">
        <f t="shared" ref="L48:L50" si="15">(J48/(J$48+J$49+J$50))*L$51</f>
        <v>0.11209004761242979</v>
      </c>
      <c r="M48" s="394">
        <f t="shared" ref="M48:M50" si="16">(J48/(J$48+J$49+J$50))*M$51</f>
        <v>3.7591174504168524E-2</v>
      </c>
      <c r="N48" s="4"/>
      <c r="O48" s="4"/>
      <c r="P48" s="4"/>
      <c r="Q48" s="4"/>
      <c r="R48" s="4"/>
      <c r="S48" s="4"/>
      <c r="T48" s="4"/>
      <c r="U48" s="4"/>
      <c r="V48" s="4"/>
      <c r="W48" s="4"/>
      <c r="X48" s="4"/>
      <c r="Y48" s="4"/>
      <c r="Z48" s="4"/>
    </row>
    <row r="49" spans="1:26" ht="15.75" customHeight="1" x14ac:dyDescent="0.25">
      <c r="A49" s="4"/>
      <c r="B49" s="54"/>
      <c r="C49" s="367"/>
      <c r="D49" s="386"/>
      <c r="E49" s="367" t="s">
        <v>367</v>
      </c>
      <c r="F49" s="63">
        <v>0</v>
      </c>
      <c r="G49" s="367" t="s">
        <v>354</v>
      </c>
      <c r="H49" s="63">
        <v>132252</v>
      </c>
      <c r="I49" s="367" t="s">
        <v>355</v>
      </c>
      <c r="J49" s="194">
        <f t="shared" si="14"/>
        <v>0</v>
      </c>
      <c r="K49" s="374" t="s">
        <v>663</v>
      </c>
      <c r="L49" s="394">
        <f t="shared" si="15"/>
        <v>0</v>
      </c>
      <c r="M49" s="394">
        <f t="shared" si="16"/>
        <v>0</v>
      </c>
      <c r="N49" s="4"/>
      <c r="O49" s="4"/>
      <c r="P49" s="4"/>
      <c r="Q49" s="4"/>
      <c r="R49" s="4"/>
      <c r="S49" s="4"/>
      <c r="T49" s="4"/>
      <c r="U49" s="4"/>
      <c r="V49" s="4"/>
      <c r="W49" s="4"/>
      <c r="X49" s="4"/>
      <c r="Y49" s="4"/>
      <c r="Z49" s="4"/>
    </row>
    <row r="50" spans="1:26" ht="15.75" customHeight="1" x14ac:dyDescent="0.25">
      <c r="A50" s="4"/>
      <c r="B50" s="54"/>
      <c r="C50" s="367"/>
      <c r="D50" s="386"/>
      <c r="E50" s="367" t="s">
        <v>237</v>
      </c>
      <c r="F50" s="368">
        <v>3911764</v>
      </c>
      <c r="G50" s="367" t="s">
        <v>563</v>
      </c>
      <c r="H50" s="63">
        <v>1031</v>
      </c>
      <c r="I50" s="367" t="s">
        <v>566</v>
      </c>
      <c r="J50" s="194">
        <f>(F50*H50)/1000</f>
        <v>4033028.6839999999</v>
      </c>
      <c r="K50" s="374">
        <f>(J50/(J$48+J$49+J$50))*K$51</f>
        <v>251050.49058174895</v>
      </c>
      <c r="L50" s="394">
        <f t="shared" si="15"/>
        <v>4.8079099523875701</v>
      </c>
      <c r="M50" s="394">
        <f t="shared" si="16"/>
        <v>1.6124088254958313</v>
      </c>
      <c r="N50" s="4"/>
      <c r="O50" s="4"/>
      <c r="P50" s="4"/>
      <c r="Q50" s="4"/>
      <c r="R50" s="4"/>
      <c r="S50" s="4"/>
      <c r="T50" s="4"/>
      <c r="U50" s="4"/>
      <c r="V50" s="4"/>
      <c r="W50" s="4"/>
      <c r="X50" s="4"/>
      <c r="Y50" s="4"/>
      <c r="Z50" s="4"/>
    </row>
    <row r="51" spans="1:26" ht="15.75" customHeight="1" x14ac:dyDescent="0.25">
      <c r="A51" s="4"/>
      <c r="B51" s="54"/>
      <c r="C51" s="54"/>
      <c r="D51" s="77"/>
      <c r="E51" s="54"/>
      <c r="F51" s="53"/>
      <c r="G51" s="54"/>
      <c r="H51" s="53"/>
      <c r="I51" s="54"/>
      <c r="J51" s="730">
        <v>4294455</v>
      </c>
      <c r="K51" s="724">
        <v>256903.4</v>
      </c>
      <c r="L51" s="731">
        <v>4.92</v>
      </c>
      <c r="M51" s="731">
        <v>1.65</v>
      </c>
      <c r="N51" s="4"/>
      <c r="O51" s="4"/>
      <c r="P51" s="4"/>
      <c r="Q51" s="4"/>
      <c r="R51" s="4"/>
      <c r="S51" s="4"/>
      <c r="T51" s="4"/>
      <c r="U51" s="4"/>
      <c r="V51" s="4"/>
      <c r="W51" s="4"/>
      <c r="X51" s="4"/>
      <c r="Y51" s="4"/>
      <c r="Z51" s="4"/>
    </row>
    <row r="52" spans="1:26" ht="15.75" customHeight="1" x14ac:dyDescent="0.25">
      <c r="A52" s="4"/>
      <c r="B52" s="54"/>
      <c r="C52" s="54"/>
      <c r="D52" s="77"/>
      <c r="E52" s="54"/>
      <c r="F52" s="53"/>
      <c r="G52" s="54"/>
      <c r="H52" s="53"/>
      <c r="I52" s="54"/>
      <c r="J52" s="732"/>
      <c r="K52" s="372"/>
      <c r="L52" s="392"/>
      <c r="M52" s="392"/>
      <c r="N52" s="4"/>
      <c r="O52" s="4"/>
      <c r="P52" s="4"/>
      <c r="Q52" s="4"/>
      <c r="R52" s="4"/>
      <c r="S52" s="4"/>
      <c r="T52" s="4"/>
      <c r="U52" s="4"/>
      <c r="V52" s="4"/>
      <c r="W52" s="4"/>
      <c r="X52" s="4"/>
      <c r="Y52" s="4"/>
      <c r="Z52" s="4"/>
    </row>
    <row r="53" spans="1:26" ht="15.75" customHeight="1" x14ac:dyDescent="0.25">
      <c r="A53" s="4"/>
      <c r="B53" s="54"/>
      <c r="C53" s="54" t="s">
        <v>543</v>
      </c>
      <c r="D53" s="553" t="s">
        <v>544</v>
      </c>
      <c r="E53" s="54" t="s">
        <v>542</v>
      </c>
      <c r="F53" s="372">
        <v>563476</v>
      </c>
      <c r="G53" s="54" t="s">
        <v>354</v>
      </c>
      <c r="H53" s="53">
        <v>151673</v>
      </c>
      <c r="I53" s="54" t="s">
        <v>355</v>
      </c>
      <c r="J53" s="736">
        <f t="shared" ref="J53:J54" si="17">(F53*H53)/1000000</f>
        <v>85464.095348000003</v>
      </c>
      <c r="K53" s="374">
        <f t="shared" ref="K53:K55" si="18">(J53/(J$53+J$54+J$55))*K$56</f>
        <v>6041.7196432692781</v>
      </c>
      <c r="L53" s="394">
        <f t="shared" ref="L53:L55" si="19">(J53/(J$53+J$54+J$55))*L$56</f>
        <v>0.11592271821026373</v>
      </c>
      <c r="M53" s="394">
        <f t="shared" ref="M53:M55" si="20">(J53/(J$53+J$54+J$55))*M$56</f>
        <v>3.8017665649602621E-2</v>
      </c>
      <c r="N53" s="4"/>
      <c r="O53" s="4"/>
      <c r="P53" s="4"/>
      <c r="Q53" s="4"/>
      <c r="R53" s="4"/>
      <c r="S53" s="4"/>
      <c r="T53" s="4"/>
      <c r="U53" s="4"/>
      <c r="V53" s="4"/>
      <c r="W53" s="4"/>
      <c r="X53" s="4"/>
      <c r="Y53" s="4"/>
      <c r="Z53" s="4"/>
    </row>
    <row r="54" spans="1:26" ht="15.75" customHeight="1" x14ac:dyDescent="0.25">
      <c r="A54" s="4"/>
      <c r="B54" s="54"/>
      <c r="C54" s="54"/>
      <c r="D54" s="77"/>
      <c r="E54" s="54" t="s">
        <v>367</v>
      </c>
      <c r="F54" s="53">
        <v>0</v>
      </c>
      <c r="G54" s="54" t="s">
        <v>354</v>
      </c>
      <c r="H54" s="53">
        <v>132424</v>
      </c>
      <c r="I54" s="54" t="s">
        <v>355</v>
      </c>
      <c r="J54" s="736">
        <f t="shared" si="17"/>
        <v>0</v>
      </c>
      <c r="K54" s="374">
        <f t="shared" si="18"/>
        <v>0</v>
      </c>
      <c r="L54" s="394">
        <f t="shared" si="19"/>
        <v>0</v>
      </c>
      <c r="M54" s="394">
        <f t="shared" si="20"/>
        <v>0</v>
      </c>
      <c r="N54" s="4"/>
      <c r="O54" s="4"/>
      <c r="P54" s="4"/>
      <c r="Q54" s="4"/>
      <c r="R54" s="4"/>
      <c r="S54" s="4"/>
      <c r="T54" s="4"/>
      <c r="U54" s="4"/>
      <c r="V54" s="4"/>
      <c r="W54" s="4"/>
      <c r="X54" s="4"/>
      <c r="Y54" s="4"/>
      <c r="Z54" s="4"/>
    </row>
    <row r="55" spans="1:26" ht="15.75" customHeight="1" x14ac:dyDescent="0.25">
      <c r="A55" s="4"/>
      <c r="B55" s="54"/>
      <c r="C55" s="54"/>
      <c r="D55" s="77"/>
      <c r="E55" s="54" t="s">
        <v>237</v>
      </c>
      <c r="F55" s="372">
        <v>3907269</v>
      </c>
      <c r="G55" s="54" t="s">
        <v>563</v>
      </c>
      <c r="H55" s="53">
        <v>1031</v>
      </c>
      <c r="I55" s="54" t="s">
        <v>566</v>
      </c>
      <c r="J55" s="736">
        <f>(F55*H55)/1000</f>
        <v>4028394.3390000002</v>
      </c>
      <c r="K55" s="374">
        <f t="shared" si="18"/>
        <v>284779.58035673073</v>
      </c>
      <c r="L55" s="394">
        <f t="shared" si="19"/>
        <v>5.4640772817897361</v>
      </c>
      <c r="M55" s="394">
        <f t="shared" si="20"/>
        <v>1.7919823343503976</v>
      </c>
      <c r="N55" s="4"/>
      <c r="O55" s="4"/>
      <c r="P55" s="4"/>
      <c r="Q55" s="4"/>
      <c r="R55" s="4"/>
      <c r="S55" s="4"/>
      <c r="T55" s="4"/>
      <c r="U55" s="4"/>
      <c r="V55" s="4"/>
      <c r="W55" s="4"/>
      <c r="X55" s="4"/>
      <c r="Y55" s="4"/>
      <c r="Z55" s="4"/>
    </row>
    <row r="56" spans="1:26" ht="15.75" customHeight="1" x14ac:dyDescent="0.25">
      <c r="A56" s="4"/>
      <c r="B56" s="54"/>
      <c r="C56" s="54"/>
      <c r="D56" s="77"/>
      <c r="E56" s="54"/>
      <c r="F56" s="53"/>
      <c r="G56" s="54"/>
      <c r="H56" s="53"/>
      <c r="I56" s="54"/>
      <c r="J56" s="730">
        <v>4867186</v>
      </c>
      <c r="K56" s="724">
        <v>290821.3</v>
      </c>
      <c r="L56" s="731">
        <v>5.58</v>
      </c>
      <c r="M56" s="731">
        <v>1.83</v>
      </c>
      <c r="N56" s="4"/>
      <c r="O56" s="4"/>
      <c r="P56" s="4"/>
      <c r="Q56" s="4"/>
      <c r="R56" s="4"/>
      <c r="S56" s="4"/>
      <c r="T56" s="4"/>
      <c r="U56" s="4"/>
      <c r="V56" s="4"/>
      <c r="W56" s="4"/>
      <c r="X56" s="4"/>
      <c r="Y56" s="4"/>
      <c r="Z56" s="4"/>
    </row>
    <row r="57" spans="1:26" ht="15.75" customHeight="1" x14ac:dyDescent="0.25">
      <c r="A57" s="4"/>
      <c r="B57" s="54"/>
      <c r="C57" s="54"/>
      <c r="D57" s="77"/>
      <c r="E57" s="54"/>
      <c r="F57" s="53"/>
      <c r="G57" s="54"/>
      <c r="H57" s="53"/>
      <c r="I57" s="54"/>
      <c r="J57" s="730"/>
      <c r="K57" s="372"/>
      <c r="L57" s="392"/>
      <c r="M57" s="392"/>
      <c r="N57" s="4"/>
      <c r="O57" s="4"/>
      <c r="P57" s="4"/>
      <c r="Q57" s="4"/>
      <c r="R57" s="4"/>
      <c r="S57" s="4"/>
      <c r="T57" s="4"/>
      <c r="U57" s="4"/>
      <c r="V57" s="4"/>
      <c r="W57" s="4"/>
      <c r="X57" s="4"/>
      <c r="Y57" s="4"/>
      <c r="Z57" s="4"/>
    </row>
    <row r="58" spans="1:26" ht="15.75" customHeight="1" x14ac:dyDescent="0.25">
      <c r="A58" s="4"/>
      <c r="B58" s="54"/>
      <c r="C58" s="54" t="s">
        <v>368</v>
      </c>
      <c r="D58" s="77" t="s">
        <v>369</v>
      </c>
      <c r="E58" s="54" t="s">
        <v>367</v>
      </c>
      <c r="F58" s="372">
        <v>63080</v>
      </c>
      <c r="G58" s="54" t="s">
        <v>354</v>
      </c>
      <c r="H58" s="53">
        <v>137630</v>
      </c>
      <c r="I58" s="54" t="s">
        <v>355</v>
      </c>
      <c r="J58" s="730">
        <f>(F58*H58)/1000000</f>
        <v>8681.7003999999997</v>
      </c>
      <c r="K58" s="714">
        <v>1550</v>
      </c>
      <c r="L58" s="411">
        <v>2.0000000000000001E-4</v>
      </c>
      <c r="M58" s="375">
        <v>3.5000000000000003E-2</v>
      </c>
      <c r="N58" s="4"/>
      <c r="O58" s="4"/>
      <c r="P58" s="4"/>
      <c r="Q58" s="4"/>
      <c r="R58" s="4"/>
      <c r="S58" s="4"/>
      <c r="T58" s="4"/>
      <c r="U58" s="4"/>
      <c r="V58" s="4"/>
      <c r="W58" s="4"/>
      <c r="X58" s="4"/>
      <c r="Y58" s="4"/>
      <c r="Z58" s="4"/>
    </row>
    <row r="59" spans="1:26" ht="15.75" customHeight="1" x14ac:dyDescent="0.25">
      <c r="A59" s="4"/>
      <c r="B59" s="54"/>
      <c r="C59" s="54"/>
      <c r="D59" s="77"/>
      <c r="E59" s="54"/>
      <c r="F59" s="53"/>
      <c r="G59" s="54"/>
      <c r="H59" s="53"/>
      <c r="I59" s="54"/>
      <c r="J59" s="732"/>
      <c r="K59" s="372"/>
      <c r="L59" s="392"/>
      <c r="M59" s="392"/>
      <c r="N59" s="4"/>
      <c r="O59" s="4"/>
      <c r="P59" s="4"/>
      <c r="Q59" s="4"/>
      <c r="R59" s="4"/>
      <c r="S59" s="4"/>
      <c r="T59" s="4"/>
      <c r="U59" s="4"/>
      <c r="V59" s="4"/>
      <c r="W59" s="4"/>
      <c r="X59" s="4"/>
      <c r="Y59" s="4"/>
      <c r="Z59" s="4"/>
    </row>
    <row r="60" spans="1:26" ht="15.75" customHeight="1" x14ac:dyDescent="0.25">
      <c r="A60" s="4"/>
      <c r="B60" s="54"/>
      <c r="C60" s="54" t="s">
        <v>370</v>
      </c>
      <c r="D60" s="553" t="s">
        <v>371</v>
      </c>
      <c r="E60" s="54" t="s">
        <v>367</v>
      </c>
      <c r="F60" s="372">
        <v>111736</v>
      </c>
      <c r="G60" s="54" t="s">
        <v>354</v>
      </c>
      <c r="H60" s="53">
        <v>137630</v>
      </c>
      <c r="I60" s="54" t="s">
        <v>355</v>
      </c>
      <c r="J60" s="730">
        <v>10527</v>
      </c>
      <c r="K60" s="372">
        <v>854</v>
      </c>
      <c r="L60" s="412">
        <v>2.9999999999999997E-4</v>
      </c>
      <c r="M60" s="392">
        <v>6.2E-2</v>
      </c>
      <c r="N60" s="4"/>
      <c r="O60" s="4"/>
      <c r="P60" s="4"/>
      <c r="Q60" s="4"/>
      <c r="R60" s="4"/>
      <c r="S60" s="4"/>
      <c r="T60" s="4"/>
      <c r="U60" s="4"/>
      <c r="V60" s="4"/>
      <c r="W60" s="4"/>
      <c r="X60" s="4"/>
      <c r="Y60" s="4"/>
      <c r="Z60" s="4"/>
    </row>
    <row r="61" spans="1:26" ht="15.75" customHeight="1" x14ac:dyDescent="0.25">
      <c r="A61" s="4"/>
      <c r="B61" s="54"/>
      <c r="C61" s="54"/>
      <c r="D61" s="77"/>
      <c r="E61" s="54"/>
      <c r="F61" s="53"/>
      <c r="G61" s="54"/>
      <c r="H61" s="53"/>
      <c r="I61" s="54"/>
      <c r="J61" s="732"/>
      <c r="K61" s="372"/>
      <c r="L61" s="392"/>
      <c r="M61" s="392"/>
      <c r="N61" s="4"/>
      <c r="O61" s="4"/>
      <c r="P61" s="4"/>
      <c r="Q61" s="4"/>
      <c r="R61" s="4"/>
      <c r="S61" s="4"/>
      <c r="T61" s="4"/>
      <c r="U61" s="4"/>
      <c r="V61" s="4"/>
      <c r="W61" s="4"/>
      <c r="X61" s="4"/>
      <c r="Y61" s="4"/>
      <c r="Z61" s="4"/>
    </row>
    <row r="62" spans="1:26" ht="15.75" customHeight="1" x14ac:dyDescent="0.25">
      <c r="A62" s="4"/>
      <c r="B62" s="54"/>
      <c r="C62" s="367" t="s">
        <v>372</v>
      </c>
      <c r="D62" s="386" t="s">
        <v>373</v>
      </c>
      <c r="E62" s="367" t="s">
        <v>367</v>
      </c>
      <c r="F62" s="368">
        <v>269708</v>
      </c>
      <c r="G62" s="367" t="s">
        <v>354</v>
      </c>
      <c r="H62" s="63">
        <v>139001</v>
      </c>
      <c r="I62" s="367" t="s">
        <v>355</v>
      </c>
      <c r="J62" s="194">
        <f>(F62*H62)/1000000</f>
        <v>37489.681707999996</v>
      </c>
      <c r="K62" s="374">
        <f t="shared" ref="K62:K63" si="21">(J62/(J$62+J$63))*K$64</f>
        <v>2444.017633327051</v>
      </c>
      <c r="L62" s="394">
        <f t="shared" ref="L62:L63" si="22">(J62/(J$62+J$63))*L$64</f>
        <v>1.4580915764344652E-2</v>
      </c>
      <c r="M62" s="394">
        <f t="shared" ref="M62:M63" si="23">(J62/(J$62+J$63))*M$64</f>
        <v>5.9111820666262103E-2</v>
      </c>
      <c r="N62" s="4"/>
      <c r="O62" s="4"/>
      <c r="P62" s="4"/>
      <c r="Q62" s="4"/>
      <c r="R62" s="4"/>
      <c r="S62" s="4"/>
      <c r="T62" s="4"/>
      <c r="U62" s="4"/>
      <c r="V62" s="4"/>
      <c r="W62" s="4"/>
      <c r="X62" s="4"/>
      <c r="Y62" s="4"/>
      <c r="Z62" s="4"/>
    </row>
    <row r="63" spans="1:26" ht="15.75" customHeight="1" x14ac:dyDescent="0.25">
      <c r="A63" s="4"/>
      <c r="B63" s="54"/>
      <c r="C63" s="367"/>
      <c r="D63" s="386"/>
      <c r="E63" s="367" t="s">
        <v>237</v>
      </c>
      <c r="F63" s="368">
        <v>148038</v>
      </c>
      <c r="G63" s="367" t="s">
        <v>563</v>
      </c>
      <c r="H63" s="63">
        <v>1032</v>
      </c>
      <c r="I63" s="367" t="s">
        <v>566</v>
      </c>
      <c r="J63" s="194">
        <f>(F63*H63)/1000</f>
        <v>152775.21599999999</v>
      </c>
      <c r="K63" s="374">
        <f t="shared" si="21"/>
        <v>9959.6823666729506</v>
      </c>
      <c r="L63" s="394">
        <f t="shared" si="22"/>
        <v>5.9419084235655346E-2</v>
      </c>
      <c r="M63" s="394">
        <f t="shared" si="23"/>
        <v>0.24088817933373788</v>
      </c>
      <c r="N63" s="4"/>
      <c r="O63" s="4"/>
      <c r="P63" s="4"/>
      <c r="Q63" s="4"/>
      <c r="R63" s="4"/>
      <c r="S63" s="4"/>
      <c r="T63" s="4"/>
      <c r="U63" s="4"/>
      <c r="V63" s="4"/>
      <c r="W63" s="4"/>
      <c r="X63" s="4"/>
      <c r="Y63" s="4"/>
      <c r="Z63" s="4"/>
    </row>
    <row r="64" spans="1:26" ht="15.75" customHeight="1" x14ac:dyDescent="0.25">
      <c r="A64" s="4"/>
      <c r="B64" s="54"/>
      <c r="C64" s="54"/>
      <c r="D64" s="77"/>
      <c r="E64" s="54"/>
      <c r="F64" s="53"/>
      <c r="G64" s="54"/>
      <c r="H64" s="53"/>
      <c r="I64" s="54"/>
      <c r="J64" s="730">
        <v>193369</v>
      </c>
      <c r="K64" s="724">
        <v>12403.7</v>
      </c>
      <c r="L64" s="731">
        <v>7.3999999999999996E-2</v>
      </c>
      <c r="M64" s="731">
        <v>0.3</v>
      </c>
      <c r="N64" s="4"/>
      <c r="O64" s="4"/>
      <c r="P64" s="4"/>
      <c r="Q64" s="4"/>
      <c r="R64" s="4"/>
      <c r="S64" s="4"/>
      <c r="T64" s="4"/>
      <c r="U64" s="4"/>
      <c r="V64" s="4"/>
      <c r="W64" s="4"/>
      <c r="X64" s="4"/>
      <c r="Y64" s="4"/>
      <c r="Z64" s="4"/>
    </row>
    <row r="65" spans="1:26" ht="15.75" customHeight="1" x14ac:dyDescent="0.25">
      <c r="A65" s="4"/>
      <c r="B65" s="54"/>
      <c r="C65" s="367" t="s">
        <v>374</v>
      </c>
      <c r="D65" s="386" t="s">
        <v>375</v>
      </c>
      <c r="E65" s="367" t="s">
        <v>367</v>
      </c>
      <c r="F65" s="368">
        <v>66485</v>
      </c>
      <c r="G65" s="367" t="s">
        <v>354</v>
      </c>
      <c r="H65" s="63">
        <v>139001</v>
      </c>
      <c r="I65" s="367" t="s">
        <v>355</v>
      </c>
      <c r="J65" s="194">
        <f>(F65*H65)/1000000</f>
        <v>9241.4814850000002</v>
      </c>
      <c r="K65" s="374">
        <f t="shared" ref="K65:K66" si="24">(J65/(J$65+J$66))*K$67</f>
        <v>565.3152868808354</v>
      </c>
      <c r="L65" s="394">
        <f t="shared" ref="L65:L66" si="25">(J65/(J$65+J$66))*L$67</f>
        <v>3.7826957772946995E-3</v>
      </c>
      <c r="M65" s="394">
        <f t="shared" ref="M65:M66" si="26">(J65/(J$65+J$66))*M$67</f>
        <v>1.0316443028985545E-2</v>
      </c>
      <c r="N65" s="4"/>
      <c r="O65" s="4"/>
      <c r="P65" s="4"/>
      <c r="Q65" s="4"/>
      <c r="R65" s="4"/>
      <c r="S65" s="4"/>
      <c r="T65" s="4"/>
      <c r="U65" s="4"/>
      <c r="V65" s="4"/>
      <c r="W65" s="4"/>
      <c r="X65" s="4"/>
      <c r="Y65" s="4"/>
      <c r="Z65" s="4"/>
    </row>
    <row r="66" spans="1:26" ht="15.75" customHeight="1" x14ac:dyDescent="0.25">
      <c r="A66" s="4"/>
      <c r="B66" s="54"/>
      <c r="C66" s="367"/>
      <c r="D66" s="386"/>
      <c r="E66" s="367" t="s">
        <v>237</v>
      </c>
      <c r="F66" s="368">
        <v>95208</v>
      </c>
      <c r="G66" s="367" t="s">
        <v>563</v>
      </c>
      <c r="H66" s="63">
        <v>1032</v>
      </c>
      <c r="I66" s="367" t="s">
        <v>566</v>
      </c>
      <c r="J66" s="194">
        <f>(F66*H66)/1000</f>
        <v>98254.656000000003</v>
      </c>
      <c r="K66" s="374">
        <f t="shared" si="24"/>
        <v>6010.3847131191642</v>
      </c>
      <c r="L66" s="394">
        <f t="shared" si="25"/>
        <v>4.0217304222705294E-2</v>
      </c>
      <c r="M66" s="394">
        <f t="shared" si="26"/>
        <v>0.10968355697101445</v>
      </c>
      <c r="N66" s="4"/>
      <c r="O66" s="4"/>
      <c r="P66" s="4"/>
      <c r="Q66" s="4"/>
      <c r="R66" s="4"/>
      <c r="S66" s="4"/>
      <c r="T66" s="4"/>
      <c r="U66" s="4"/>
      <c r="V66" s="4"/>
      <c r="W66" s="4"/>
      <c r="X66" s="4"/>
      <c r="Y66" s="4"/>
      <c r="Z66" s="4"/>
    </row>
    <row r="67" spans="1:26" ht="15.75" customHeight="1" x14ac:dyDescent="0.25">
      <c r="A67" s="4"/>
      <c r="B67" s="54"/>
      <c r="C67" s="54"/>
      <c r="D67" s="77"/>
      <c r="E67" s="54"/>
      <c r="F67" s="53"/>
      <c r="G67" s="54"/>
      <c r="H67" s="53"/>
      <c r="I67" s="54"/>
      <c r="J67" s="730">
        <v>108353</v>
      </c>
      <c r="K67" s="724">
        <v>6575.7</v>
      </c>
      <c r="L67" s="731">
        <v>4.3999999999999997E-2</v>
      </c>
      <c r="M67" s="731">
        <v>0.12</v>
      </c>
      <c r="N67" s="4"/>
      <c r="O67" s="4"/>
      <c r="P67" s="4"/>
      <c r="Q67" s="4"/>
      <c r="R67" s="4"/>
      <c r="S67" s="4"/>
      <c r="T67" s="4"/>
      <c r="U67" s="4"/>
      <c r="V67" s="4"/>
      <c r="W67" s="4"/>
      <c r="X67" s="4"/>
      <c r="Y67" s="4"/>
      <c r="Z67" s="4"/>
    </row>
    <row r="68" spans="1:26" ht="15.75" customHeight="1" x14ac:dyDescent="0.25">
      <c r="A68" s="4"/>
      <c r="B68" s="54"/>
      <c r="C68" s="367" t="s">
        <v>376</v>
      </c>
      <c r="D68" s="386" t="s">
        <v>377</v>
      </c>
      <c r="E68" s="367" t="s">
        <v>367</v>
      </c>
      <c r="F68" s="368">
        <v>145075</v>
      </c>
      <c r="G68" s="367" t="s">
        <v>354</v>
      </c>
      <c r="H68" s="63">
        <v>139001</v>
      </c>
      <c r="I68" s="367" t="s">
        <v>355</v>
      </c>
      <c r="J68" s="194">
        <f>(F68*H68)/1000000</f>
        <v>20165.570075</v>
      </c>
      <c r="K68" s="374">
        <f t="shared" ref="K68:K69" si="27">(J68/(J$68+J$69))*K$70</f>
        <v>1167.5515959444067</v>
      </c>
      <c r="L68" s="394">
        <f t="shared" ref="L68:L69" si="28">(J68/(J$68+J$69))*L$70</f>
        <v>7.3810337159427907E-3</v>
      </c>
      <c r="M68" s="394">
        <f t="shared" ref="M68:M69" si="29">(J68/(J$68+J$69))*M$70</f>
        <v>2.0666894404639813E-2</v>
      </c>
      <c r="N68" s="4"/>
      <c r="O68" s="4"/>
      <c r="P68" s="4"/>
      <c r="Q68" s="4"/>
      <c r="R68" s="4"/>
      <c r="S68" s="4"/>
      <c r="T68" s="4"/>
      <c r="U68" s="4"/>
      <c r="V68" s="4"/>
      <c r="W68" s="4"/>
      <c r="X68" s="4"/>
      <c r="Y68" s="4"/>
      <c r="Z68" s="4"/>
    </row>
    <row r="69" spans="1:26" ht="15.75" customHeight="1" x14ac:dyDescent="0.25">
      <c r="A69" s="4"/>
      <c r="B69" s="54"/>
      <c r="C69" s="367"/>
      <c r="D69" s="386"/>
      <c r="E69" s="367" t="s">
        <v>237</v>
      </c>
      <c r="F69" s="368">
        <v>179012</v>
      </c>
      <c r="G69" s="367" t="s">
        <v>563</v>
      </c>
      <c r="H69" s="63">
        <v>1032</v>
      </c>
      <c r="I69" s="367" t="s">
        <v>566</v>
      </c>
      <c r="J69" s="194">
        <f>(F69*H69)/1000</f>
        <v>184740.38399999999</v>
      </c>
      <c r="K69" s="374">
        <f t="shared" si="27"/>
        <v>10696.148404055595</v>
      </c>
      <c r="L69" s="394">
        <f t="shared" si="28"/>
        <v>6.7618966284057211E-2</v>
      </c>
      <c r="M69" s="394">
        <f t="shared" si="29"/>
        <v>0.18933310559536018</v>
      </c>
      <c r="N69" s="4"/>
      <c r="O69" s="4"/>
      <c r="P69" s="4"/>
      <c r="Q69" s="4"/>
      <c r="R69" s="4"/>
      <c r="S69" s="4"/>
      <c r="T69" s="4"/>
      <c r="U69" s="4"/>
      <c r="V69" s="4"/>
      <c r="W69" s="4"/>
      <c r="X69" s="4"/>
      <c r="Y69" s="4"/>
      <c r="Z69" s="4"/>
    </row>
    <row r="70" spans="1:26" ht="15.75" customHeight="1" x14ac:dyDescent="0.25">
      <c r="A70" s="4"/>
      <c r="B70" s="54"/>
      <c r="C70" s="54"/>
      <c r="D70" s="77"/>
      <c r="E70" s="54"/>
      <c r="F70" s="53"/>
      <c r="G70" s="54"/>
      <c r="H70" s="53"/>
      <c r="I70" s="54"/>
      <c r="J70" s="730">
        <v>183850</v>
      </c>
      <c r="K70" s="724">
        <v>11863.7</v>
      </c>
      <c r="L70" s="731">
        <v>7.4999999999999997E-2</v>
      </c>
      <c r="M70" s="731">
        <v>0.21</v>
      </c>
      <c r="N70" s="4"/>
      <c r="O70" s="4"/>
      <c r="P70" s="4"/>
      <c r="Q70" s="4"/>
      <c r="R70" s="4"/>
      <c r="S70" s="4"/>
      <c r="T70" s="4"/>
      <c r="U70" s="4"/>
      <c r="V70" s="4"/>
      <c r="W70" s="4"/>
      <c r="X70" s="4"/>
      <c r="Y70" s="4"/>
      <c r="Z70" s="4"/>
    </row>
    <row r="71" spans="1:26" ht="15.75" customHeight="1" x14ac:dyDescent="0.25">
      <c r="A71" s="4"/>
      <c r="B71" s="54"/>
      <c r="C71" s="367" t="s">
        <v>378</v>
      </c>
      <c r="D71" s="386" t="s">
        <v>379</v>
      </c>
      <c r="E71" s="367" t="s">
        <v>367</v>
      </c>
      <c r="F71" s="368">
        <v>209727</v>
      </c>
      <c r="G71" s="367" t="s">
        <v>354</v>
      </c>
      <c r="H71" s="63">
        <v>139001</v>
      </c>
      <c r="I71" s="367" t="s">
        <v>355</v>
      </c>
      <c r="J71" s="194">
        <f>(F71*H71)/1000000</f>
        <v>29152.262727000001</v>
      </c>
      <c r="K71" s="374">
        <f t="shared" ref="K71:K72" si="30">(J71/(J$71+J$72))*K$73</f>
        <v>1960.3415059859005</v>
      </c>
      <c r="L71" s="394">
        <f t="shared" ref="L71:L72" si="31">(J71/(J$71+J$72))*L$73</f>
        <v>1.2381211735791457E-2</v>
      </c>
      <c r="M71" s="394">
        <f t="shared" ref="M71:M72" si="32">(J71/(J$71+J$72))*M$73</f>
        <v>3.9568821011292284E-2</v>
      </c>
      <c r="N71" s="4"/>
      <c r="O71" s="4"/>
      <c r="P71" s="4"/>
      <c r="Q71" s="4"/>
      <c r="R71" s="4"/>
      <c r="S71" s="4"/>
      <c r="T71" s="4"/>
      <c r="U71" s="4"/>
      <c r="V71" s="4"/>
      <c r="W71" s="4"/>
      <c r="X71" s="4"/>
      <c r="Y71" s="4"/>
      <c r="Z71" s="4"/>
    </row>
    <row r="72" spans="1:26" ht="15.75" customHeight="1" x14ac:dyDescent="0.25">
      <c r="A72" s="4"/>
      <c r="B72" s="54"/>
      <c r="C72" s="367"/>
      <c r="D72" s="367"/>
      <c r="E72" s="367" t="s">
        <v>237</v>
      </c>
      <c r="F72" s="368">
        <v>193249</v>
      </c>
      <c r="G72" s="367" t="s">
        <v>563</v>
      </c>
      <c r="H72" s="63">
        <v>1031</v>
      </c>
      <c r="I72" s="367" t="s">
        <v>566</v>
      </c>
      <c r="J72" s="194">
        <f>(F72*H72)/1000</f>
        <v>199239.71900000001</v>
      </c>
      <c r="K72" s="374">
        <f t="shared" si="30"/>
        <v>13397.858494014101</v>
      </c>
      <c r="L72" s="394">
        <f t="shared" si="31"/>
        <v>8.4618788264208558E-2</v>
      </c>
      <c r="M72" s="394">
        <f t="shared" si="32"/>
        <v>0.27043117898870772</v>
      </c>
      <c r="N72" s="4"/>
      <c r="O72" s="4"/>
      <c r="P72" s="4"/>
      <c r="Q72" s="4"/>
      <c r="R72" s="4"/>
      <c r="S72" s="4"/>
      <c r="T72" s="4"/>
      <c r="U72" s="4"/>
      <c r="V72" s="4"/>
      <c r="W72" s="4"/>
      <c r="X72" s="4"/>
      <c r="Y72" s="4"/>
      <c r="Z72" s="4"/>
    </row>
    <row r="73" spans="1:26" ht="15.75" customHeight="1" x14ac:dyDescent="0.25">
      <c r="A73" s="4"/>
      <c r="B73" s="54"/>
      <c r="C73" s="54"/>
      <c r="D73" s="77"/>
      <c r="E73" s="54"/>
      <c r="F73" s="53"/>
      <c r="G73" s="54"/>
      <c r="H73" s="53"/>
      <c r="I73" s="54"/>
      <c r="J73" s="730">
        <v>242149</v>
      </c>
      <c r="K73" s="724">
        <v>15358.2</v>
      </c>
      <c r="L73" s="731">
        <v>9.7000000000000003E-2</v>
      </c>
      <c r="M73" s="731">
        <v>0.31</v>
      </c>
      <c r="N73" s="4"/>
      <c r="O73" s="4"/>
      <c r="P73" s="4"/>
      <c r="Q73" s="4"/>
      <c r="R73" s="4"/>
      <c r="S73" s="4"/>
      <c r="T73" s="4"/>
      <c r="U73" s="4"/>
      <c r="V73" s="4"/>
      <c r="W73" s="4"/>
      <c r="X73" s="4"/>
      <c r="Y73" s="4"/>
      <c r="Z73" s="4"/>
    </row>
    <row r="74" spans="1:26" ht="15.75" customHeight="1" x14ac:dyDescent="0.25">
      <c r="A74" s="4"/>
      <c r="B74" s="54"/>
      <c r="C74" s="54"/>
      <c r="D74" s="77"/>
      <c r="E74" s="54"/>
      <c r="F74" s="53"/>
      <c r="G74" s="54"/>
      <c r="H74" s="53"/>
      <c r="I74" s="54"/>
      <c r="J74" s="730"/>
      <c r="K74" s="372"/>
      <c r="L74" s="392"/>
      <c r="M74" s="392"/>
      <c r="N74" s="4"/>
      <c r="O74" s="4"/>
      <c r="P74" s="4"/>
      <c r="Q74" s="4"/>
      <c r="R74" s="4"/>
      <c r="S74" s="4"/>
      <c r="T74" s="4"/>
      <c r="U74" s="4"/>
      <c r="V74" s="4"/>
      <c r="W74" s="4"/>
      <c r="X74" s="4"/>
      <c r="Y74" s="4"/>
      <c r="Z74" s="4"/>
    </row>
    <row r="75" spans="1:26" ht="15.75" customHeight="1" x14ac:dyDescent="0.25">
      <c r="A75" s="4"/>
      <c r="B75" s="54"/>
      <c r="C75" s="54" t="s">
        <v>380</v>
      </c>
      <c r="D75" s="77" t="s">
        <v>381</v>
      </c>
      <c r="E75" s="54" t="s">
        <v>367</v>
      </c>
      <c r="F75" s="372">
        <v>661277</v>
      </c>
      <c r="G75" s="54" t="s">
        <v>354</v>
      </c>
      <c r="H75" s="53">
        <v>139001</v>
      </c>
      <c r="I75" s="54" t="s">
        <v>355</v>
      </c>
      <c r="J75" s="723">
        <f t="shared" ref="J75:J77" si="33">(F75*H75)/1000000</f>
        <v>91918.164277000003</v>
      </c>
      <c r="K75" s="372">
        <v>7510</v>
      </c>
      <c r="L75" s="392">
        <v>0.24</v>
      </c>
      <c r="M75" s="392">
        <v>0.37</v>
      </c>
      <c r="N75" s="4"/>
      <c r="O75" s="4"/>
      <c r="P75" s="4"/>
      <c r="Q75" s="4"/>
      <c r="R75" s="4"/>
      <c r="S75" s="4"/>
      <c r="T75" s="4"/>
      <c r="U75" s="4"/>
      <c r="V75" s="4"/>
      <c r="W75" s="4"/>
      <c r="X75" s="4"/>
      <c r="Y75" s="4"/>
      <c r="Z75" s="4"/>
    </row>
    <row r="76" spans="1:26" ht="15.75" customHeight="1" x14ac:dyDescent="0.25">
      <c r="A76" s="4"/>
      <c r="B76" s="54"/>
      <c r="C76" s="54" t="s">
        <v>382</v>
      </c>
      <c r="D76" s="77" t="s">
        <v>383</v>
      </c>
      <c r="E76" s="54" t="s">
        <v>367</v>
      </c>
      <c r="F76" s="372">
        <v>761546</v>
      </c>
      <c r="G76" s="54" t="s">
        <v>354</v>
      </c>
      <c r="H76" s="53">
        <v>139001</v>
      </c>
      <c r="I76" s="54" t="s">
        <v>355</v>
      </c>
      <c r="J76" s="723">
        <f t="shared" si="33"/>
        <v>105855.65554599999</v>
      </c>
      <c r="K76" s="372">
        <v>8648</v>
      </c>
      <c r="L76" s="392">
        <v>0.28000000000000003</v>
      </c>
      <c r="M76" s="392">
        <v>0.42</v>
      </c>
      <c r="N76" s="4"/>
      <c r="O76" s="4"/>
      <c r="P76" s="4"/>
      <c r="Q76" s="4"/>
      <c r="R76" s="4"/>
      <c r="S76" s="4"/>
      <c r="T76" s="4"/>
      <c r="U76" s="4"/>
      <c r="V76" s="4"/>
      <c r="W76" s="4"/>
      <c r="X76" s="4"/>
      <c r="Y76" s="4"/>
      <c r="Z76" s="4"/>
    </row>
    <row r="77" spans="1:26" ht="15.75" customHeight="1" x14ac:dyDescent="0.25">
      <c r="A77" s="4"/>
      <c r="B77" s="54"/>
      <c r="C77" s="54" t="s">
        <v>384</v>
      </c>
      <c r="D77" s="77" t="s">
        <v>385</v>
      </c>
      <c r="E77" s="54" t="s">
        <v>367</v>
      </c>
      <c r="F77" s="372">
        <v>390</v>
      </c>
      <c r="G77" s="54" t="s">
        <v>354</v>
      </c>
      <c r="H77" s="53">
        <v>139001</v>
      </c>
      <c r="I77" s="54" t="s">
        <v>355</v>
      </c>
      <c r="J77" s="723">
        <f t="shared" si="33"/>
        <v>54.210389999999997</v>
      </c>
      <c r="K77" s="372">
        <v>4</v>
      </c>
      <c r="L77" s="413">
        <v>1.3999999999999999E-4</v>
      </c>
      <c r="M77" s="413">
        <v>2.2000000000000001E-4</v>
      </c>
      <c r="N77" s="4"/>
      <c r="O77" s="4"/>
      <c r="P77" s="4"/>
      <c r="Q77" s="4"/>
      <c r="R77" s="4"/>
      <c r="S77" s="4"/>
      <c r="T77" s="4"/>
      <c r="U77" s="4"/>
      <c r="V77" s="4"/>
      <c r="W77" s="4"/>
      <c r="X77" s="4"/>
      <c r="Y77" s="4"/>
      <c r="Z77" s="4"/>
    </row>
    <row r="78" spans="1:26" ht="15.75" customHeight="1" x14ac:dyDescent="0.25">
      <c r="A78" s="4"/>
      <c r="B78" s="68"/>
      <c r="C78" s="68"/>
      <c r="D78" s="68"/>
      <c r="E78" s="68"/>
      <c r="F78" s="202"/>
      <c r="G78" s="68"/>
      <c r="H78" s="202"/>
      <c r="I78" s="68"/>
      <c r="J78" s="737"/>
      <c r="K78" s="406"/>
      <c r="L78" s="400"/>
      <c r="M78" s="400"/>
      <c r="N78" s="4"/>
      <c r="O78" s="4"/>
      <c r="P78" s="4"/>
      <c r="Q78" s="4"/>
      <c r="R78" s="4"/>
      <c r="S78" s="4"/>
      <c r="T78" s="4"/>
      <c r="U78" s="4"/>
      <c r="V78" s="4"/>
      <c r="W78" s="4"/>
      <c r="X78" s="4"/>
      <c r="Y78" s="4"/>
      <c r="Z78" s="4"/>
    </row>
    <row r="79" spans="1:26" ht="15.75" customHeight="1" x14ac:dyDescent="0.25">
      <c r="A79" s="4"/>
      <c r="B79" s="83"/>
      <c r="C79" s="83"/>
      <c r="D79" s="83"/>
      <c r="E79" s="83"/>
      <c r="F79" s="718"/>
      <c r="G79" s="83"/>
      <c r="H79" s="718"/>
      <c r="I79" s="83"/>
      <c r="J79" s="718"/>
      <c r="K79" s="719"/>
      <c r="L79" s="720"/>
      <c r="M79" s="720"/>
      <c r="N79" s="4"/>
      <c r="O79" s="4"/>
      <c r="P79" s="4"/>
      <c r="Q79" s="4"/>
      <c r="R79" s="4"/>
      <c r="S79" s="4"/>
      <c r="T79" s="4"/>
      <c r="U79" s="4"/>
      <c r="V79" s="4"/>
      <c r="W79" s="4"/>
      <c r="X79" s="4"/>
      <c r="Y79" s="4"/>
      <c r="Z79" s="4"/>
    </row>
    <row r="80" spans="1:26" ht="15.75" customHeight="1" x14ac:dyDescent="0.25">
      <c r="A80" s="4"/>
      <c r="B80" s="45" t="s">
        <v>386</v>
      </c>
      <c r="C80" s="46" t="s">
        <v>387</v>
      </c>
      <c r="D80" s="45"/>
      <c r="E80" s="45"/>
      <c r="F80" s="363"/>
      <c r="G80" s="45"/>
      <c r="H80" s="363"/>
      <c r="I80" s="45"/>
      <c r="J80" s="492"/>
      <c r="K80" s="438"/>
      <c r="L80" s="384"/>
      <c r="M80" s="384"/>
      <c r="N80" s="4"/>
      <c r="O80" s="4"/>
      <c r="P80" s="4"/>
      <c r="Q80" s="4"/>
      <c r="R80" s="4"/>
      <c r="S80" s="4"/>
      <c r="T80" s="4"/>
      <c r="U80" s="4"/>
      <c r="V80" s="4"/>
      <c r="W80" s="4"/>
      <c r="X80" s="4"/>
      <c r="Y80" s="4"/>
      <c r="Z80" s="4"/>
    </row>
    <row r="81" spans="1:26" ht="15.75" customHeight="1" x14ac:dyDescent="0.25">
      <c r="A81" s="4"/>
      <c r="B81" s="54"/>
      <c r="C81" s="367" t="s">
        <v>388</v>
      </c>
      <c r="D81" s="367" t="s">
        <v>389</v>
      </c>
      <c r="E81" s="367" t="s">
        <v>237</v>
      </c>
      <c r="F81" s="368">
        <v>90508</v>
      </c>
      <c r="G81" s="367" t="s">
        <v>563</v>
      </c>
      <c r="H81" s="63">
        <v>1032</v>
      </c>
      <c r="I81" s="367" t="s">
        <v>564</v>
      </c>
      <c r="J81" s="194">
        <f>(F81*H81)/1000</f>
        <v>93404.255999999994</v>
      </c>
      <c r="K81" s="194">
        <f t="shared" ref="K81:K82" si="34">+J81/(J$81+J$82)*K$83</f>
        <v>5476.2034079014793</v>
      </c>
      <c r="L81" s="370">
        <f t="shared" ref="L81:L82" si="35">+J81/(J$81+J$82)*L$83</f>
        <v>9.0109554954250229E-2</v>
      </c>
      <c r="M81" s="370">
        <f t="shared" ref="M81:M82" si="36">+J81/(J$81+J$82)*M$83</f>
        <v>0.18021910990850046</v>
      </c>
      <c r="N81" s="4"/>
      <c r="O81" s="4"/>
      <c r="P81" s="4"/>
      <c r="Q81" s="4"/>
      <c r="R81" s="4"/>
      <c r="S81" s="4"/>
      <c r="T81" s="4"/>
      <c r="U81" s="4"/>
      <c r="V81" s="4"/>
      <c r="W81" s="4"/>
      <c r="X81" s="4"/>
      <c r="Y81" s="4"/>
      <c r="Z81" s="4"/>
    </row>
    <row r="82" spans="1:26" ht="15.75" customHeight="1" x14ac:dyDescent="0.25">
      <c r="A82" s="4"/>
      <c r="B82" s="54"/>
      <c r="C82" s="367"/>
      <c r="D82" s="367"/>
      <c r="E82" s="367" t="s">
        <v>367</v>
      </c>
      <c r="F82" s="368">
        <v>148903</v>
      </c>
      <c r="G82" s="367" t="s">
        <v>354</v>
      </c>
      <c r="H82" s="63">
        <v>138464</v>
      </c>
      <c r="I82" s="367" t="s">
        <v>355</v>
      </c>
      <c r="J82" s="194">
        <f>(F82*H82)/1000000</f>
        <v>20617.704991999999</v>
      </c>
      <c r="K82" s="194">
        <f t="shared" si="34"/>
        <v>1208.7965920985203</v>
      </c>
      <c r="L82" s="370">
        <f t="shared" si="35"/>
        <v>1.9890445045749772E-2</v>
      </c>
      <c r="M82" s="370">
        <f t="shared" si="36"/>
        <v>3.9780890091499543E-2</v>
      </c>
      <c r="N82" s="4"/>
      <c r="O82" s="4"/>
      <c r="P82" s="4"/>
      <c r="Q82" s="4"/>
      <c r="R82" s="4"/>
      <c r="S82" s="4"/>
      <c r="T82" s="4"/>
      <c r="U82" s="4"/>
      <c r="V82" s="4"/>
      <c r="W82" s="4"/>
      <c r="X82" s="4"/>
      <c r="Y82" s="4"/>
      <c r="Z82" s="4"/>
    </row>
    <row r="83" spans="1:26" ht="15.75" customHeight="1" x14ac:dyDescent="0.25">
      <c r="A83" s="4"/>
      <c r="B83" s="738"/>
      <c r="C83" s="739"/>
      <c r="D83" s="739"/>
      <c r="E83" s="739"/>
      <c r="F83" s="740"/>
      <c r="G83" s="739"/>
      <c r="H83" s="741"/>
      <c r="I83" s="739"/>
      <c r="J83" s="733">
        <f>J81+J82</f>
        <v>114021.96099199999</v>
      </c>
      <c r="K83" s="727">
        <v>6685</v>
      </c>
      <c r="L83" s="728">
        <v>0.11</v>
      </c>
      <c r="M83" s="728">
        <v>0.22</v>
      </c>
      <c r="N83" s="4"/>
      <c r="O83" s="4"/>
      <c r="P83" s="4"/>
      <c r="Q83" s="4"/>
      <c r="R83" s="4"/>
      <c r="S83" s="4"/>
      <c r="T83" s="4"/>
      <c r="U83" s="4"/>
      <c r="V83" s="4"/>
      <c r="W83" s="4"/>
      <c r="X83" s="4"/>
      <c r="Y83" s="4"/>
      <c r="Z83" s="4"/>
    </row>
    <row r="84" spans="1:26" ht="15.75" customHeight="1" x14ac:dyDescent="0.25">
      <c r="A84" s="4"/>
      <c r="B84" s="97"/>
      <c r="C84" s="97"/>
      <c r="D84" s="97"/>
      <c r="E84" s="97"/>
      <c r="F84" s="96"/>
      <c r="G84" s="97"/>
      <c r="H84" s="96"/>
      <c r="I84" s="97"/>
      <c r="J84" s="742"/>
      <c r="K84" s="742"/>
      <c r="L84" s="742"/>
      <c r="M84" s="743"/>
      <c r="N84" s="4"/>
      <c r="O84" s="4"/>
      <c r="P84" s="4"/>
      <c r="Q84" s="4"/>
      <c r="R84" s="4"/>
      <c r="S84" s="4"/>
      <c r="T84" s="4"/>
      <c r="U84" s="4"/>
      <c r="V84" s="4"/>
      <c r="W84" s="4"/>
      <c r="X84" s="4"/>
      <c r="Y84" s="4"/>
      <c r="Z84" s="4"/>
    </row>
    <row r="85" spans="1:26" ht="15.75" customHeight="1" x14ac:dyDescent="0.25">
      <c r="A85" s="4"/>
      <c r="B85" s="45" t="s">
        <v>314</v>
      </c>
      <c r="C85" s="46" t="s">
        <v>315</v>
      </c>
      <c r="D85" s="45"/>
      <c r="E85" s="45"/>
      <c r="F85" s="363"/>
      <c r="G85" s="45"/>
      <c r="H85" s="363"/>
      <c r="I85" s="45"/>
      <c r="J85" s="492"/>
      <c r="K85" s="438"/>
      <c r="L85" s="384"/>
      <c r="M85" s="384"/>
      <c r="N85" s="4"/>
      <c r="O85" s="4"/>
      <c r="P85" s="4"/>
      <c r="Q85" s="4"/>
      <c r="R85" s="4"/>
      <c r="S85" s="4"/>
      <c r="T85" s="4"/>
      <c r="U85" s="4"/>
      <c r="V85" s="4"/>
      <c r="W85" s="4"/>
      <c r="X85" s="4"/>
      <c r="Y85" s="4"/>
      <c r="Z85" s="4"/>
    </row>
    <row r="86" spans="1:26" ht="15.75" customHeight="1" x14ac:dyDescent="0.25">
      <c r="A86" s="4"/>
      <c r="B86" s="54"/>
      <c r="C86" s="54" t="s">
        <v>567</v>
      </c>
      <c r="D86" s="54" t="s">
        <v>298</v>
      </c>
      <c r="E86" s="54" t="s">
        <v>237</v>
      </c>
      <c r="F86" s="372">
        <v>443</v>
      </c>
      <c r="G86" s="54" t="s">
        <v>664</v>
      </c>
      <c r="H86" s="53">
        <v>1027</v>
      </c>
      <c r="I86" s="54" t="s">
        <v>568</v>
      </c>
      <c r="J86" s="744">
        <f>(F86*H86)/1000</f>
        <v>454.96100000000001</v>
      </c>
      <c r="K86" s="372"/>
      <c r="L86" s="392"/>
      <c r="M86" s="392"/>
      <c r="N86" s="4"/>
      <c r="O86" s="4"/>
      <c r="P86" s="4"/>
      <c r="Q86" s="4"/>
      <c r="R86" s="4"/>
      <c r="S86" s="4"/>
      <c r="T86" s="4"/>
      <c r="U86" s="4"/>
      <c r="V86" s="4"/>
      <c r="W86" s="4"/>
      <c r="X86" s="4"/>
      <c r="Y86" s="4"/>
      <c r="Z86" s="4"/>
    </row>
    <row r="87" spans="1:26" ht="15.75" customHeight="1" x14ac:dyDescent="0.25">
      <c r="A87" s="4"/>
      <c r="B87" s="54"/>
      <c r="C87" s="54"/>
      <c r="D87" s="54"/>
      <c r="E87" s="54"/>
      <c r="F87" s="53"/>
      <c r="G87" s="54"/>
      <c r="H87" s="53"/>
      <c r="I87" s="54"/>
      <c r="J87" s="736">
        <v>503736</v>
      </c>
      <c r="K87" s="714">
        <v>29944</v>
      </c>
      <c r="L87" s="375">
        <v>0.5</v>
      </c>
      <c r="M87" s="375">
        <v>0.49</v>
      </c>
      <c r="N87" s="4"/>
      <c r="O87" s="4"/>
      <c r="P87" s="4"/>
      <c r="Q87" s="4"/>
      <c r="R87" s="4"/>
      <c r="S87" s="4"/>
      <c r="T87" s="4"/>
      <c r="U87" s="4"/>
      <c r="V87" s="4"/>
      <c r="W87" s="4"/>
      <c r="X87" s="4"/>
      <c r="Y87" s="4"/>
      <c r="Z87" s="4"/>
    </row>
    <row r="88" spans="1:26" ht="15.75" customHeight="1" x14ac:dyDescent="0.25">
      <c r="A88" s="4"/>
      <c r="B88" s="54"/>
      <c r="C88" s="367" t="s">
        <v>316</v>
      </c>
      <c r="D88" s="367" t="s">
        <v>302</v>
      </c>
      <c r="E88" s="367" t="s">
        <v>565</v>
      </c>
      <c r="F88" s="368">
        <v>43</v>
      </c>
      <c r="G88" s="367" t="s">
        <v>665</v>
      </c>
      <c r="H88" s="63">
        <v>1027</v>
      </c>
      <c r="I88" s="367" t="s">
        <v>568</v>
      </c>
      <c r="J88" s="194">
        <f t="shared" ref="J88:J89" si="37">(F88*H88)</f>
        <v>44161</v>
      </c>
      <c r="K88" s="374">
        <f t="shared" ref="K88:K89" si="38">(J88/(J$88+J$89))*K$90</f>
        <v>4841.7340263570513</v>
      </c>
      <c r="L88" s="745">
        <f t="shared" ref="L88:L89" si="39">(J88/(J$88+J$89))*L$90</f>
        <v>3.6544284840361319E-2</v>
      </c>
      <c r="M88" s="746">
        <f t="shared" ref="M88:M89" si="40">(J88/(J$88+J$89))*M$90</f>
        <v>2.7773656478674601E-2</v>
      </c>
      <c r="N88" s="4"/>
      <c r="O88" s="4"/>
      <c r="P88" s="4"/>
      <c r="Q88" s="4"/>
      <c r="R88" s="4"/>
      <c r="S88" s="4"/>
      <c r="T88" s="4"/>
      <c r="U88" s="4"/>
      <c r="V88" s="4"/>
      <c r="W88" s="4"/>
      <c r="X88" s="4"/>
      <c r="Y88" s="4"/>
      <c r="Z88" s="4"/>
    </row>
    <row r="89" spans="1:26" ht="15.75" customHeight="1" x14ac:dyDescent="0.25">
      <c r="A89" s="4"/>
      <c r="B89" s="54"/>
      <c r="C89" s="367"/>
      <c r="D89" s="367" t="s">
        <v>302</v>
      </c>
      <c r="E89" s="367" t="s">
        <v>299</v>
      </c>
      <c r="F89" s="368">
        <v>199564</v>
      </c>
      <c r="G89" s="367" t="s">
        <v>293</v>
      </c>
      <c r="H89" s="63">
        <v>24</v>
      </c>
      <c r="I89" s="367" t="s">
        <v>317</v>
      </c>
      <c r="J89" s="194">
        <f t="shared" si="37"/>
        <v>4789536</v>
      </c>
      <c r="K89" s="374">
        <f t="shared" si="38"/>
        <v>525116.26597364293</v>
      </c>
      <c r="L89" s="745">
        <f t="shared" si="39"/>
        <v>3.9634557151596388</v>
      </c>
      <c r="M89" s="746">
        <f t="shared" si="40"/>
        <v>3.0122263435213257</v>
      </c>
      <c r="N89" s="4"/>
      <c r="O89" s="4"/>
      <c r="P89" s="4"/>
      <c r="Q89" s="4"/>
      <c r="R89" s="4"/>
      <c r="S89" s="4"/>
      <c r="T89" s="4"/>
      <c r="U89" s="4"/>
      <c r="V89" s="4"/>
      <c r="W89" s="4"/>
      <c r="X89" s="4"/>
      <c r="Y89" s="4"/>
      <c r="Z89" s="4"/>
    </row>
    <row r="90" spans="1:26" ht="15.75" customHeight="1" x14ac:dyDescent="0.25">
      <c r="A90" s="4"/>
      <c r="B90" s="54"/>
      <c r="C90" s="54"/>
      <c r="D90" s="54"/>
      <c r="E90" s="54"/>
      <c r="F90" s="53"/>
      <c r="G90" s="54"/>
      <c r="H90" s="53"/>
      <c r="I90" s="54"/>
      <c r="J90" s="723">
        <v>5165299</v>
      </c>
      <c r="K90" s="724">
        <v>529958</v>
      </c>
      <c r="L90" s="731">
        <v>4</v>
      </c>
      <c r="M90" s="731">
        <v>3.04</v>
      </c>
      <c r="N90" s="4"/>
      <c r="O90" s="4"/>
      <c r="P90" s="4"/>
      <c r="Q90" s="4"/>
      <c r="R90" s="4"/>
      <c r="S90" s="4"/>
      <c r="T90" s="4"/>
      <c r="U90" s="4"/>
      <c r="V90" s="4"/>
      <c r="W90" s="4"/>
      <c r="X90" s="4"/>
      <c r="Y90" s="4"/>
      <c r="Z90" s="4"/>
    </row>
    <row r="91" spans="1:26" ht="15.75" customHeight="1" x14ac:dyDescent="0.25">
      <c r="A91" s="4"/>
      <c r="B91" s="54"/>
      <c r="C91" s="367" t="s">
        <v>318</v>
      </c>
      <c r="D91" s="367" t="s">
        <v>319</v>
      </c>
      <c r="E91" s="367" t="s">
        <v>565</v>
      </c>
      <c r="F91" s="368">
        <v>72</v>
      </c>
      <c r="G91" s="367" t="s">
        <v>665</v>
      </c>
      <c r="H91" s="63">
        <v>1027</v>
      </c>
      <c r="I91" s="367" t="s">
        <v>568</v>
      </c>
      <c r="J91" s="194">
        <f t="shared" ref="J91:J92" si="41">(F91*H91)</f>
        <v>73944</v>
      </c>
      <c r="K91" s="374">
        <f t="shared" ref="K91:K92" si="42">J91/(J$91+J$92)*K$93</f>
        <v>7697.276586086301</v>
      </c>
      <c r="L91" s="747">
        <f t="shared" ref="L91:L92" si="43">J91/(J$91+J$92)*L$93</f>
        <v>6.172230143152161E-2</v>
      </c>
      <c r="M91" s="747">
        <f t="shared" ref="M91:M92" si="44">J91/(J$91+J$92)*M$93</f>
        <v>4.6423050119240195E-2</v>
      </c>
      <c r="N91" s="4"/>
      <c r="O91" s="4"/>
      <c r="P91" s="4"/>
      <c r="Q91" s="4"/>
      <c r="R91" s="4"/>
      <c r="S91" s="4"/>
      <c r="T91" s="4"/>
      <c r="U91" s="4"/>
      <c r="V91" s="4"/>
      <c r="W91" s="4"/>
      <c r="X91" s="4"/>
      <c r="Y91" s="4"/>
      <c r="Z91" s="4"/>
    </row>
    <row r="92" spans="1:26" ht="15.75" customHeight="1" x14ac:dyDescent="0.25">
      <c r="A92" s="4"/>
      <c r="B92" s="54"/>
      <c r="C92" s="367"/>
      <c r="D92" s="367" t="s">
        <v>319</v>
      </c>
      <c r="E92" s="367" t="s">
        <v>299</v>
      </c>
      <c r="F92" s="368">
        <v>466140</v>
      </c>
      <c r="G92" s="367" t="s">
        <v>293</v>
      </c>
      <c r="H92" s="63">
        <v>24</v>
      </c>
      <c r="I92" s="367" t="s">
        <v>317</v>
      </c>
      <c r="J92" s="194">
        <f t="shared" si="41"/>
        <v>11187360</v>
      </c>
      <c r="K92" s="374">
        <f t="shared" si="42"/>
        <v>1164559.7234139137</v>
      </c>
      <c r="L92" s="747">
        <f t="shared" si="43"/>
        <v>9.3382776985684792</v>
      </c>
      <c r="M92" s="747">
        <f t="shared" si="44"/>
        <v>7.0235769498807601</v>
      </c>
      <c r="N92" s="4"/>
      <c r="O92" s="4"/>
      <c r="P92" s="4"/>
      <c r="Q92" s="4"/>
      <c r="R92" s="4"/>
      <c r="S92" s="4"/>
      <c r="T92" s="4"/>
      <c r="U92" s="4"/>
      <c r="V92" s="4"/>
      <c r="W92" s="4"/>
      <c r="X92" s="4"/>
      <c r="Y92" s="4"/>
      <c r="Z92" s="4"/>
    </row>
    <row r="93" spans="1:26" ht="15.75" customHeight="1" x14ac:dyDescent="0.25">
      <c r="A93" s="4"/>
      <c r="B93" s="54"/>
      <c r="C93" s="54"/>
      <c r="D93" s="54"/>
      <c r="E93" s="54"/>
      <c r="F93" s="53"/>
      <c r="G93" s="54"/>
      <c r="H93" s="53"/>
      <c r="I93" s="54"/>
      <c r="J93" s="723">
        <v>11425504</v>
      </c>
      <c r="K93" s="724">
        <v>1172257</v>
      </c>
      <c r="L93" s="731">
        <v>9.4</v>
      </c>
      <c r="M93" s="731">
        <v>7.07</v>
      </c>
      <c r="N93" s="4"/>
      <c r="O93" s="4"/>
      <c r="P93" s="4"/>
      <c r="Q93" s="4"/>
      <c r="R93" s="4"/>
      <c r="S93" s="4"/>
      <c r="T93" s="4"/>
      <c r="U93" s="4"/>
      <c r="V93" s="4"/>
      <c r="W93" s="4"/>
      <c r="X93" s="4"/>
      <c r="Y93" s="4"/>
      <c r="Z93" s="4"/>
    </row>
    <row r="94" spans="1:26" ht="15.75" customHeight="1" x14ac:dyDescent="0.25">
      <c r="A94" s="4"/>
      <c r="B94" s="54"/>
      <c r="C94" s="367" t="s">
        <v>525</v>
      </c>
      <c r="D94" s="367" t="s">
        <v>545</v>
      </c>
      <c r="E94" s="367" t="s">
        <v>565</v>
      </c>
      <c r="F94" s="368">
        <v>9</v>
      </c>
      <c r="G94" s="367" t="s">
        <v>665</v>
      </c>
      <c r="H94" s="63">
        <v>1027</v>
      </c>
      <c r="I94" s="367" t="s">
        <v>568</v>
      </c>
      <c r="J94" s="194">
        <f t="shared" ref="J94:J95" si="45">(F94*H94)</f>
        <v>9243</v>
      </c>
      <c r="K94" s="748">
        <f>(J94/(J94+J95))*K96</f>
        <v>737.03880652743953</v>
      </c>
      <c r="L94" s="748">
        <f>(J94/(J94+J95))*L96</f>
        <v>7.8436197927716153E-3</v>
      </c>
      <c r="M94" s="748">
        <f>(J94/(J94+J95))*M96</f>
        <v>1.5948693578635618E-2</v>
      </c>
      <c r="N94" s="4"/>
      <c r="O94" s="4"/>
      <c r="P94" s="4"/>
      <c r="Q94" s="4"/>
      <c r="R94" s="4"/>
      <c r="S94" s="4"/>
      <c r="T94" s="4"/>
      <c r="U94" s="4"/>
      <c r="V94" s="4"/>
      <c r="W94" s="4"/>
      <c r="X94" s="4"/>
      <c r="Y94" s="4"/>
      <c r="Z94" s="4"/>
    </row>
    <row r="95" spans="1:26" ht="15.75" customHeight="1" x14ac:dyDescent="0.25">
      <c r="A95" s="4"/>
      <c r="B95" s="54"/>
      <c r="C95" s="367"/>
      <c r="D95" s="367" t="s">
        <v>545</v>
      </c>
      <c r="E95" s="367" t="s">
        <v>546</v>
      </c>
      <c r="F95" s="368">
        <v>2280</v>
      </c>
      <c r="G95" s="367" t="s">
        <v>666</v>
      </c>
      <c r="H95" s="63">
        <v>151</v>
      </c>
      <c r="I95" s="367" t="s">
        <v>393</v>
      </c>
      <c r="J95" s="194">
        <f t="shared" si="45"/>
        <v>344280</v>
      </c>
      <c r="K95" s="368">
        <f>(J95/(J94+J95))*K96</f>
        <v>27452.961193472558</v>
      </c>
      <c r="L95" s="378">
        <f>(J95/(J94+J95))*L96</f>
        <v>0.29215638020722834</v>
      </c>
      <c r="M95" s="378">
        <f>(J95/(J95+J94))*M96</f>
        <v>0.59405130642136439</v>
      </c>
      <c r="N95" s="4"/>
      <c r="O95" s="4"/>
      <c r="P95" s="4"/>
      <c r="Q95" s="4"/>
      <c r="R95" s="4"/>
      <c r="S95" s="4"/>
      <c r="T95" s="4"/>
      <c r="U95" s="4"/>
      <c r="V95" s="4"/>
      <c r="W95" s="4"/>
      <c r="X95" s="4"/>
      <c r="Y95" s="4"/>
      <c r="Z95" s="4"/>
    </row>
    <row r="96" spans="1:26" ht="15.75" customHeight="1" x14ac:dyDescent="0.25">
      <c r="A96" s="4"/>
      <c r="B96" s="54"/>
      <c r="C96" s="54"/>
      <c r="D96" s="54"/>
      <c r="E96" s="54"/>
      <c r="F96" s="53"/>
      <c r="G96" s="54"/>
      <c r="H96" s="53"/>
      <c r="I96" s="54"/>
      <c r="J96" s="723">
        <v>348684</v>
      </c>
      <c r="K96" s="724">
        <v>28190</v>
      </c>
      <c r="L96" s="731">
        <v>0.3</v>
      </c>
      <c r="M96" s="731">
        <v>0.61</v>
      </c>
      <c r="N96" s="4"/>
      <c r="O96" s="4"/>
      <c r="P96" s="4"/>
      <c r="Q96" s="4"/>
      <c r="R96" s="4"/>
      <c r="S96" s="4"/>
      <c r="T96" s="4"/>
      <c r="U96" s="4"/>
      <c r="V96" s="4"/>
      <c r="W96" s="4"/>
      <c r="X96" s="4"/>
      <c r="Y96" s="4"/>
      <c r="Z96" s="4"/>
    </row>
    <row r="97" spans="1:26" ht="15.75" customHeight="1" x14ac:dyDescent="0.25">
      <c r="A97" s="4"/>
      <c r="B97" s="54"/>
      <c r="C97" s="54"/>
      <c r="D97" s="54"/>
      <c r="E97" s="54"/>
      <c r="F97" s="53"/>
      <c r="G97" s="54"/>
      <c r="H97" s="53"/>
      <c r="I97" s="54"/>
      <c r="J97" s="732"/>
      <c r="K97" s="372"/>
      <c r="L97" s="392"/>
      <c r="M97" s="392"/>
      <c r="N97" s="4"/>
      <c r="O97" s="4"/>
      <c r="P97" s="4"/>
      <c r="Q97" s="4"/>
      <c r="R97" s="4"/>
      <c r="S97" s="4"/>
      <c r="T97" s="4"/>
      <c r="U97" s="4"/>
      <c r="V97" s="4"/>
      <c r="W97" s="4"/>
      <c r="X97" s="4"/>
      <c r="Y97" s="4"/>
      <c r="Z97" s="4"/>
    </row>
    <row r="98" spans="1:26" ht="15.75" customHeight="1" x14ac:dyDescent="0.25">
      <c r="A98" s="4"/>
      <c r="B98" s="68"/>
      <c r="C98" s="68" t="s">
        <v>390</v>
      </c>
      <c r="D98" s="68" t="s">
        <v>391</v>
      </c>
      <c r="E98" s="68" t="s">
        <v>392</v>
      </c>
      <c r="F98" s="406">
        <v>44</v>
      </c>
      <c r="G98" s="68" t="s">
        <v>667</v>
      </c>
      <c r="H98" s="202">
        <v>139</v>
      </c>
      <c r="I98" s="68" t="s">
        <v>393</v>
      </c>
      <c r="J98" s="749">
        <f>(F98*H98)</f>
        <v>6116</v>
      </c>
      <c r="K98" s="734">
        <v>478.5</v>
      </c>
      <c r="L98" s="419">
        <v>0</v>
      </c>
      <c r="M98" s="735">
        <v>0.01</v>
      </c>
      <c r="N98" s="4"/>
      <c r="O98" s="4"/>
      <c r="P98" s="4"/>
      <c r="Q98" s="4"/>
      <c r="R98" s="4"/>
      <c r="S98" s="4"/>
      <c r="T98" s="4"/>
      <c r="U98" s="4"/>
      <c r="V98" s="4"/>
      <c r="W98" s="4"/>
      <c r="X98" s="4"/>
      <c r="Y98" s="4"/>
      <c r="Z98" s="4"/>
    </row>
    <row r="99" spans="1:26" ht="15.75" customHeight="1" x14ac:dyDescent="0.25">
      <c r="A99" s="4"/>
      <c r="B99" s="83"/>
      <c r="C99" s="83"/>
      <c r="D99" s="83"/>
      <c r="E99" s="83"/>
      <c r="F99" s="718"/>
      <c r="G99" s="83"/>
      <c r="H99" s="718"/>
      <c r="I99" s="83"/>
      <c r="J99" s="83"/>
      <c r="K99" s="719"/>
      <c r="L99" s="720"/>
      <c r="M99" s="720"/>
      <c r="N99" s="4"/>
      <c r="O99" s="4"/>
      <c r="P99" s="4"/>
      <c r="Q99" s="4"/>
      <c r="R99" s="4"/>
      <c r="S99" s="4"/>
      <c r="T99" s="4"/>
      <c r="U99" s="4"/>
      <c r="V99" s="4"/>
      <c r="W99" s="4"/>
      <c r="X99" s="4"/>
      <c r="Y99" s="4"/>
      <c r="Z99" s="4"/>
    </row>
    <row r="100" spans="1:26" ht="15.75" customHeight="1" x14ac:dyDescent="0.25">
      <c r="A100" s="4"/>
      <c r="B100" s="45" t="s">
        <v>394</v>
      </c>
      <c r="C100" s="46" t="s">
        <v>395</v>
      </c>
      <c r="D100" s="45"/>
      <c r="E100" s="45"/>
      <c r="F100" s="363"/>
      <c r="G100" s="45"/>
      <c r="H100" s="363"/>
      <c r="I100" s="45"/>
      <c r="J100" s="492"/>
      <c r="K100" s="438"/>
      <c r="L100" s="384"/>
      <c r="M100" s="384"/>
      <c r="N100" s="4"/>
      <c r="O100" s="4"/>
      <c r="P100" s="4"/>
      <c r="Q100" s="4"/>
      <c r="R100" s="4"/>
      <c r="S100" s="4"/>
      <c r="T100" s="4"/>
      <c r="U100" s="4"/>
      <c r="V100" s="4"/>
      <c r="W100" s="4"/>
      <c r="X100" s="4"/>
      <c r="Y100" s="4"/>
      <c r="Z100" s="4"/>
    </row>
    <row r="101" spans="1:26" ht="15.75" customHeight="1" x14ac:dyDescent="0.25">
      <c r="A101" s="4"/>
      <c r="B101" s="54"/>
      <c r="C101" s="367" t="s">
        <v>396</v>
      </c>
      <c r="D101" s="367" t="s">
        <v>397</v>
      </c>
      <c r="E101" s="367" t="s">
        <v>237</v>
      </c>
      <c r="F101" s="368">
        <v>393000000</v>
      </c>
      <c r="G101" s="367" t="s">
        <v>563</v>
      </c>
      <c r="H101" s="63">
        <v>1027</v>
      </c>
      <c r="I101" s="367" t="s">
        <v>568</v>
      </c>
      <c r="J101" s="374">
        <f>(F101*H101)/1000000</f>
        <v>403611</v>
      </c>
      <c r="K101" s="374">
        <f t="shared" ref="K101:K102" si="46">(+J101/(J$101+J$102))*K$103</f>
        <v>26536.398017531566</v>
      </c>
      <c r="L101" s="394">
        <f t="shared" ref="L101:L102" si="47">(+J101/(J$101+J$102))*L$103</f>
        <v>1.2524942549573961</v>
      </c>
      <c r="M101" s="394">
        <f t="shared" ref="M101:M102" si="48">(+J101/(J$101+J$102))*M$103</f>
        <v>0.52736600208732465</v>
      </c>
      <c r="N101" s="4"/>
      <c r="O101" s="4"/>
      <c r="P101" s="4"/>
      <c r="Q101" s="4"/>
      <c r="R101" s="4"/>
      <c r="S101" s="4"/>
      <c r="T101" s="4"/>
      <c r="U101" s="4"/>
      <c r="V101" s="4"/>
      <c r="W101" s="4"/>
      <c r="X101" s="4"/>
      <c r="Y101" s="4"/>
      <c r="Z101" s="4"/>
    </row>
    <row r="102" spans="1:26" ht="15.75" customHeight="1" x14ac:dyDescent="0.25">
      <c r="A102" s="4"/>
      <c r="B102" s="54"/>
      <c r="C102" s="367"/>
      <c r="D102" s="367" t="s">
        <v>397</v>
      </c>
      <c r="E102" s="367" t="s">
        <v>392</v>
      </c>
      <c r="F102" s="368">
        <v>1512000</v>
      </c>
      <c r="G102" s="367" t="s">
        <v>354</v>
      </c>
      <c r="H102" s="63">
        <v>138</v>
      </c>
      <c r="I102" s="367" t="s">
        <v>393</v>
      </c>
      <c r="J102" s="374">
        <f>(F102*H102)/1000</f>
        <v>208656</v>
      </c>
      <c r="K102" s="374">
        <f t="shared" si="46"/>
        <v>13718.601982468434</v>
      </c>
      <c r="L102" s="394">
        <f t="shared" si="47"/>
        <v>0.64750574504260394</v>
      </c>
      <c r="M102" s="394">
        <f t="shared" si="48"/>
        <v>0.2726339979126754</v>
      </c>
      <c r="N102" s="4"/>
      <c r="O102" s="4"/>
      <c r="P102" s="4"/>
      <c r="Q102" s="4"/>
      <c r="R102" s="4"/>
      <c r="S102" s="4"/>
      <c r="T102" s="4"/>
      <c r="U102" s="4"/>
      <c r="V102" s="4"/>
      <c r="W102" s="4"/>
      <c r="X102" s="4"/>
      <c r="Y102" s="4"/>
      <c r="Z102" s="4"/>
    </row>
    <row r="103" spans="1:26" ht="15.75" customHeight="1" x14ac:dyDescent="0.25">
      <c r="A103" s="4"/>
      <c r="B103" s="54"/>
      <c r="C103" s="54"/>
      <c r="D103" s="54"/>
      <c r="E103" s="54"/>
      <c r="F103" s="372"/>
      <c r="G103" s="54"/>
      <c r="H103" s="53"/>
      <c r="I103" s="54"/>
      <c r="J103" s="723">
        <f>J101+J102</f>
        <v>612267</v>
      </c>
      <c r="K103" s="724">
        <v>40255</v>
      </c>
      <c r="L103" s="731">
        <v>1.9</v>
      </c>
      <c r="M103" s="731">
        <v>0.8</v>
      </c>
      <c r="N103" s="4"/>
      <c r="O103" s="4"/>
      <c r="P103" s="4"/>
      <c r="Q103" s="4"/>
      <c r="R103" s="4"/>
      <c r="S103" s="4"/>
      <c r="T103" s="4"/>
      <c r="U103" s="4"/>
      <c r="V103" s="4"/>
      <c r="W103" s="4"/>
      <c r="X103" s="4"/>
      <c r="Y103" s="4"/>
      <c r="Z103" s="4"/>
    </row>
    <row r="104" spans="1:26" ht="15.75" customHeight="1" x14ac:dyDescent="0.25">
      <c r="A104" s="4"/>
      <c r="B104" s="54"/>
      <c r="C104" s="54"/>
      <c r="D104" s="54"/>
      <c r="E104" s="54"/>
      <c r="F104" s="372"/>
      <c r="G104" s="54"/>
      <c r="H104" s="53"/>
      <c r="I104" s="54"/>
      <c r="J104" s="732"/>
      <c r="K104" s="372"/>
      <c r="L104" s="392"/>
      <c r="M104" s="392"/>
      <c r="N104" s="4"/>
      <c r="O104" s="4"/>
      <c r="P104" s="4"/>
      <c r="Q104" s="4"/>
      <c r="R104" s="4"/>
      <c r="S104" s="4"/>
      <c r="T104" s="4"/>
      <c r="U104" s="4"/>
      <c r="V104" s="4"/>
      <c r="W104" s="4"/>
      <c r="X104" s="4"/>
      <c r="Y104" s="4"/>
      <c r="Z104" s="4"/>
    </row>
    <row r="105" spans="1:26" ht="15.75" customHeight="1" x14ac:dyDescent="0.25">
      <c r="A105" s="4"/>
      <c r="B105" s="54"/>
      <c r="C105" s="54" t="s">
        <v>398</v>
      </c>
      <c r="D105" s="421" t="s">
        <v>399</v>
      </c>
      <c r="E105" s="54" t="s">
        <v>392</v>
      </c>
      <c r="F105" s="372">
        <v>533000</v>
      </c>
      <c r="G105" s="54" t="s">
        <v>354</v>
      </c>
      <c r="H105" s="53">
        <v>138</v>
      </c>
      <c r="I105" s="54" t="s">
        <v>393</v>
      </c>
      <c r="J105" s="723">
        <f>(F105*H105)/1000</f>
        <v>73554</v>
      </c>
      <c r="K105" s="372">
        <v>5773</v>
      </c>
      <c r="L105" s="392">
        <v>0.06</v>
      </c>
      <c r="M105" s="392">
        <v>7.0000000000000007E-2</v>
      </c>
      <c r="N105" s="4"/>
      <c r="O105" s="4"/>
      <c r="P105" s="4"/>
      <c r="Q105" s="4"/>
      <c r="R105" s="4"/>
      <c r="S105" s="4"/>
      <c r="T105" s="4"/>
      <c r="U105" s="4"/>
      <c r="V105" s="4"/>
      <c r="W105" s="4"/>
      <c r="X105" s="4"/>
      <c r="Y105" s="4"/>
      <c r="Z105" s="4"/>
    </row>
    <row r="106" spans="1:26" ht="15.75" customHeight="1" x14ac:dyDescent="0.25">
      <c r="A106" s="4"/>
      <c r="B106" s="54"/>
      <c r="C106" s="54"/>
      <c r="D106" s="54"/>
      <c r="E106" s="54"/>
      <c r="F106" s="372"/>
      <c r="G106" s="54"/>
      <c r="H106" s="53"/>
      <c r="I106" s="54"/>
      <c r="J106" s="732"/>
      <c r="K106" s="372"/>
      <c r="L106" s="392"/>
      <c r="M106" s="392"/>
      <c r="N106" s="4"/>
      <c r="O106" s="4"/>
      <c r="P106" s="4"/>
      <c r="Q106" s="4"/>
      <c r="R106" s="4"/>
      <c r="S106" s="4"/>
      <c r="T106" s="4"/>
      <c r="U106" s="4"/>
      <c r="V106" s="4"/>
      <c r="W106" s="4"/>
      <c r="X106" s="4"/>
      <c r="Y106" s="4"/>
      <c r="Z106" s="4"/>
    </row>
    <row r="107" spans="1:26" ht="15.75" customHeight="1" x14ac:dyDescent="0.25">
      <c r="A107" s="4"/>
      <c r="B107" s="54"/>
      <c r="C107" s="54" t="s">
        <v>400</v>
      </c>
      <c r="D107" s="421" t="s">
        <v>401</v>
      </c>
      <c r="E107" s="54" t="s">
        <v>392</v>
      </c>
      <c r="F107" s="372">
        <v>517000</v>
      </c>
      <c r="G107" s="54" t="s">
        <v>354</v>
      </c>
      <c r="H107" s="53">
        <v>138</v>
      </c>
      <c r="I107" s="54" t="s">
        <v>393</v>
      </c>
      <c r="J107" s="723">
        <f>(F107*H107)/1000</f>
        <v>71346</v>
      </c>
      <c r="K107" s="372">
        <v>5603</v>
      </c>
      <c r="L107" s="392">
        <v>0.06</v>
      </c>
      <c r="M107" s="392">
        <v>7.0000000000000007E-2</v>
      </c>
      <c r="N107" s="4"/>
      <c r="O107" s="4"/>
      <c r="P107" s="4"/>
      <c r="Q107" s="4"/>
      <c r="R107" s="4"/>
      <c r="S107" s="4"/>
      <c r="T107" s="4"/>
      <c r="U107" s="4"/>
      <c r="V107" s="4"/>
      <c r="W107" s="4"/>
      <c r="X107" s="4"/>
      <c r="Y107" s="4"/>
      <c r="Z107" s="4"/>
    </row>
    <row r="108" spans="1:26" ht="15.75" customHeight="1" x14ac:dyDescent="0.25">
      <c r="A108" s="4"/>
      <c r="B108" s="54"/>
      <c r="C108" s="54"/>
      <c r="D108" s="54"/>
      <c r="E108" s="54"/>
      <c r="F108" s="372"/>
      <c r="G108" s="54"/>
      <c r="H108" s="53"/>
      <c r="I108" s="54"/>
      <c r="J108" s="732"/>
      <c r="K108" s="372"/>
      <c r="L108" s="392"/>
      <c r="M108" s="392"/>
      <c r="N108" s="4"/>
      <c r="O108" s="4"/>
      <c r="P108" s="4"/>
      <c r="Q108" s="4"/>
      <c r="R108" s="4"/>
      <c r="S108" s="4"/>
      <c r="T108" s="4"/>
      <c r="U108" s="4"/>
      <c r="V108" s="4"/>
      <c r="W108" s="4"/>
      <c r="X108" s="4"/>
      <c r="Y108" s="4"/>
      <c r="Z108" s="4"/>
    </row>
    <row r="109" spans="1:26" ht="15.75" customHeight="1" x14ac:dyDescent="0.25">
      <c r="A109" s="4"/>
      <c r="B109" s="54"/>
      <c r="C109" s="54" t="s">
        <v>402</v>
      </c>
      <c r="D109" s="421" t="s">
        <v>403</v>
      </c>
      <c r="E109" s="54" t="s">
        <v>392</v>
      </c>
      <c r="F109" s="372">
        <v>611000</v>
      </c>
      <c r="G109" s="54" t="s">
        <v>354</v>
      </c>
      <c r="H109" s="53">
        <v>138</v>
      </c>
      <c r="I109" s="54" t="s">
        <v>393</v>
      </c>
      <c r="J109" s="723">
        <f>(F109*H109)/1000</f>
        <v>84318</v>
      </c>
      <c r="K109" s="372">
        <v>6619</v>
      </c>
      <c r="L109" s="392">
        <v>7.0000000000000007E-2</v>
      </c>
      <c r="M109" s="392">
        <v>0.08</v>
      </c>
      <c r="N109" s="4"/>
      <c r="O109" s="4"/>
      <c r="P109" s="4"/>
      <c r="Q109" s="4"/>
      <c r="R109" s="4"/>
      <c r="S109" s="4"/>
      <c r="T109" s="4"/>
      <c r="U109" s="4"/>
      <c r="V109" s="4"/>
      <c r="W109" s="4"/>
      <c r="X109" s="4"/>
      <c r="Y109" s="4"/>
      <c r="Z109" s="4"/>
    </row>
    <row r="110" spans="1:26" ht="15.75" customHeight="1" x14ac:dyDescent="0.25">
      <c r="A110" s="4"/>
      <c r="B110" s="54"/>
      <c r="C110" s="54"/>
      <c r="D110" s="54"/>
      <c r="E110" s="54"/>
      <c r="F110" s="372"/>
      <c r="G110" s="54"/>
      <c r="H110" s="53"/>
      <c r="I110" s="54"/>
      <c r="J110" s="732"/>
      <c r="K110" s="372"/>
      <c r="L110" s="392"/>
      <c r="M110" s="392"/>
      <c r="N110" s="4"/>
      <c r="O110" s="4"/>
      <c r="P110" s="4"/>
      <c r="Q110" s="4"/>
      <c r="R110" s="4"/>
      <c r="S110" s="4"/>
      <c r="T110" s="4"/>
      <c r="U110" s="4"/>
      <c r="V110" s="4"/>
      <c r="W110" s="4"/>
      <c r="X110" s="4"/>
      <c r="Y110" s="4"/>
      <c r="Z110" s="4"/>
    </row>
    <row r="111" spans="1:26" ht="15.75" customHeight="1" x14ac:dyDescent="0.25">
      <c r="A111" s="4"/>
      <c r="B111" s="68"/>
      <c r="C111" s="68" t="s">
        <v>404</v>
      </c>
      <c r="D111" s="97" t="s">
        <v>405</v>
      </c>
      <c r="E111" s="68" t="s">
        <v>392</v>
      </c>
      <c r="F111" s="406">
        <v>232000</v>
      </c>
      <c r="G111" s="68" t="s">
        <v>354</v>
      </c>
      <c r="H111" s="202">
        <v>138</v>
      </c>
      <c r="I111" s="68" t="s">
        <v>393</v>
      </c>
      <c r="J111" s="726">
        <f>(F111*H111)/1000</f>
        <v>32016</v>
      </c>
      <c r="K111" s="406">
        <v>2509</v>
      </c>
      <c r="L111" s="400">
        <v>0.03</v>
      </c>
      <c r="M111" s="400">
        <v>0.03</v>
      </c>
      <c r="N111" s="4"/>
      <c r="O111" s="4"/>
      <c r="P111" s="4"/>
      <c r="Q111" s="4"/>
      <c r="R111" s="4"/>
      <c r="S111" s="4"/>
      <c r="T111" s="4"/>
      <c r="U111" s="4"/>
      <c r="V111" s="4"/>
      <c r="W111" s="4"/>
      <c r="X111" s="4"/>
      <c r="Y111" s="4"/>
      <c r="Z111" s="4"/>
    </row>
    <row r="112" spans="1:26" ht="15.75" customHeight="1" x14ac:dyDescent="0.25">
      <c r="A112" s="4"/>
      <c r="B112" s="83"/>
      <c r="C112" s="83"/>
      <c r="D112" s="83"/>
      <c r="E112" s="83"/>
      <c r="F112" s="718"/>
      <c r="G112" s="83"/>
      <c r="H112" s="718"/>
      <c r="I112" s="83"/>
      <c r="J112" s="718"/>
      <c r="K112" s="719"/>
      <c r="L112" s="720"/>
      <c r="M112" s="720"/>
      <c r="N112" s="4"/>
      <c r="O112" s="4"/>
      <c r="P112" s="4"/>
      <c r="Q112" s="4"/>
      <c r="R112" s="4"/>
      <c r="S112" s="4"/>
      <c r="T112" s="4"/>
      <c r="U112" s="4"/>
      <c r="V112" s="4"/>
      <c r="W112" s="4"/>
      <c r="X112" s="4"/>
      <c r="Y112" s="4"/>
      <c r="Z112" s="4"/>
    </row>
    <row r="113" spans="1:26" ht="15.75" customHeight="1" x14ac:dyDescent="0.25">
      <c r="A113" s="4"/>
      <c r="B113" s="45" t="s">
        <v>320</v>
      </c>
      <c r="C113" s="46" t="s">
        <v>321</v>
      </c>
      <c r="D113" s="45"/>
      <c r="E113" s="45"/>
      <c r="F113" s="363"/>
      <c r="G113" s="45"/>
      <c r="H113" s="363"/>
      <c r="I113" s="45"/>
      <c r="J113" s="711"/>
      <c r="K113" s="438"/>
      <c r="L113" s="384"/>
      <c r="M113" s="384"/>
      <c r="N113" s="4"/>
      <c r="O113" s="4"/>
      <c r="P113" s="4"/>
      <c r="Q113" s="4"/>
      <c r="R113" s="4"/>
      <c r="S113" s="4"/>
      <c r="T113" s="4"/>
      <c r="U113" s="4"/>
      <c r="V113" s="4"/>
      <c r="W113" s="4"/>
      <c r="X113" s="4"/>
      <c r="Y113" s="4"/>
      <c r="Z113" s="4"/>
    </row>
    <row r="114" spans="1:26" ht="15.75" customHeight="1" x14ac:dyDescent="0.25">
      <c r="A114" s="4"/>
      <c r="B114" s="54"/>
      <c r="C114" s="367" t="s">
        <v>322</v>
      </c>
      <c r="D114" s="367" t="s">
        <v>323</v>
      </c>
      <c r="E114" s="367" t="s">
        <v>219</v>
      </c>
      <c r="F114" s="368">
        <v>6836</v>
      </c>
      <c r="G114" s="367" t="s">
        <v>293</v>
      </c>
      <c r="H114" s="63">
        <v>11260</v>
      </c>
      <c r="I114" s="367" t="s">
        <v>294</v>
      </c>
      <c r="J114" s="368">
        <f>(F114*H114*2000)/1000000</f>
        <v>153946.72</v>
      </c>
      <c r="K114" s="374">
        <f t="shared" ref="K114:K115" si="49">(+J114/(J$114+J$115))*K$116</f>
        <v>18404.817463953248</v>
      </c>
      <c r="L114" s="394">
        <f t="shared" ref="L114:L115" si="50">(+J114/(J$114+J$115))*L$116</f>
        <v>9.6204157984178806E-2</v>
      </c>
      <c r="M114" s="394">
        <f t="shared" ref="M114:M115" si="51">(+J114/(J$114+J$115))*M$116</f>
        <v>9.6204157984178806E-2</v>
      </c>
      <c r="N114" s="4"/>
      <c r="O114" s="4"/>
      <c r="P114" s="4"/>
      <c r="Q114" s="4"/>
      <c r="R114" s="4"/>
      <c r="S114" s="4"/>
      <c r="T114" s="4"/>
      <c r="U114" s="4"/>
      <c r="V114" s="4"/>
      <c r="W114" s="4"/>
      <c r="X114" s="4"/>
      <c r="Y114" s="4"/>
      <c r="Z114" s="4"/>
    </row>
    <row r="115" spans="1:26" ht="15.75" customHeight="1" x14ac:dyDescent="0.25">
      <c r="A115" s="4"/>
      <c r="B115" s="54"/>
      <c r="C115" s="367"/>
      <c r="D115" s="367"/>
      <c r="E115" s="367" t="s">
        <v>406</v>
      </c>
      <c r="F115" s="368">
        <v>43079</v>
      </c>
      <c r="G115" s="367" t="s">
        <v>354</v>
      </c>
      <c r="H115" s="63">
        <v>141000</v>
      </c>
      <c r="I115" s="367" t="s">
        <v>407</v>
      </c>
      <c r="J115" s="368">
        <f>(F115*H115)/1000000</f>
        <v>6074.1390000000001</v>
      </c>
      <c r="K115" s="374">
        <f t="shared" si="49"/>
        <v>726.18253604675374</v>
      </c>
      <c r="L115" s="394">
        <f t="shared" si="50"/>
        <v>3.7958420158212E-3</v>
      </c>
      <c r="M115" s="394">
        <f t="shared" si="51"/>
        <v>3.7958420158212E-3</v>
      </c>
      <c r="N115" s="4"/>
      <c r="O115" s="4"/>
      <c r="P115" s="4"/>
      <c r="Q115" s="4"/>
      <c r="R115" s="4"/>
      <c r="S115" s="4"/>
      <c r="T115" s="4"/>
      <c r="U115" s="4"/>
      <c r="V115" s="4"/>
      <c r="W115" s="4"/>
      <c r="X115" s="4"/>
      <c r="Y115" s="4"/>
      <c r="Z115" s="4"/>
    </row>
    <row r="116" spans="1:26" ht="15.75" customHeight="1" x14ac:dyDescent="0.25">
      <c r="A116" s="4"/>
      <c r="B116" s="54"/>
      <c r="C116" s="54"/>
      <c r="D116" s="54"/>
      <c r="E116" s="423"/>
      <c r="F116" s="372"/>
      <c r="G116" s="423"/>
      <c r="H116" s="53"/>
      <c r="I116" s="423"/>
      <c r="J116" s="723">
        <v>186474</v>
      </c>
      <c r="K116" s="724">
        <v>19131</v>
      </c>
      <c r="L116" s="731">
        <v>0.1</v>
      </c>
      <c r="M116" s="731">
        <v>0.1</v>
      </c>
      <c r="N116" s="4"/>
      <c r="O116" s="4"/>
      <c r="P116" s="4"/>
      <c r="Q116" s="4"/>
      <c r="R116" s="4"/>
      <c r="S116" s="4"/>
      <c r="T116" s="4"/>
      <c r="U116" s="4"/>
      <c r="V116" s="4"/>
      <c r="W116" s="4"/>
      <c r="X116" s="4"/>
      <c r="Y116" s="4"/>
      <c r="Z116" s="4"/>
    </row>
    <row r="117" spans="1:26" ht="15.75" customHeight="1" x14ac:dyDescent="0.25">
      <c r="A117" s="4"/>
      <c r="B117" s="54"/>
      <c r="C117" s="367" t="s">
        <v>324</v>
      </c>
      <c r="D117" s="367" t="s">
        <v>325</v>
      </c>
      <c r="E117" s="367" t="s">
        <v>219</v>
      </c>
      <c r="F117" s="368">
        <v>39204</v>
      </c>
      <c r="G117" s="367" t="s">
        <v>293</v>
      </c>
      <c r="H117" s="63">
        <v>11260</v>
      </c>
      <c r="I117" s="367" t="s">
        <v>294</v>
      </c>
      <c r="J117" s="194">
        <f>(F117*H117*2000)/1000000</f>
        <v>882874.08</v>
      </c>
      <c r="K117" s="374">
        <f>(+J117/(J117+J118))*K119</f>
        <v>87436.226031360682</v>
      </c>
      <c r="L117" s="394">
        <f>(+J117/(J117+J118))*L119</f>
        <v>0.78595243570251971</v>
      </c>
      <c r="M117" s="394">
        <f>(+J117/(J117+J118))*M119</f>
        <v>1.5719048714050394</v>
      </c>
      <c r="N117" s="4"/>
      <c r="O117" s="4"/>
      <c r="P117" s="4"/>
      <c r="Q117" s="4"/>
      <c r="R117" s="4"/>
      <c r="S117" s="4"/>
      <c r="T117" s="4"/>
      <c r="U117" s="4"/>
      <c r="V117" s="4"/>
      <c r="W117" s="4"/>
      <c r="X117" s="4"/>
      <c r="Y117" s="4"/>
      <c r="Z117" s="4"/>
    </row>
    <row r="118" spans="1:26" ht="15.75" customHeight="1" x14ac:dyDescent="0.25">
      <c r="A118" s="4"/>
      <c r="B118" s="54"/>
      <c r="C118" s="367"/>
      <c r="D118" s="367"/>
      <c r="E118" s="367" t="s">
        <v>406</v>
      </c>
      <c r="F118" s="368">
        <v>111914</v>
      </c>
      <c r="G118" s="367" t="s">
        <v>354</v>
      </c>
      <c r="H118" s="63">
        <v>141000</v>
      </c>
      <c r="I118" s="367" t="s">
        <v>407</v>
      </c>
      <c r="J118" s="194">
        <f>(F118*H118)/1000000</f>
        <v>15779.874</v>
      </c>
      <c r="K118" s="374">
        <f>(+J118/(J117+J118))*K119</f>
        <v>1562.7739686393236</v>
      </c>
      <c r="L118" s="394">
        <f>(+J118/(J117+J118))*L119</f>
        <v>1.4047564297480409E-2</v>
      </c>
      <c r="M118" s="394">
        <f>(+J118/(J117+J118))*M119</f>
        <v>2.8095128594960817E-2</v>
      </c>
      <c r="N118" s="4"/>
      <c r="O118" s="4"/>
      <c r="P118" s="4"/>
      <c r="Q118" s="4"/>
      <c r="R118" s="4"/>
      <c r="S118" s="4"/>
      <c r="T118" s="4"/>
      <c r="U118" s="4"/>
      <c r="V118" s="4"/>
      <c r="W118" s="4"/>
      <c r="X118" s="4"/>
      <c r="Y118" s="4"/>
      <c r="Z118" s="4"/>
    </row>
    <row r="119" spans="1:26" ht="15.75" customHeight="1" x14ac:dyDescent="0.25">
      <c r="A119" s="4"/>
      <c r="B119" s="68"/>
      <c r="C119" s="68"/>
      <c r="D119" s="68"/>
      <c r="E119" s="68"/>
      <c r="F119" s="406"/>
      <c r="G119" s="68"/>
      <c r="H119" s="202"/>
      <c r="I119" s="68"/>
      <c r="J119" s="726">
        <v>867431</v>
      </c>
      <c r="K119" s="727">
        <v>88999</v>
      </c>
      <c r="L119" s="728">
        <v>0.8</v>
      </c>
      <c r="M119" s="728">
        <v>1.6</v>
      </c>
      <c r="N119" s="4"/>
      <c r="O119" s="4"/>
      <c r="P119" s="4"/>
      <c r="Q119" s="4"/>
      <c r="R119" s="4"/>
      <c r="S119" s="4"/>
      <c r="T119" s="4"/>
      <c r="U119" s="4"/>
      <c r="V119" s="4"/>
      <c r="W119" s="4"/>
      <c r="X119" s="4"/>
      <c r="Y119" s="4"/>
      <c r="Z119" s="4"/>
    </row>
    <row r="120" spans="1:26" ht="15.75" customHeight="1" x14ac:dyDescent="0.25">
      <c r="A120" s="4"/>
      <c r="B120" s="83"/>
      <c r="C120" s="83"/>
      <c r="D120" s="83"/>
      <c r="E120" s="83"/>
      <c r="F120" s="719"/>
      <c r="G120" s="83"/>
      <c r="H120" s="718"/>
      <c r="I120" s="83"/>
      <c r="J120" s="719"/>
      <c r="K120" s="750"/>
      <c r="L120" s="720"/>
      <c r="M120" s="720"/>
      <c r="N120" s="4"/>
      <c r="O120" s="4"/>
      <c r="P120" s="4"/>
      <c r="Q120" s="4"/>
      <c r="R120" s="4"/>
      <c r="S120" s="4"/>
      <c r="T120" s="4"/>
      <c r="U120" s="4"/>
      <c r="V120" s="4"/>
      <c r="W120" s="4"/>
      <c r="X120" s="4"/>
      <c r="Y120" s="4"/>
      <c r="Z120" s="4"/>
    </row>
    <row r="121" spans="1:26" ht="15.75" customHeight="1" x14ac:dyDescent="0.25">
      <c r="A121" s="4"/>
      <c r="B121" s="45" t="s">
        <v>408</v>
      </c>
      <c r="C121" s="46" t="s">
        <v>409</v>
      </c>
      <c r="D121" s="45"/>
      <c r="E121" s="45"/>
      <c r="F121" s="363"/>
      <c r="G121" s="45"/>
      <c r="H121" s="363"/>
      <c r="I121" s="45"/>
      <c r="J121" s="711"/>
      <c r="K121" s="438"/>
      <c r="L121" s="384"/>
      <c r="M121" s="384"/>
      <c r="N121" s="4"/>
      <c r="O121" s="4"/>
      <c r="P121" s="4"/>
      <c r="Q121" s="4"/>
      <c r="R121" s="4"/>
      <c r="S121" s="4"/>
      <c r="T121" s="4"/>
      <c r="U121" s="4"/>
      <c r="V121" s="4"/>
      <c r="W121" s="4"/>
      <c r="X121" s="4"/>
      <c r="Y121" s="4"/>
      <c r="Z121" s="4"/>
    </row>
    <row r="122" spans="1:26" ht="15.75" customHeight="1" x14ac:dyDescent="0.25">
      <c r="A122" s="4"/>
      <c r="B122" s="54"/>
      <c r="C122" s="54" t="s">
        <v>569</v>
      </c>
      <c r="D122" s="54" t="s">
        <v>570</v>
      </c>
      <c r="E122" s="54" t="s">
        <v>237</v>
      </c>
      <c r="F122" s="372">
        <v>20000000</v>
      </c>
      <c r="G122" s="54" t="s">
        <v>563</v>
      </c>
      <c r="H122" s="53">
        <v>1020</v>
      </c>
      <c r="I122" s="54" t="s">
        <v>571</v>
      </c>
      <c r="J122" s="714">
        <f>(F122*H122)/1000000</f>
        <v>20400</v>
      </c>
      <c r="K122" s="714">
        <v>751</v>
      </c>
      <c r="L122" s="403">
        <v>8.6999999999999994E-2</v>
      </c>
      <c r="M122" s="375">
        <v>0.03</v>
      </c>
      <c r="N122" s="4"/>
      <c r="O122" s="4"/>
      <c r="P122" s="4"/>
      <c r="Q122" s="4"/>
      <c r="R122" s="4"/>
      <c r="S122" s="4"/>
      <c r="T122" s="4"/>
      <c r="U122" s="4"/>
      <c r="V122" s="4"/>
      <c r="W122" s="4"/>
      <c r="X122" s="4"/>
      <c r="Y122" s="4"/>
      <c r="Z122" s="4"/>
    </row>
    <row r="123" spans="1:26" ht="15.75" customHeight="1" x14ac:dyDescent="0.25">
      <c r="A123" s="4"/>
      <c r="B123" s="54"/>
      <c r="C123" s="54"/>
      <c r="D123" s="54"/>
      <c r="E123" s="423"/>
      <c r="F123" s="53"/>
      <c r="G123" s="423"/>
      <c r="H123" s="53"/>
      <c r="I123" s="423"/>
      <c r="J123" s="732"/>
      <c r="K123" s="372"/>
      <c r="L123" s="405"/>
      <c r="M123" s="392"/>
      <c r="N123" s="4"/>
      <c r="O123" s="4"/>
      <c r="P123" s="4"/>
      <c r="Q123" s="4"/>
      <c r="R123" s="4"/>
      <c r="S123" s="4"/>
      <c r="T123" s="4"/>
      <c r="U123" s="4"/>
      <c r="V123" s="4"/>
      <c r="W123" s="4"/>
      <c r="X123" s="4"/>
      <c r="Y123" s="4"/>
      <c r="Z123" s="4"/>
    </row>
    <row r="124" spans="1:26" ht="15.75" customHeight="1" x14ac:dyDescent="0.25">
      <c r="A124" s="4"/>
      <c r="B124" s="54"/>
      <c r="C124" s="54" t="s">
        <v>572</v>
      </c>
      <c r="D124" s="421" t="s">
        <v>573</v>
      </c>
      <c r="E124" s="54" t="s">
        <v>237</v>
      </c>
      <c r="F124" s="372">
        <v>220000000</v>
      </c>
      <c r="G124" s="54" t="s">
        <v>563</v>
      </c>
      <c r="H124" s="53">
        <v>1020</v>
      </c>
      <c r="I124" s="54" t="s">
        <v>571</v>
      </c>
      <c r="J124" s="730">
        <f>(F124*H124)/1000000</f>
        <v>224400</v>
      </c>
      <c r="K124" s="714">
        <v>13289</v>
      </c>
      <c r="L124" s="403">
        <v>0.252</v>
      </c>
      <c r="M124" s="375">
        <v>0.24</v>
      </c>
      <c r="N124" s="4"/>
      <c r="O124" s="4"/>
      <c r="P124" s="4"/>
      <c r="Q124" s="4"/>
      <c r="R124" s="4"/>
      <c r="S124" s="4"/>
      <c r="T124" s="4"/>
      <c r="U124" s="4"/>
      <c r="V124" s="4"/>
      <c r="W124" s="4"/>
      <c r="X124" s="4"/>
      <c r="Y124" s="4"/>
      <c r="Z124" s="4"/>
    </row>
    <row r="125" spans="1:26" ht="15.75" customHeight="1" x14ac:dyDescent="0.25">
      <c r="A125" s="4"/>
      <c r="B125" s="54"/>
      <c r="C125" s="54"/>
      <c r="D125" s="54"/>
      <c r="E125" s="423"/>
      <c r="F125" s="53"/>
      <c r="G125" s="423"/>
      <c r="H125" s="53"/>
      <c r="I125" s="423"/>
      <c r="J125" s="732"/>
      <c r="K125" s="372"/>
      <c r="L125" s="405"/>
      <c r="M125" s="392"/>
      <c r="N125" s="4"/>
      <c r="O125" s="4"/>
      <c r="P125" s="4"/>
      <c r="Q125" s="4"/>
      <c r="R125" s="4"/>
      <c r="S125" s="4"/>
      <c r="T125" s="4"/>
      <c r="U125" s="4"/>
      <c r="V125" s="4"/>
      <c r="W125" s="4"/>
      <c r="X125" s="4"/>
      <c r="Y125" s="4"/>
      <c r="Z125" s="4"/>
    </row>
    <row r="126" spans="1:26" ht="15.75" customHeight="1" x14ac:dyDescent="0.25">
      <c r="A126" s="4"/>
      <c r="B126" s="54"/>
      <c r="C126" s="54" t="s">
        <v>410</v>
      </c>
      <c r="D126" s="54" t="s">
        <v>411</v>
      </c>
      <c r="E126" s="54" t="s">
        <v>406</v>
      </c>
      <c r="F126" s="372">
        <v>97000</v>
      </c>
      <c r="G126" s="54" t="s">
        <v>354</v>
      </c>
      <c r="H126" s="53">
        <v>139</v>
      </c>
      <c r="I126" s="423" t="s">
        <v>393</v>
      </c>
      <c r="J126" s="730">
        <f>(F126*H126)/1000</f>
        <v>13483</v>
      </c>
      <c r="K126" s="714">
        <v>1060</v>
      </c>
      <c r="L126" s="403">
        <v>0.01</v>
      </c>
      <c r="M126" s="375">
        <v>0.01</v>
      </c>
      <c r="N126" s="4"/>
      <c r="O126" s="4"/>
      <c r="P126" s="4"/>
      <c r="Q126" s="4"/>
      <c r="R126" s="4"/>
      <c r="S126" s="4"/>
      <c r="T126" s="4"/>
      <c r="U126" s="4"/>
      <c r="V126" s="4"/>
      <c r="W126" s="4"/>
      <c r="X126" s="4"/>
      <c r="Y126" s="4"/>
      <c r="Z126" s="4"/>
    </row>
    <row r="127" spans="1:26" ht="15.75" customHeight="1" x14ac:dyDescent="0.25">
      <c r="A127" s="4"/>
      <c r="B127" s="54"/>
      <c r="C127" s="54"/>
      <c r="D127" s="54"/>
      <c r="E127" s="423"/>
      <c r="F127" s="53"/>
      <c r="G127" s="423"/>
      <c r="H127" s="53"/>
      <c r="I127" s="423"/>
      <c r="J127" s="732"/>
      <c r="K127" s="372"/>
      <c r="L127" s="405"/>
      <c r="M127" s="392"/>
      <c r="N127" s="4"/>
      <c r="O127" s="4"/>
      <c r="P127" s="4"/>
      <c r="Q127" s="4"/>
      <c r="R127" s="4"/>
      <c r="S127" s="4"/>
      <c r="T127" s="4"/>
      <c r="U127" s="4"/>
      <c r="V127" s="4"/>
      <c r="W127" s="4"/>
      <c r="X127" s="4"/>
      <c r="Y127" s="4"/>
      <c r="Z127" s="4"/>
    </row>
    <row r="128" spans="1:26" ht="15.75" customHeight="1" x14ac:dyDescent="0.25">
      <c r="A128" s="4"/>
      <c r="B128" s="68"/>
      <c r="C128" s="68" t="s">
        <v>412</v>
      </c>
      <c r="D128" s="68" t="s">
        <v>413</v>
      </c>
      <c r="E128" s="68" t="s">
        <v>406</v>
      </c>
      <c r="F128" s="406">
        <v>105000</v>
      </c>
      <c r="G128" s="68" t="s">
        <v>354</v>
      </c>
      <c r="H128" s="202">
        <v>139</v>
      </c>
      <c r="I128" s="427" t="s">
        <v>393</v>
      </c>
      <c r="J128" s="733">
        <f>(F128*H128)/1000</f>
        <v>14595</v>
      </c>
      <c r="K128" s="734">
        <v>1150</v>
      </c>
      <c r="L128" s="408">
        <v>1.0999999999999999E-2</v>
      </c>
      <c r="M128" s="735">
        <v>0.01</v>
      </c>
      <c r="N128" s="4"/>
      <c r="O128" s="4"/>
      <c r="P128" s="4"/>
      <c r="Q128" s="4"/>
      <c r="R128" s="4"/>
      <c r="S128" s="4"/>
      <c r="T128" s="4"/>
      <c r="U128" s="4"/>
      <c r="V128" s="4"/>
      <c r="W128" s="4"/>
      <c r="X128" s="4"/>
      <c r="Y128" s="4"/>
      <c r="Z128" s="4"/>
    </row>
    <row r="129" spans="1:26" ht="15.75" customHeight="1" x14ac:dyDescent="0.25">
      <c r="A129" s="4"/>
      <c r="B129" s="751"/>
      <c r="C129" s="752"/>
      <c r="D129" s="752"/>
      <c r="E129" s="753"/>
      <c r="F129" s="754"/>
      <c r="G129" s="753"/>
      <c r="H129" s="754"/>
      <c r="I129" s="752"/>
      <c r="J129" s="752"/>
      <c r="K129" s="752"/>
      <c r="L129" s="752"/>
      <c r="M129" s="752"/>
      <c r="N129" s="4"/>
      <c r="O129" s="4"/>
      <c r="P129" s="4"/>
      <c r="Q129" s="4"/>
      <c r="R129" s="4"/>
      <c r="S129" s="4"/>
      <c r="T129" s="4"/>
      <c r="U129" s="4"/>
      <c r="V129" s="4"/>
      <c r="W129" s="4"/>
      <c r="X129" s="4"/>
      <c r="Y129" s="4"/>
      <c r="Z129" s="4"/>
    </row>
    <row r="130" spans="1:26" ht="15.75" customHeight="1" x14ac:dyDescent="0.25">
      <c r="A130" s="4"/>
      <c r="B130" s="755" t="s">
        <v>414</v>
      </c>
      <c r="C130" s="756" t="s">
        <v>415</v>
      </c>
      <c r="D130" s="755"/>
      <c r="E130" s="755"/>
      <c r="F130" s="755"/>
      <c r="G130" s="755"/>
      <c r="H130" s="755"/>
      <c r="I130" s="755"/>
      <c r="J130" s="755"/>
      <c r="K130" s="755"/>
      <c r="L130" s="755"/>
      <c r="M130" s="755"/>
      <c r="N130" s="4"/>
      <c r="O130" s="4"/>
      <c r="P130" s="4"/>
      <c r="Q130" s="4"/>
      <c r="R130" s="4"/>
      <c r="S130" s="4"/>
      <c r="T130" s="4"/>
      <c r="U130" s="4"/>
      <c r="V130" s="4"/>
      <c r="W130" s="4"/>
      <c r="X130" s="4"/>
      <c r="Y130" s="4"/>
      <c r="Z130" s="4"/>
    </row>
    <row r="131" spans="1:26" ht="15.75" customHeight="1" x14ac:dyDescent="0.25">
      <c r="A131" s="4"/>
      <c r="B131" s="54"/>
      <c r="C131" s="54" t="s">
        <v>416</v>
      </c>
      <c r="D131" s="54" t="s">
        <v>417</v>
      </c>
      <c r="E131" s="54" t="s">
        <v>542</v>
      </c>
      <c r="F131" s="757">
        <v>1482332</v>
      </c>
      <c r="G131" s="54" t="s">
        <v>354</v>
      </c>
      <c r="H131" s="757">
        <v>152352</v>
      </c>
      <c r="I131" s="54" t="s">
        <v>418</v>
      </c>
      <c r="J131" s="757">
        <f t="shared" ref="J131:J132" si="52">F131*H131/1000000</f>
        <v>225836.24486400001</v>
      </c>
      <c r="K131" s="757">
        <f>J131/J133*K133</f>
        <v>17360.296613650775</v>
      </c>
      <c r="L131" s="758">
        <f>J131/J133*L133</f>
        <v>0.20095150969389605</v>
      </c>
      <c r="M131" s="758">
        <f>J131/J133*M133</f>
        <v>0.3731956608600927</v>
      </c>
      <c r="N131" s="4"/>
      <c r="O131" s="4"/>
      <c r="P131" s="4"/>
      <c r="Q131" s="4"/>
      <c r="R131" s="4"/>
      <c r="S131" s="4"/>
      <c r="T131" s="4"/>
      <c r="U131" s="4"/>
      <c r="V131" s="4"/>
      <c r="W131" s="4"/>
      <c r="X131" s="4"/>
      <c r="Y131" s="4"/>
      <c r="Z131" s="4"/>
    </row>
    <row r="132" spans="1:26" ht="15.75" customHeight="1" x14ac:dyDescent="0.25">
      <c r="A132" s="4"/>
      <c r="B132" s="54"/>
      <c r="C132" s="54"/>
      <c r="D132" s="54"/>
      <c r="E132" s="54" t="s">
        <v>406</v>
      </c>
      <c r="F132" s="757">
        <v>72528</v>
      </c>
      <c r="G132" s="54" t="s">
        <v>354</v>
      </c>
      <c r="H132" s="757">
        <v>140208</v>
      </c>
      <c r="I132" s="54" t="s">
        <v>418</v>
      </c>
      <c r="J132" s="757">
        <f t="shared" si="52"/>
        <v>10169.005824</v>
      </c>
      <c r="K132" s="759">
        <f>J132/J133*K133</f>
        <v>781.70338634922769</v>
      </c>
      <c r="L132" s="758">
        <f>J132/J133*L133</f>
        <v>9.0484903061039471E-3</v>
      </c>
      <c r="M132" s="758">
        <f>J132/J133*M133</f>
        <v>1.6804339139907334E-2</v>
      </c>
      <c r="N132" s="4"/>
      <c r="O132" s="4"/>
      <c r="P132" s="4"/>
      <c r="Q132" s="4"/>
      <c r="R132" s="4"/>
      <c r="S132" s="4"/>
      <c r="T132" s="4"/>
      <c r="U132" s="4"/>
      <c r="V132" s="4"/>
      <c r="W132" s="4"/>
      <c r="X132" s="4"/>
      <c r="Y132" s="4"/>
      <c r="Z132" s="4"/>
    </row>
    <row r="133" spans="1:26" ht="15.75" customHeight="1" x14ac:dyDescent="0.25">
      <c r="A133" s="4"/>
      <c r="B133" s="54"/>
      <c r="C133" s="54"/>
      <c r="D133" s="54"/>
      <c r="E133" s="54"/>
      <c r="F133" s="54"/>
      <c r="G133" s="51"/>
      <c r="H133" s="51"/>
      <c r="I133" s="51"/>
      <c r="J133" s="760">
        <f>SUM(J131:J132)</f>
        <v>236005.250688</v>
      </c>
      <c r="K133" s="761">
        <v>18142</v>
      </c>
      <c r="L133" s="762">
        <v>0.21</v>
      </c>
      <c r="M133" s="762">
        <v>0.39</v>
      </c>
      <c r="N133" s="4"/>
      <c r="O133" s="4"/>
      <c r="P133" s="4"/>
      <c r="Q133" s="4"/>
      <c r="R133" s="4"/>
      <c r="S133" s="4"/>
      <c r="T133" s="4"/>
      <c r="U133" s="4"/>
      <c r="V133" s="4"/>
      <c r="W133" s="4"/>
      <c r="X133" s="4"/>
      <c r="Y133" s="4"/>
      <c r="Z133" s="4"/>
    </row>
    <row r="134" spans="1:26" ht="15.75" customHeight="1" x14ac:dyDescent="0.25">
      <c r="A134" s="4"/>
      <c r="B134" s="54"/>
      <c r="C134" s="54"/>
      <c r="D134" s="54"/>
      <c r="E134" s="54"/>
      <c r="F134" s="54"/>
      <c r="G134" s="54"/>
      <c r="H134" s="54"/>
      <c r="I134" s="54"/>
      <c r="J134" s="54"/>
      <c r="K134" s="54"/>
      <c r="L134" s="54"/>
      <c r="M134" s="54"/>
      <c r="N134" s="4"/>
      <c r="O134" s="4"/>
      <c r="P134" s="4"/>
      <c r="Q134" s="4"/>
      <c r="R134" s="4"/>
      <c r="S134" s="4"/>
      <c r="T134" s="4"/>
      <c r="U134" s="4"/>
      <c r="V134" s="4"/>
      <c r="W134" s="4"/>
      <c r="X134" s="4"/>
      <c r="Y134" s="4"/>
      <c r="Z134" s="4"/>
    </row>
    <row r="135" spans="1:26" ht="15.75" customHeight="1" x14ac:dyDescent="0.25">
      <c r="A135" s="4"/>
      <c r="B135" s="54"/>
      <c r="C135" s="54" t="s">
        <v>419</v>
      </c>
      <c r="D135" s="54" t="s">
        <v>668</v>
      </c>
      <c r="E135" s="54" t="s">
        <v>406</v>
      </c>
      <c r="F135" s="757">
        <v>17927</v>
      </c>
      <c r="G135" s="54" t="s">
        <v>354</v>
      </c>
      <c r="H135" s="757">
        <v>140163</v>
      </c>
      <c r="I135" s="54" t="s">
        <v>418</v>
      </c>
      <c r="J135" s="53">
        <f>F135*H135/1000000</f>
        <v>2512.7021009999999</v>
      </c>
      <c r="K135" s="54">
        <v>199.89</v>
      </c>
      <c r="L135" s="54">
        <v>0</v>
      </c>
      <c r="M135" s="54">
        <v>0.01</v>
      </c>
      <c r="N135" s="4"/>
      <c r="O135" s="4"/>
      <c r="P135" s="4"/>
      <c r="Q135" s="4"/>
      <c r="R135" s="4"/>
      <c r="S135" s="4"/>
      <c r="T135" s="4"/>
      <c r="U135" s="4"/>
      <c r="V135" s="4"/>
      <c r="W135" s="4"/>
      <c r="X135" s="4"/>
      <c r="Y135" s="4"/>
      <c r="Z135" s="4"/>
    </row>
    <row r="136" spans="1:26" ht="15.75" customHeight="1" x14ac:dyDescent="0.25">
      <c r="A136" s="4"/>
      <c r="B136" s="54"/>
      <c r="C136" s="54"/>
      <c r="D136" s="54"/>
      <c r="E136" s="54"/>
      <c r="F136" s="54"/>
      <c r="G136" s="54"/>
      <c r="H136" s="54"/>
      <c r="I136" s="54"/>
      <c r="J136" s="67"/>
      <c r="K136" s="54"/>
      <c r="L136" s="54"/>
      <c r="M136" s="54"/>
      <c r="N136" s="4"/>
      <c r="O136" s="4"/>
      <c r="P136" s="4"/>
      <c r="Q136" s="4"/>
      <c r="R136" s="4"/>
      <c r="S136" s="4"/>
      <c r="T136" s="4"/>
      <c r="U136" s="4"/>
      <c r="V136" s="4"/>
      <c r="W136" s="4"/>
      <c r="X136" s="4"/>
      <c r="Y136" s="4"/>
      <c r="Z136" s="4"/>
    </row>
    <row r="137" spans="1:26" ht="15.75" customHeight="1" x14ac:dyDescent="0.25">
      <c r="A137" s="4"/>
      <c r="B137" s="54"/>
      <c r="C137" s="54" t="s">
        <v>421</v>
      </c>
      <c r="D137" s="54" t="s">
        <v>669</v>
      </c>
      <c r="E137" s="54" t="s">
        <v>406</v>
      </c>
      <c r="F137" s="757">
        <v>36090</v>
      </c>
      <c r="G137" s="54" t="s">
        <v>354</v>
      </c>
      <c r="H137" s="757">
        <v>140085</v>
      </c>
      <c r="I137" s="54" t="s">
        <v>418</v>
      </c>
      <c r="J137" s="53">
        <f>F137*H137/1000000</f>
        <v>5055.6676500000003</v>
      </c>
      <c r="K137" s="54">
        <v>396.87</v>
      </c>
      <c r="L137" s="54">
        <v>0</v>
      </c>
      <c r="M137" s="54">
        <v>0</v>
      </c>
      <c r="N137" s="4"/>
      <c r="O137" s="4"/>
      <c r="P137" s="4"/>
      <c r="Q137" s="4"/>
      <c r="R137" s="4"/>
      <c r="S137" s="4"/>
      <c r="T137" s="4"/>
      <c r="U137" s="4"/>
      <c r="V137" s="4"/>
      <c r="W137" s="4"/>
      <c r="X137" s="4"/>
      <c r="Y137" s="4"/>
      <c r="Z137" s="4"/>
    </row>
    <row r="138" spans="1:26" ht="15.75" customHeight="1" x14ac:dyDescent="0.25">
      <c r="A138" s="4"/>
      <c r="B138" s="763"/>
      <c r="C138" s="763"/>
      <c r="D138" s="763"/>
      <c r="E138" s="763"/>
      <c r="F138" s="763"/>
      <c r="G138" s="763"/>
      <c r="H138" s="763"/>
      <c r="I138" s="763"/>
      <c r="J138" s="763"/>
      <c r="K138" s="763"/>
      <c r="L138" s="763"/>
      <c r="M138" s="763"/>
      <c r="N138" s="4"/>
      <c r="O138" s="4"/>
      <c r="P138" s="4"/>
      <c r="Q138" s="4"/>
      <c r="R138" s="4"/>
      <c r="S138" s="4"/>
      <c r="T138" s="4"/>
      <c r="U138" s="4"/>
      <c r="V138" s="4"/>
      <c r="W138" s="4"/>
      <c r="X138" s="4"/>
      <c r="Y138" s="4"/>
      <c r="Z138" s="4"/>
    </row>
    <row r="139" spans="1:26" ht="15.75" customHeight="1" x14ac:dyDescent="0.25">
      <c r="A139" s="4"/>
      <c r="B139" s="54"/>
      <c r="C139" s="54"/>
      <c r="D139" s="54"/>
      <c r="E139" s="54"/>
      <c r="F139" s="54"/>
      <c r="G139" s="54"/>
      <c r="H139" s="54"/>
      <c r="I139" s="54"/>
      <c r="J139" s="54"/>
      <c r="K139" s="54"/>
      <c r="L139" s="54"/>
      <c r="M139" s="54"/>
      <c r="N139" s="4"/>
      <c r="O139" s="4"/>
      <c r="P139" s="4"/>
      <c r="Q139" s="4"/>
      <c r="R139" s="4"/>
      <c r="S139" s="4"/>
      <c r="T139" s="4"/>
      <c r="U139" s="4"/>
      <c r="V139" s="4"/>
      <c r="W139" s="4"/>
      <c r="X139" s="4"/>
      <c r="Y139" s="4"/>
      <c r="Z139" s="4"/>
    </row>
    <row r="140" spans="1:26" ht="15.75" customHeight="1" x14ac:dyDescent="0.25">
      <c r="A140" s="4"/>
      <c r="B140" s="54" t="s">
        <v>574</v>
      </c>
      <c r="C140" s="51" t="s">
        <v>670</v>
      </c>
      <c r="D140" s="54"/>
      <c r="E140" s="54"/>
      <c r="F140" s="54"/>
      <c r="G140" s="54"/>
      <c r="H140" s="54"/>
      <c r="I140" s="54"/>
      <c r="J140" s="54"/>
      <c r="K140" s="54"/>
      <c r="L140" s="54"/>
      <c r="M140" s="54"/>
      <c r="N140" s="4"/>
      <c r="O140" s="4"/>
      <c r="P140" s="4"/>
      <c r="Q140" s="4"/>
      <c r="R140" s="4"/>
      <c r="S140" s="4"/>
      <c r="T140" s="4"/>
      <c r="U140" s="4"/>
      <c r="V140" s="4"/>
      <c r="W140" s="4"/>
      <c r="X140" s="4"/>
      <c r="Y140" s="4"/>
      <c r="Z140" s="4"/>
    </row>
    <row r="141" spans="1:26" ht="15.75" customHeight="1" x14ac:dyDescent="0.25">
      <c r="A141" s="4"/>
      <c r="B141" s="54"/>
      <c r="C141" s="54" t="s">
        <v>576</v>
      </c>
      <c r="D141" s="54" t="s">
        <v>671</v>
      </c>
      <c r="E141" s="54" t="s">
        <v>237</v>
      </c>
      <c r="F141" s="764">
        <v>8000000</v>
      </c>
      <c r="G141" s="54" t="s">
        <v>563</v>
      </c>
      <c r="H141" s="757">
        <v>1027</v>
      </c>
      <c r="I141" s="54" t="s">
        <v>672</v>
      </c>
      <c r="J141" s="757">
        <f>F141*H141/1000000</f>
        <v>8216</v>
      </c>
      <c r="K141" s="54">
        <v>410</v>
      </c>
      <c r="L141" s="54">
        <v>0.03</v>
      </c>
      <c r="M141" s="54">
        <v>0.01</v>
      </c>
      <c r="N141" s="4"/>
      <c r="O141" s="4"/>
      <c r="P141" s="4"/>
      <c r="Q141" s="4"/>
      <c r="R141" s="4"/>
      <c r="S141" s="4"/>
      <c r="T141" s="4"/>
      <c r="U141" s="4"/>
      <c r="V141" s="4"/>
      <c r="W141" s="4"/>
      <c r="X141" s="4"/>
      <c r="Y141" s="4"/>
      <c r="Z141" s="4"/>
    </row>
    <row r="142" spans="1:26" ht="15.75" customHeight="1" x14ac:dyDescent="0.25">
      <c r="A142" s="4"/>
      <c r="B142" s="763"/>
      <c r="C142" s="763"/>
      <c r="D142" s="763"/>
      <c r="E142" s="763"/>
      <c r="F142" s="763"/>
      <c r="G142" s="763"/>
      <c r="H142" s="763"/>
      <c r="I142" s="763"/>
      <c r="J142" s="763"/>
      <c r="K142" s="763"/>
      <c r="L142" s="763"/>
      <c r="M142" s="763"/>
      <c r="N142" s="4"/>
      <c r="O142" s="4"/>
      <c r="P142" s="4"/>
      <c r="Q142" s="4"/>
      <c r="R142" s="4"/>
      <c r="S142" s="4"/>
      <c r="T142" s="4"/>
      <c r="U142" s="4"/>
      <c r="V142" s="4"/>
      <c r="W142" s="4"/>
      <c r="X142" s="4"/>
      <c r="Y142" s="4"/>
      <c r="Z142" s="4"/>
    </row>
    <row r="143" spans="1:26" ht="15.75" customHeight="1" x14ac:dyDescent="0.25">
      <c r="A143" s="4"/>
      <c r="B143" s="54"/>
      <c r="C143" s="54"/>
      <c r="D143" s="54"/>
      <c r="E143" s="54"/>
      <c r="F143" s="54"/>
      <c r="G143" s="54"/>
      <c r="H143" s="54"/>
      <c r="I143" s="54"/>
      <c r="J143" s="54"/>
      <c r="K143" s="54"/>
      <c r="L143" s="54"/>
      <c r="M143" s="54"/>
      <c r="N143" s="4"/>
      <c r="O143" s="4"/>
      <c r="P143" s="4"/>
      <c r="Q143" s="4"/>
      <c r="R143" s="4"/>
      <c r="S143" s="4"/>
      <c r="T143" s="4"/>
      <c r="U143" s="4"/>
      <c r="V143" s="4"/>
      <c r="W143" s="4"/>
      <c r="X143" s="4"/>
      <c r="Y143" s="4"/>
      <c r="Z143" s="4"/>
    </row>
    <row r="144" spans="1:26" ht="15.75" customHeight="1" x14ac:dyDescent="0.25">
      <c r="A144" s="4"/>
      <c r="B144" s="54" t="s">
        <v>326</v>
      </c>
      <c r="C144" s="51" t="s">
        <v>327</v>
      </c>
      <c r="D144" s="54"/>
      <c r="E144" s="54"/>
      <c r="F144" s="54"/>
      <c r="G144" s="54"/>
      <c r="H144" s="54"/>
      <c r="I144" s="54"/>
      <c r="J144" s="54"/>
      <c r="K144" s="54"/>
      <c r="L144" s="54"/>
      <c r="M144" s="54"/>
      <c r="N144" s="4"/>
      <c r="O144" s="4"/>
      <c r="P144" s="4"/>
      <c r="Q144" s="4"/>
      <c r="R144" s="4"/>
      <c r="S144" s="4"/>
      <c r="T144" s="4"/>
      <c r="U144" s="4"/>
      <c r="V144" s="4"/>
      <c r="W144" s="4"/>
      <c r="X144" s="4"/>
      <c r="Y144" s="4"/>
      <c r="Z144" s="4"/>
    </row>
    <row r="145" spans="1:26" ht="15.75" customHeight="1" x14ac:dyDescent="0.25">
      <c r="A145" s="4"/>
      <c r="B145" s="54"/>
      <c r="C145" s="54" t="s">
        <v>328</v>
      </c>
      <c r="D145" s="54" t="s">
        <v>329</v>
      </c>
      <c r="E145" s="54" t="s">
        <v>219</v>
      </c>
      <c r="F145" s="757">
        <v>161730</v>
      </c>
      <c r="G145" s="54" t="s">
        <v>293</v>
      </c>
      <c r="H145" s="757">
        <v>12900</v>
      </c>
      <c r="I145" s="54" t="s">
        <v>294</v>
      </c>
      <c r="J145" s="53">
        <f>F145*H145*2000/1000000</f>
        <v>4172634</v>
      </c>
      <c r="K145" s="53">
        <f>J145/J147*K147</f>
        <v>406756.89772644348</v>
      </c>
      <c r="L145" s="765">
        <f>J145/J147*L147</f>
        <v>2.9739850923786126</v>
      </c>
      <c r="M145" s="765">
        <f>J145/J147*M147</f>
        <v>6.3445015304077073</v>
      </c>
      <c r="N145" s="4"/>
      <c r="O145" s="4"/>
      <c r="P145" s="4"/>
      <c r="Q145" s="4"/>
      <c r="R145" s="4"/>
      <c r="S145" s="4"/>
      <c r="T145" s="4"/>
      <c r="U145" s="4"/>
      <c r="V145" s="4"/>
      <c r="W145" s="4"/>
      <c r="X145" s="4"/>
      <c r="Y145" s="4"/>
      <c r="Z145" s="4"/>
    </row>
    <row r="146" spans="1:26" ht="15.75" customHeight="1" x14ac:dyDescent="0.25">
      <c r="A146" s="4"/>
      <c r="B146" s="54"/>
      <c r="C146" s="54"/>
      <c r="D146" s="54"/>
      <c r="E146" s="54" t="s">
        <v>406</v>
      </c>
      <c r="F146" s="757">
        <v>262249</v>
      </c>
      <c r="G146" s="54" t="s">
        <v>354</v>
      </c>
      <c r="H146" s="757">
        <v>139181</v>
      </c>
      <c r="I146" s="54" t="s">
        <v>418</v>
      </c>
      <c r="J146" s="53">
        <f>F146*H146/1000000</f>
        <v>36500.078069000003</v>
      </c>
      <c r="K146" s="53">
        <f>J146/J147*K147</f>
        <v>3558.102273556568</v>
      </c>
      <c r="L146" s="765">
        <f>J146/J147*L147</f>
        <v>2.6014907621387723E-2</v>
      </c>
      <c r="M146" s="765">
        <f>J146/J147*M147</f>
        <v>5.5498469592293813E-2</v>
      </c>
      <c r="N146" s="4"/>
      <c r="O146" s="4"/>
      <c r="P146" s="4"/>
      <c r="Q146" s="4"/>
      <c r="R146" s="4"/>
      <c r="S146" s="4"/>
      <c r="T146" s="4"/>
      <c r="U146" s="4"/>
      <c r="V146" s="4"/>
      <c r="W146" s="4"/>
      <c r="X146" s="4"/>
      <c r="Y146" s="4"/>
      <c r="Z146" s="4"/>
    </row>
    <row r="147" spans="1:26" ht="15.75" customHeight="1" x14ac:dyDescent="0.25">
      <c r="A147" s="4"/>
      <c r="B147" s="54"/>
      <c r="C147" s="54"/>
      <c r="D147" s="54"/>
      <c r="E147" s="54"/>
      <c r="F147" s="54"/>
      <c r="G147" s="54"/>
      <c r="H147" s="54"/>
      <c r="I147" s="54"/>
      <c r="J147" s="53">
        <f>SUM(J145:J146)</f>
        <v>4209134.0780689996</v>
      </c>
      <c r="K147" s="761">
        <v>410315</v>
      </c>
      <c r="L147" s="766">
        <v>3</v>
      </c>
      <c r="M147" s="766">
        <v>6.4</v>
      </c>
      <c r="N147" s="4"/>
      <c r="O147" s="4"/>
      <c r="P147" s="4"/>
      <c r="Q147" s="4"/>
      <c r="R147" s="4"/>
      <c r="S147" s="4"/>
      <c r="T147" s="4"/>
      <c r="U147" s="4"/>
      <c r="V147" s="4"/>
      <c r="W147" s="4"/>
      <c r="X147" s="4"/>
      <c r="Y147" s="4"/>
      <c r="Z147" s="4"/>
    </row>
    <row r="148" spans="1:26" ht="15.75" customHeight="1" x14ac:dyDescent="0.25">
      <c r="A148" s="4"/>
      <c r="B148" s="54"/>
      <c r="C148" s="54"/>
      <c r="D148" s="54"/>
      <c r="E148" s="54"/>
      <c r="F148" s="54"/>
      <c r="G148" s="54"/>
      <c r="H148" s="54"/>
      <c r="I148" s="54"/>
      <c r="J148" s="54"/>
      <c r="K148" s="54"/>
      <c r="L148" s="54"/>
      <c r="M148" s="54"/>
      <c r="N148" s="4"/>
      <c r="O148" s="4"/>
      <c r="P148" s="4"/>
      <c r="Q148" s="4"/>
      <c r="R148" s="4"/>
      <c r="S148" s="4"/>
      <c r="T148" s="4"/>
      <c r="U148" s="4"/>
      <c r="V148" s="4"/>
      <c r="W148" s="4"/>
      <c r="X148" s="4"/>
      <c r="Y148" s="4"/>
      <c r="Z148" s="4"/>
    </row>
    <row r="149" spans="1:26" ht="15.75" customHeight="1" x14ac:dyDescent="0.25">
      <c r="A149" s="4"/>
      <c r="B149" s="54"/>
      <c r="C149" s="54" t="s">
        <v>330</v>
      </c>
      <c r="D149" s="54" t="s">
        <v>331</v>
      </c>
      <c r="E149" s="54" t="s">
        <v>219</v>
      </c>
      <c r="F149" s="757">
        <v>198171</v>
      </c>
      <c r="G149" s="54" t="s">
        <v>293</v>
      </c>
      <c r="H149" s="757">
        <v>12891</v>
      </c>
      <c r="I149" s="54" t="s">
        <v>294</v>
      </c>
      <c r="J149" s="53">
        <f>F149*H149*2000/1000000</f>
        <v>5109244.7220000001</v>
      </c>
      <c r="K149" s="53">
        <f>J149/J151*K151</f>
        <v>520348.90453150572</v>
      </c>
      <c r="L149" s="765">
        <f>J149/J151*L151</f>
        <v>3.8009415962856519</v>
      </c>
      <c r="M149" s="765">
        <f>J149/J151*M151</f>
        <v>8.1377861852590971</v>
      </c>
      <c r="N149" s="4"/>
      <c r="O149" s="4"/>
      <c r="P149" s="4"/>
      <c r="Q149" s="4"/>
      <c r="R149" s="4"/>
      <c r="S149" s="4"/>
      <c r="T149" s="4"/>
      <c r="U149" s="4"/>
      <c r="V149" s="4"/>
      <c r="W149" s="4"/>
      <c r="X149" s="4"/>
      <c r="Y149" s="4"/>
      <c r="Z149" s="4"/>
    </row>
    <row r="150" spans="1:26" ht="15.75" customHeight="1" x14ac:dyDescent="0.25">
      <c r="A150" s="4"/>
      <c r="B150" s="54"/>
      <c r="C150" s="54"/>
      <c r="D150" s="54"/>
      <c r="E150" s="54" t="s">
        <v>406</v>
      </c>
      <c r="F150" s="757">
        <v>280645</v>
      </c>
      <c r="G150" s="54" t="s">
        <v>354</v>
      </c>
      <c r="H150" s="757">
        <v>139181</v>
      </c>
      <c r="I150" s="54" t="s">
        <v>418</v>
      </c>
      <c r="J150" s="53">
        <f>F150*H150/1000000</f>
        <v>39060.451744999998</v>
      </c>
      <c r="K150" s="53">
        <f>J150/J151*K151</f>
        <v>3978.0954684942749</v>
      </c>
      <c r="L150" s="765">
        <f>J150/J151*L151</f>
        <v>2.9058403714348247E-2</v>
      </c>
      <c r="M150" s="765">
        <f>J150/J151*M151</f>
        <v>6.2213814740902249E-2</v>
      </c>
      <c r="N150" s="4"/>
      <c r="O150" s="4"/>
      <c r="P150" s="4"/>
      <c r="Q150" s="4"/>
      <c r="R150" s="4"/>
      <c r="S150" s="4"/>
      <c r="T150" s="4"/>
      <c r="U150" s="4"/>
      <c r="V150" s="4"/>
      <c r="W150" s="4"/>
      <c r="X150" s="4"/>
      <c r="Y150" s="4"/>
      <c r="Z150" s="4"/>
    </row>
    <row r="151" spans="1:26" ht="15.75" customHeight="1" x14ac:dyDescent="0.25">
      <c r="A151" s="4"/>
      <c r="B151" s="54"/>
      <c r="C151" s="54"/>
      <c r="D151" s="54"/>
      <c r="E151" s="54"/>
      <c r="F151" s="54"/>
      <c r="G151" s="54"/>
      <c r="H151" s="54"/>
      <c r="I151" s="54"/>
      <c r="J151" s="53">
        <f>SUM(J149:J150)</f>
        <v>5148305.1737449998</v>
      </c>
      <c r="K151" s="761">
        <v>524327</v>
      </c>
      <c r="L151" s="767">
        <v>3.83</v>
      </c>
      <c r="M151" s="767">
        <v>8.1999999999999993</v>
      </c>
      <c r="N151" s="4"/>
      <c r="O151" s="4"/>
      <c r="P151" s="4"/>
      <c r="Q151" s="4"/>
      <c r="R151" s="4"/>
      <c r="S151" s="4"/>
      <c r="T151" s="4"/>
      <c r="U151" s="4"/>
      <c r="V151" s="4"/>
      <c r="W151" s="4"/>
      <c r="X151" s="4"/>
      <c r="Y151" s="4"/>
      <c r="Z151" s="4"/>
    </row>
    <row r="152" spans="1:26" ht="15.75" customHeight="1" x14ac:dyDescent="0.25">
      <c r="A152" s="4"/>
      <c r="B152" s="54"/>
      <c r="C152" s="54"/>
      <c r="D152" s="54"/>
      <c r="E152" s="54"/>
      <c r="F152" s="54"/>
      <c r="G152" s="54"/>
      <c r="H152" s="54"/>
      <c r="I152" s="54"/>
      <c r="J152" s="54"/>
      <c r="K152" s="54"/>
      <c r="L152" s="54"/>
      <c r="M152" s="54"/>
      <c r="N152" s="4"/>
      <c r="O152" s="4"/>
      <c r="P152" s="4"/>
      <c r="Q152" s="4"/>
      <c r="R152" s="4"/>
      <c r="S152" s="4"/>
      <c r="T152" s="4"/>
      <c r="U152" s="4"/>
      <c r="V152" s="4"/>
      <c r="W152" s="4"/>
      <c r="X152" s="4"/>
      <c r="Y152" s="4"/>
      <c r="Z152" s="4"/>
    </row>
    <row r="153" spans="1:26" ht="15.75" customHeight="1" x14ac:dyDescent="0.25">
      <c r="A153" s="4"/>
      <c r="B153" s="54"/>
      <c r="C153" s="54" t="s">
        <v>332</v>
      </c>
      <c r="D153" s="54" t="s">
        <v>333</v>
      </c>
      <c r="E153" s="54" t="s">
        <v>219</v>
      </c>
      <c r="F153" s="757">
        <v>197128</v>
      </c>
      <c r="G153" s="54" t="s">
        <v>293</v>
      </c>
      <c r="H153" s="757">
        <v>12895</v>
      </c>
      <c r="I153" s="54" t="s">
        <v>294</v>
      </c>
      <c r="J153" s="53">
        <f>F153*H153*2000/1000000</f>
        <v>5083931.12</v>
      </c>
      <c r="K153" s="53">
        <f>J153/J155*K155</f>
        <v>512116.49878776021</v>
      </c>
      <c r="L153" s="758">
        <f>J153/J155*L155</f>
        <v>3.7435053649600403</v>
      </c>
      <c r="M153" s="758">
        <f>J153/J155*M155</f>
        <v>7.9437779627799259</v>
      </c>
      <c r="N153" s="4"/>
      <c r="O153" s="4"/>
      <c r="P153" s="4"/>
      <c r="Q153" s="4"/>
      <c r="R153" s="4"/>
      <c r="S153" s="4"/>
      <c r="T153" s="4"/>
      <c r="U153" s="4"/>
      <c r="V153" s="4"/>
      <c r="W153" s="4"/>
      <c r="X153" s="4"/>
      <c r="Y153" s="4"/>
      <c r="Z153" s="4"/>
    </row>
    <row r="154" spans="1:26" ht="15.75" customHeight="1" x14ac:dyDescent="0.25">
      <c r="A154" s="4"/>
      <c r="B154" s="54"/>
      <c r="C154" s="54"/>
      <c r="D154" s="54"/>
      <c r="E154" s="54" t="s">
        <v>406</v>
      </c>
      <c r="F154" s="757">
        <v>258523</v>
      </c>
      <c r="G154" s="54" t="s">
        <v>354</v>
      </c>
      <c r="H154" s="757">
        <v>139181</v>
      </c>
      <c r="I154" s="54" t="s">
        <v>418</v>
      </c>
      <c r="J154" s="53">
        <f>F154*H154/1000000</f>
        <v>35981.489663</v>
      </c>
      <c r="K154" s="53">
        <f>J154/J155*K155</f>
        <v>3624.5012122397807</v>
      </c>
      <c r="L154" s="758">
        <f>J154/J155*L155</f>
        <v>2.6494635039959927E-2</v>
      </c>
      <c r="M154" s="758">
        <f>J154/J155*M155</f>
        <v>5.6222037220074114E-2</v>
      </c>
      <c r="N154" s="4"/>
      <c r="O154" s="4"/>
      <c r="P154" s="4"/>
      <c r="Q154" s="4"/>
      <c r="R154" s="4"/>
      <c r="S154" s="4"/>
      <c r="T154" s="4"/>
      <c r="U154" s="4"/>
      <c r="V154" s="4"/>
      <c r="W154" s="4"/>
      <c r="X154" s="4"/>
      <c r="Y154" s="4"/>
      <c r="Z154" s="4"/>
    </row>
    <row r="155" spans="1:26" ht="15.75" customHeight="1" x14ac:dyDescent="0.25">
      <c r="A155" s="4"/>
      <c r="B155" s="54"/>
      <c r="C155" s="54"/>
      <c r="D155" s="54"/>
      <c r="E155" s="54"/>
      <c r="F155" s="54"/>
      <c r="G155" s="54"/>
      <c r="H155" s="54"/>
      <c r="I155" s="54"/>
      <c r="J155" s="53">
        <f>SUM(J153:J154)</f>
        <v>5119912.6096630003</v>
      </c>
      <c r="K155" s="761">
        <v>515741</v>
      </c>
      <c r="L155" s="767">
        <v>3.77</v>
      </c>
      <c r="M155" s="767">
        <v>8</v>
      </c>
      <c r="N155" s="4"/>
      <c r="O155" s="4"/>
      <c r="P155" s="4"/>
      <c r="Q155" s="4"/>
      <c r="R155" s="4"/>
      <c r="S155" s="4"/>
      <c r="T155" s="4"/>
      <c r="U155" s="4"/>
      <c r="V155" s="4"/>
      <c r="W155" s="4"/>
      <c r="X155" s="4"/>
      <c r="Y155" s="4"/>
      <c r="Z155" s="4"/>
    </row>
    <row r="156" spans="1:26" ht="15.75" customHeight="1" x14ac:dyDescent="0.25">
      <c r="A156" s="4"/>
      <c r="B156" s="54"/>
      <c r="C156" s="54"/>
      <c r="D156" s="54"/>
      <c r="E156" s="54"/>
      <c r="F156" s="54"/>
      <c r="G156" s="54"/>
      <c r="H156" s="54"/>
      <c r="I156" s="54"/>
      <c r="J156" s="54"/>
      <c r="K156" s="54"/>
      <c r="L156" s="54"/>
      <c r="M156" s="54"/>
      <c r="N156" s="4"/>
      <c r="O156" s="4"/>
      <c r="P156" s="4"/>
      <c r="Q156" s="4"/>
      <c r="R156" s="4"/>
      <c r="S156" s="4"/>
      <c r="T156" s="4"/>
      <c r="U156" s="4"/>
      <c r="V156" s="4"/>
      <c r="W156" s="4"/>
      <c r="X156" s="4"/>
      <c r="Y156" s="4"/>
      <c r="Z156" s="4"/>
    </row>
    <row r="157" spans="1:26" ht="15.75" customHeight="1" x14ac:dyDescent="0.25">
      <c r="A157" s="4"/>
      <c r="B157" s="54"/>
      <c r="C157" s="54" t="s">
        <v>422</v>
      </c>
      <c r="D157" s="54" t="s">
        <v>669</v>
      </c>
      <c r="E157" s="54" t="s">
        <v>406</v>
      </c>
      <c r="F157" s="757">
        <v>25757</v>
      </c>
      <c r="G157" s="54" t="s">
        <v>354</v>
      </c>
      <c r="H157" s="757">
        <v>139181</v>
      </c>
      <c r="I157" s="54"/>
      <c r="J157" s="67">
        <f>F157*H157/1000000</f>
        <v>3584.8850170000001</v>
      </c>
      <c r="K157" s="54">
        <v>293</v>
      </c>
      <c r="L157" s="54">
        <v>6.9999999999999999E-4</v>
      </c>
      <c r="M157" s="54">
        <v>0.01</v>
      </c>
      <c r="N157" s="4"/>
      <c r="O157" s="4"/>
      <c r="P157" s="4"/>
      <c r="Q157" s="4"/>
      <c r="R157" s="4"/>
      <c r="S157" s="4"/>
      <c r="T157" s="4"/>
      <c r="U157" s="4"/>
      <c r="V157" s="4"/>
      <c r="W157" s="4"/>
      <c r="X157" s="4"/>
      <c r="Y157" s="4"/>
      <c r="Z157" s="4"/>
    </row>
    <row r="158" spans="1:26" ht="15.75" customHeight="1" x14ac:dyDescent="0.25">
      <c r="A158" s="4"/>
      <c r="B158" s="54"/>
      <c r="C158" s="54"/>
      <c r="D158" s="54"/>
      <c r="E158" s="54"/>
      <c r="F158" s="54"/>
      <c r="G158" s="54"/>
      <c r="H158" s="54"/>
      <c r="I158" s="54"/>
      <c r="J158" s="54"/>
      <c r="K158" s="54"/>
      <c r="L158" s="54"/>
      <c r="M158" s="54"/>
      <c r="N158" s="4"/>
      <c r="O158" s="4"/>
      <c r="P158" s="4"/>
      <c r="Q158" s="4"/>
      <c r="R158" s="4"/>
      <c r="S158" s="4"/>
      <c r="T158" s="4"/>
      <c r="U158" s="4"/>
      <c r="V158" s="4"/>
      <c r="W158" s="4"/>
      <c r="X158" s="4"/>
      <c r="Y158" s="4"/>
      <c r="Z158" s="4"/>
    </row>
    <row r="159" spans="1:26" ht="15.75" customHeight="1" x14ac:dyDescent="0.25">
      <c r="A159" s="4"/>
      <c r="B159" s="763"/>
      <c r="C159" s="763"/>
      <c r="D159" s="763"/>
      <c r="E159" s="763"/>
      <c r="F159" s="763"/>
      <c r="G159" s="763"/>
      <c r="H159" s="763"/>
      <c r="I159" s="763"/>
      <c r="J159" s="763"/>
      <c r="K159" s="763"/>
      <c r="L159" s="763"/>
      <c r="M159" s="763"/>
      <c r="N159" s="4"/>
      <c r="O159" s="4"/>
      <c r="P159" s="4"/>
      <c r="Q159" s="4"/>
      <c r="R159" s="4"/>
      <c r="S159" s="4"/>
      <c r="T159" s="4"/>
      <c r="U159" s="4"/>
      <c r="V159" s="4"/>
      <c r="W159" s="4"/>
      <c r="X159" s="4"/>
      <c r="Y159" s="4"/>
      <c r="Z159" s="4"/>
    </row>
    <row r="160" spans="1:26" ht="15.75" customHeight="1" x14ac:dyDescent="0.25">
      <c r="A160" s="4"/>
      <c r="B160" s="54"/>
      <c r="C160" s="54"/>
      <c r="D160" s="54"/>
      <c r="E160" s="54"/>
      <c r="F160" s="54"/>
      <c r="G160" s="54"/>
      <c r="H160" s="54"/>
      <c r="I160" s="54"/>
      <c r="J160" s="54"/>
      <c r="K160" s="54"/>
      <c r="L160" s="54"/>
      <c r="M160" s="54"/>
      <c r="N160" s="4"/>
      <c r="O160" s="4"/>
      <c r="P160" s="4"/>
      <c r="Q160" s="4"/>
      <c r="R160" s="4"/>
      <c r="S160" s="4"/>
      <c r="T160" s="4"/>
      <c r="U160" s="4"/>
      <c r="V160" s="4"/>
      <c r="W160" s="4"/>
      <c r="X160" s="4"/>
      <c r="Y160" s="4"/>
      <c r="Z160" s="4"/>
    </row>
    <row r="161" spans="1:26" ht="15.75" customHeight="1" x14ac:dyDescent="0.25">
      <c r="A161" s="4"/>
      <c r="B161" s="54" t="s">
        <v>425</v>
      </c>
      <c r="C161" s="51" t="s">
        <v>426</v>
      </c>
      <c r="D161" s="54"/>
      <c r="E161" s="54"/>
      <c r="F161" s="54"/>
      <c r="G161" s="54"/>
      <c r="H161" s="54"/>
      <c r="I161" s="54"/>
      <c r="J161" s="54"/>
      <c r="K161" s="54"/>
      <c r="L161" s="54"/>
      <c r="M161" s="54"/>
      <c r="N161" s="4"/>
      <c r="O161" s="4"/>
      <c r="P161" s="4"/>
      <c r="Q161" s="4"/>
      <c r="R161" s="4"/>
      <c r="S161" s="4"/>
      <c r="T161" s="4"/>
      <c r="U161" s="4"/>
      <c r="V161" s="4"/>
      <c r="W161" s="4"/>
      <c r="X161" s="4"/>
      <c r="Y161" s="4"/>
      <c r="Z161" s="4"/>
    </row>
    <row r="162" spans="1:26" ht="15.75" customHeight="1" x14ac:dyDescent="0.25">
      <c r="A162" s="4"/>
      <c r="B162" s="54"/>
      <c r="C162" s="54" t="s">
        <v>427</v>
      </c>
      <c r="D162" s="54" t="s">
        <v>673</v>
      </c>
      <c r="E162" s="54" t="s">
        <v>237</v>
      </c>
      <c r="F162" s="757">
        <v>150625000</v>
      </c>
      <c r="G162" s="54" t="s">
        <v>563</v>
      </c>
      <c r="H162" s="757">
        <v>1032</v>
      </c>
      <c r="I162" s="54" t="s">
        <v>674</v>
      </c>
      <c r="J162" s="53">
        <f t="shared" ref="J162:J163" si="53">F162*H162/1000000</f>
        <v>155445</v>
      </c>
      <c r="K162" s="53">
        <f>J162/J164*K164</f>
        <v>7682.9804922914709</v>
      </c>
      <c r="L162" s="758">
        <f>J162/J164*L164</f>
        <v>0.62769448466433575</v>
      </c>
      <c r="M162" s="758">
        <f>J162/J164*M164</f>
        <v>0.26901192199900104</v>
      </c>
      <c r="N162" s="4"/>
      <c r="O162" s="4"/>
      <c r="P162" s="4"/>
      <c r="Q162" s="4"/>
      <c r="R162" s="4"/>
      <c r="S162" s="4"/>
      <c r="T162" s="4"/>
      <c r="U162" s="4"/>
      <c r="V162" s="4"/>
      <c r="W162" s="4"/>
      <c r="X162" s="4"/>
      <c r="Y162" s="4"/>
      <c r="Z162" s="4"/>
    </row>
    <row r="163" spans="1:26" ht="15.75" customHeight="1" x14ac:dyDescent="0.25">
      <c r="A163" s="4"/>
      <c r="B163" s="54"/>
      <c r="C163" s="54"/>
      <c r="D163" s="54"/>
      <c r="E163" s="54" t="s">
        <v>406</v>
      </c>
      <c r="F163" s="757">
        <v>128653</v>
      </c>
      <c r="G163" s="54" t="s">
        <v>354</v>
      </c>
      <c r="H163" s="757">
        <v>139181</v>
      </c>
      <c r="I163" s="54" t="s">
        <v>418</v>
      </c>
      <c r="J163" s="53">
        <f t="shared" si="53"/>
        <v>17906.053193</v>
      </c>
      <c r="K163" s="53">
        <f>J163/J164*K164</f>
        <v>885.01950770852966</v>
      </c>
      <c r="L163" s="758">
        <f>J163/J164*L164</f>
        <v>7.2305515335664192E-2</v>
      </c>
      <c r="M163" s="758">
        <f>J163/J164*M164</f>
        <v>3.0988078000998939E-2</v>
      </c>
      <c r="N163" s="4"/>
      <c r="O163" s="4"/>
      <c r="P163" s="4"/>
      <c r="Q163" s="4"/>
      <c r="R163" s="4"/>
      <c r="S163" s="4"/>
      <c r="T163" s="4"/>
      <c r="U163" s="4"/>
      <c r="V163" s="4"/>
      <c r="W163" s="4"/>
      <c r="X163" s="4"/>
      <c r="Y163" s="4"/>
      <c r="Z163" s="4"/>
    </row>
    <row r="164" spans="1:26" ht="15.75" customHeight="1" x14ac:dyDescent="0.25">
      <c r="A164" s="4"/>
      <c r="B164" s="54"/>
      <c r="C164" s="54"/>
      <c r="D164" s="54"/>
      <c r="E164" s="54"/>
      <c r="F164" s="54"/>
      <c r="G164" s="54"/>
      <c r="H164" s="54"/>
      <c r="I164" s="54"/>
      <c r="J164" s="53">
        <f>SUM(J162:J163)</f>
        <v>173351.053193</v>
      </c>
      <c r="K164" s="761">
        <v>8568</v>
      </c>
      <c r="L164" s="767">
        <v>0.7</v>
      </c>
      <c r="M164" s="767">
        <v>0.3</v>
      </c>
      <c r="N164" s="4"/>
      <c r="O164" s="4"/>
      <c r="P164" s="4"/>
      <c r="Q164" s="4"/>
      <c r="R164" s="4"/>
      <c r="S164" s="4"/>
      <c r="T164" s="4"/>
      <c r="U164" s="4"/>
      <c r="V164" s="4"/>
      <c r="W164" s="4"/>
      <c r="X164" s="4"/>
      <c r="Y164" s="4"/>
      <c r="Z164" s="4"/>
    </row>
    <row r="165" spans="1:26" ht="15.75" customHeight="1" x14ac:dyDescent="0.25">
      <c r="A165" s="4"/>
      <c r="B165" s="54"/>
      <c r="C165" s="54"/>
      <c r="D165" s="54"/>
      <c r="E165" s="54"/>
      <c r="F165" s="54"/>
      <c r="G165" s="54"/>
      <c r="H165" s="54"/>
      <c r="I165" s="54"/>
      <c r="J165" s="54"/>
      <c r="K165" s="54"/>
      <c r="L165" s="54"/>
      <c r="M165" s="54"/>
      <c r="N165" s="4"/>
      <c r="O165" s="4"/>
      <c r="P165" s="4"/>
      <c r="Q165" s="4"/>
      <c r="R165" s="4"/>
      <c r="S165" s="4"/>
      <c r="T165" s="4"/>
      <c r="U165" s="4"/>
      <c r="V165" s="4"/>
      <c r="W165" s="4"/>
      <c r="X165" s="4"/>
      <c r="Y165" s="4"/>
      <c r="Z165" s="4"/>
    </row>
    <row r="166" spans="1:26" ht="15.75" customHeight="1" x14ac:dyDescent="0.25">
      <c r="A166" s="4"/>
      <c r="B166" s="54"/>
      <c r="C166" s="54"/>
      <c r="D166" s="54" t="s">
        <v>371</v>
      </c>
      <c r="E166" s="54" t="s">
        <v>237</v>
      </c>
      <c r="F166" s="757">
        <v>206653000</v>
      </c>
      <c r="G166" s="54" t="s">
        <v>563</v>
      </c>
      <c r="H166" s="757">
        <v>1032</v>
      </c>
      <c r="I166" s="54" t="s">
        <v>674</v>
      </c>
      <c r="J166" s="53">
        <f t="shared" ref="J166:J167" si="54">F166*H166/1000000</f>
        <v>213265.89600000001</v>
      </c>
      <c r="K166" s="53">
        <f>J166/J168*K168</f>
        <v>10136.750086008988</v>
      </c>
      <c r="L166" s="768">
        <f>J166/J168*L168</f>
        <v>0.83575257213339038</v>
      </c>
      <c r="M166" s="768">
        <f>J166/J168*M168</f>
        <v>0.37144558761484014</v>
      </c>
      <c r="N166" s="4"/>
      <c r="O166" s="4"/>
      <c r="P166" s="4"/>
      <c r="Q166" s="4"/>
      <c r="R166" s="4"/>
      <c r="S166" s="4"/>
      <c r="T166" s="4"/>
      <c r="U166" s="4"/>
      <c r="V166" s="4"/>
      <c r="W166" s="4"/>
      <c r="X166" s="4"/>
      <c r="Y166" s="4"/>
      <c r="Z166" s="4"/>
    </row>
    <row r="167" spans="1:26" ht="15.75" customHeight="1" x14ac:dyDescent="0.25">
      <c r="A167" s="4"/>
      <c r="B167" s="54"/>
      <c r="C167" s="54"/>
      <c r="D167" s="54"/>
      <c r="E167" s="54" t="s">
        <v>675</v>
      </c>
      <c r="F167" s="757">
        <v>117793</v>
      </c>
      <c r="G167" s="54" t="s">
        <v>354</v>
      </c>
      <c r="H167" s="757">
        <v>139181</v>
      </c>
      <c r="I167" s="54" t="s">
        <v>418</v>
      </c>
      <c r="J167" s="53">
        <f t="shared" si="54"/>
        <v>16394.547533000001</v>
      </c>
      <c r="K167" s="53">
        <f>J167/J168*K168</f>
        <v>779.24991399101225</v>
      </c>
      <c r="L167" s="768">
        <f>J167/J168*L168</f>
        <v>6.4247427866609669E-2</v>
      </c>
      <c r="M167" s="768">
        <f>J167/J168*M168</f>
        <v>2.855441238515985E-2</v>
      </c>
      <c r="N167" s="4"/>
      <c r="O167" s="4"/>
      <c r="P167" s="4"/>
      <c r="Q167" s="4"/>
      <c r="R167" s="4"/>
      <c r="S167" s="4"/>
      <c r="T167" s="4"/>
      <c r="U167" s="4"/>
      <c r="V167" s="4"/>
      <c r="W167" s="4"/>
      <c r="X167" s="4"/>
      <c r="Y167" s="4"/>
      <c r="Z167" s="4"/>
    </row>
    <row r="168" spans="1:26" ht="15.75" customHeight="1" x14ac:dyDescent="0.25">
      <c r="A168" s="4"/>
      <c r="B168" s="54"/>
      <c r="C168" s="54"/>
      <c r="D168" s="54"/>
      <c r="E168" s="54"/>
      <c r="F168" s="54"/>
      <c r="G168" s="54"/>
      <c r="H168" s="54"/>
      <c r="I168" s="54"/>
      <c r="J168" s="53">
        <f>SUM(J166:J167)</f>
        <v>229660.44353300001</v>
      </c>
      <c r="K168" s="761">
        <v>10916</v>
      </c>
      <c r="L168" s="762">
        <v>0.9</v>
      </c>
      <c r="M168" s="762">
        <v>0.4</v>
      </c>
      <c r="N168" s="4"/>
      <c r="O168" s="4"/>
      <c r="P168" s="4"/>
      <c r="Q168" s="4"/>
      <c r="R168" s="4"/>
      <c r="S168" s="4"/>
      <c r="T168" s="4"/>
      <c r="U168" s="4"/>
      <c r="V168" s="4"/>
      <c r="W168" s="4"/>
      <c r="X168" s="4"/>
      <c r="Y168" s="4"/>
      <c r="Z168" s="4"/>
    </row>
    <row r="169" spans="1:26" ht="15.75" customHeight="1" x14ac:dyDescent="0.25">
      <c r="A169" s="4"/>
      <c r="B169" s="763"/>
      <c r="C169" s="763"/>
      <c r="D169" s="763"/>
      <c r="E169" s="763"/>
      <c r="F169" s="763"/>
      <c r="G169" s="763"/>
      <c r="H169" s="763"/>
      <c r="I169" s="763"/>
      <c r="J169" s="763"/>
      <c r="K169" s="763"/>
      <c r="L169" s="763"/>
      <c r="M169" s="763"/>
      <c r="N169" s="4"/>
      <c r="O169" s="4"/>
      <c r="P169" s="4"/>
      <c r="Q169" s="4"/>
      <c r="R169" s="4"/>
      <c r="S169" s="4"/>
      <c r="T169" s="4"/>
      <c r="U169" s="4"/>
      <c r="V169" s="4"/>
      <c r="W169" s="4"/>
      <c r="X169" s="4"/>
      <c r="Y169" s="4"/>
      <c r="Z169" s="4"/>
    </row>
    <row r="170" spans="1:26" ht="15.75" customHeight="1" x14ac:dyDescent="0.25">
      <c r="A170" s="4"/>
      <c r="B170" s="54"/>
      <c r="C170" s="54"/>
      <c r="D170" s="54"/>
      <c r="E170" s="54"/>
      <c r="F170" s="54"/>
      <c r="G170" s="54"/>
      <c r="H170" s="54"/>
      <c r="I170" s="54"/>
      <c r="J170" s="54"/>
      <c r="K170" s="54"/>
      <c r="L170" s="54"/>
      <c r="M170" s="54"/>
      <c r="N170" s="4"/>
      <c r="O170" s="4"/>
      <c r="P170" s="4"/>
      <c r="Q170" s="4"/>
      <c r="R170" s="4"/>
      <c r="S170" s="4"/>
      <c r="T170" s="4"/>
      <c r="U170" s="4"/>
      <c r="V170" s="4"/>
      <c r="W170" s="4"/>
      <c r="X170" s="4"/>
      <c r="Y170" s="4"/>
      <c r="Z170" s="4"/>
    </row>
    <row r="171" spans="1:26" ht="15.75" customHeight="1" x14ac:dyDescent="0.25">
      <c r="A171" s="4"/>
      <c r="B171" s="54" t="s">
        <v>334</v>
      </c>
      <c r="C171" s="51" t="s">
        <v>335</v>
      </c>
      <c r="D171" s="54"/>
      <c r="E171" s="54"/>
      <c r="F171" s="54"/>
      <c r="G171" s="54"/>
      <c r="H171" s="54"/>
      <c r="I171" s="54"/>
      <c r="J171" s="54"/>
      <c r="K171" s="54"/>
      <c r="L171" s="54"/>
      <c r="M171" s="54"/>
      <c r="N171" s="4"/>
      <c r="O171" s="4"/>
      <c r="P171" s="4"/>
      <c r="Q171" s="4"/>
      <c r="R171" s="4"/>
      <c r="S171" s="4"/>
      <c r="T171" s="4"/>
      <c r="U171" s="4"/>
      <c r="V171" s="4"/>
      <c r="W171" s="4"/>
      <c r="X171" s="4"/>
      <c r="Y171" s="4"/>
      <c r="Z171" s="4"/>
    </row>
    <row r="172" spans="1:26" ht="15.75" customHeight="1" x14ac:dyDescent="0.25">
      <c r="A172" s="4"/>
      <c r="B172" s="54"/>
      <c r="C172" s="54" t="s">
        <v>336</v>
      </c>
      <c r="D172" s="54" t="s">
        <v>298</v>
      </c>
      <c r="E172" s="54" t="s">
        <v>219</v>
      </c>
      <c r="F172" s="757">
        <v>1141923</v>
      </c>
      <c r="G172" s="54" t="s">
        <v>293</v>
      </c>
      <c r="H172" s="757">
        <v>13025</v>
      </c>
      <c r="I172" s="54" t="s">
        <v>294</v>
      </c>
      <c r="J172" s="53">
        <f>F172*H172*2000/1000000</f>
        <v>29747094.149999999</v>
      </c>
      <c r="K172" s="53">
        <f>J172/J174*K174</f>
        <v>3377171.0602952191</v>
      </c>
      <c r="L172" s="758">
        <f>J172/J174*L174</f>
        <v>24.684830526299731</v>
      </c>
      <c r="M172" s="758">
        <f>J172/J174*M174</f>
        <v>52.660971789439422</v>
      </c>
      <c r="N172" s="4"/>
      <c r="O172" s="4"/>
      <c r="P172" s="4"/>
      <c r="Q172" s="4"/>
      <c r="R172" s="4"/>
      <c r="S172" s="4"/>
      <c r="T172" s="4"/>
      <c r="U172" s="4"/>
      <c r="V172" s="4"/>
      <c r="W172" s="4"/>
      <c r="X172" s="4"/>
      <c r="Y172" s="4"/>
      <c r="Z172" s="4"/>
    </row>
    <row r="173" spans="1:26" ht="15.75" customHeight="1" x14ac:dyDescent="0.25">
      <c r="A173" s="4"/>
      <c r="B173" s="54"/>
      <c r="C173" s="54"/>
      <c r="D173" s="54"/>
      <c r="E173" s="54" t="s">
        <v>406</v>
      </c>
      <c r="F173" s="757">
        <v>560730</v>
      </c>
      <c r="G173" s="54" t="s">
        <v>354</v>
      </c>
      <c r="H173" s="757">
        <v>140057</v>
      </c>
      <c r="I173" s="54" t="s">
        <v>418</v>
      </c>
      <c r="J173" s="53">
        <f>F173*H173/1000000</f>
        <v>78534.161609999996</v>
      </c>
      <c r="K173" s="53">
        <f>J173/J174*K174</f>
        <v>8915.9397047808707</v>
      </c>
      <c r="L173" s="758">
        <f>J173/J174*L174</f>
        <v>6.5169473700270125E-2</v>
      </c>
      <c r="M173" s="758">
        <f>J173/J174*M174</f>
        <v>0.13902821056057627</v>
      </c>
      <c r="N173" s="4"/>
      <c r="O173" s="4"/>
      <c r="P173" s="4"/>
      <c r="Q173" s="4"/>
      <c r="R173" s="4"/>
      <c r="S173" s="4"/>
      <c r="T173" s="4"/>
      <c r="U173" s="4"/>
      <c r="V173" s="4"/>
      <c r="W173" s="4"/>
      <c r="X173" s="4"/>
      <c r="Y173" s="4"/>
      <c r="Z173" s="4"/>
    </row>
    <row r="174" spans="1:26" ht="15.75" customHeight="1" x14ac:dyDescent="0.25">
      <c r="A174" s="4"/>
      <c r="B174" s="54"/>
      <c r="C174" s="54"/>
      <c r="D174" s="54"/>
      <c r="E174" s="54"/>
      <c r="F174" s="54"/>
      <c r="G174" s="54"/>
      <c r="H174" s="54"/>
      <c r="I174" s="54"/>
      <c r="J174" s="53">
        <f>SUM(J172:J173)</f>
        <v>29825628.311609998</v>
      </c>
      <c r="K174" s="761">
        <v>3386087</v>
      </c>
      <c r="L174" s="767">
        <v>24.75</v>
      </c>
      <c r="M174" s="767">
        <v>52.8</v>
      </c>
      <c r="N174" s="4"/>
      <c r="O174" s="4"/>
      <c r="P174" s="4"/>
      <c r="Q174" s="4"/>
      <c r="R174" s="4"/>
      <c r="S174" s="4"/>
      <c r="T174" s="4"/>
      <c r="U174" s="4"/>
      <c r="V174" s="4"/>
      <c r="W174" s="4"/>
      <c r="X174" s="4"/>
      <c r="Y174" s="4"/>
      <c r="Z174" s="4"/>
    </row>
    <row r="175" spans="1:26" ht="15.75" customHeight="1" x14ac:dyDescent="0.25">
      <c r="A175" s="4"/>
      <c r="B175" s="54"/>
      <c r="C175" s="54"/>
      <c r="D175" s="54"/>
      <c r="E175" s="54"/>
      <c r="F175" s="54"/>
      <c r="G175" s="54"/>
      <c r="H175" s="54"/>
      <c r="I175" s="54"/>
      <c r="J175" s="53"/>
      <c r="K175" s="757"/>
      <c r="L175" s="758"/>
      <c r="M175" s="758"/>
      <c r="N175" s="4"/>
      <c r="O175" s="4"/>
      <c r="P175" s="4"/>
      <c r="Q175" s="4"/>
      <c r="R175" s="4"/>
      <c r="S175" s="4"/>
      <c r="T175" s="4"/>
      <c r="U175" s="4"/>
      <c r="V175" s="4"/>
      <c r="W175" s="4"/>
      <c r="X175" s="4"/>
      <c r="Y175" s="4"/>
      <c r="Z175" s="4"/>
    </row>
    <row r="176" spans="1:26" ht="15.75" customHeight="1" x14ac:dyDescent="0.25">
      <c r="A176" s="4"/>
      <c r="B176" s="54"/>
      <c r="C176" s="54" t="s">
        <v>337</v>
      </c>
      <c r="D176" s="54" t="s">
        <v>302</v>
      </c>
      <c r="E176" s="54" t="s">
        <v>219</v>
      </c>
      <c r="F176" s="757">
        <v>1248983</v>
      </c>
      <c r="G176" s="54" t="s">
        <v>293</v>
      </c>
      <c r="H176" s="757">
        <v>13025</v>
      </c>
      <c r="I176" s="54" t="s">
        <v>294</v>
      </c>
      <c r="J176" s="53">
        <f>F176*H176*2000/1000000</f>
        <v>32536007.149999999</v>
      </c>
      <c r="K176" s="53">
        <f>J176/J178*K178</f>
        <v>3292474.5069769244</v>
      </c>
      <c r="L176" s="758">
        <f>J176/J178*L178</f>
        <v>25.513668463846166</v>
      </c>
      <c r="M176" s="758">
        <f>J176/J178*M178</f>
        <v>54.422502202724701</v>
      </c>
      <c r="N176" s="4"/>
      <c r="O176" s="4"/>
      <c r="P176" s="4"/>
      <c r="Q176" s="4"/>
      <c r="R176" s="4"/>
      <c r="S176" s="4"/>
      <c r="T176" s="4"/>
      <c r="U176" s="4"/>
      <c r="V176" s="4"/>
      <c r="W176" s="4"/>
      <c r="X176" s="4"/>
      <c r="Y176" s="4"/>
      <c r="Z176" s="4"/>
    </row>
    <row r="177" spans="1:26" ht="15.75" customHeight="1" x14ac:dyDescent="0.25">
      <c r="A177" s="4"/>
      <c r="B177" s="54"/>
      <c r="C177" s="54"/>
      <c r="D177" s="54"/>
      <c r="E177" s="54" t="s">
        <v>406</v>
      </c>
      <c r="F177" s="757">
        <v>330721</v>
      </c>
      <c r="G177" s="54" t="s">
        <v>354</v>
      </c>
      <c r="H177" s="757">
        <v>140092</v>
      </c>
      <c r="I177" s="54" t="s">
        <v>418</v>
      </c>
      <c r="J177" s="53">
        <f>F177*H177/1000000</f>
        <v>46331.366331999998</v>
      </c>
      <c r="K177" s="53">
        <f>J177/J178*K178</f>
        <v>4688.4930230757882</v>
      </c>
      <c r="L177" s="758">
        <f>J177/J178*L178</f>
        <v>3.6331536153834797E-2</v>
      </c>
      <c r="M177" s="758">
        <f>J177/J178*M178</f>
        <v>7.749779727530319E-2</v>
      </c>
      <c r="N177" s="4"/>
      <c r="O177" s="4"/>
      <c r="P177" s="4"/>
      <c r="Q177" s="4"/>
      <c r="R177" s="4"/>
      <c r="S177" s="4"/>
      <c r="T177" s="4"/>
      <c r="U177" s="4"/>
      <c r="V177" s="4"/>
      <c r="W177" s="4"/>
      <c r="X177" s="4"/>
      <c r="Y177" s="4"/>
      <c r="Z177" s="4"/>
    </row>
    <row r="178" spans="1:26" ht="15.75" customHeight="1" x14ac:dyDescent="0.25">
      <c r="A178" s="4"/>
      <c r="B178" s="54"/>
      <c r="C178" s="54"/>
      <c r="D178" s="54"/>
      <c r="E178" s="54"/>
      <c r="F178" s="54"/>
      <c r="G178" s="54"/>
      <c r="H178" s="54"/>
      <c r="I178" s="54"/>
      <c r="J178" s="53">
        <f>SUM(J176:J177)</f>
        <v>32582338.516331997</v>
      </c>
      <c r="K178" s="761">
        <v>3297163</v>
      </c>
      <c r="L178" s="767">
        <v>25.55</v>
      </c>
      <c r="M178" s="767">
        <v>54.5</v>
      </c>
      <c r="N178" s="4"/>
      <c r="O178" s="4"/>
      <c r="P178" s="4"/>
      <c r="Q178" s="4"/>
      <c r="R178" s="4"/>
      <c r="S178" s="4"/>
      <c r="T178" s="4"/>
      <c r="U178" s="4"/>
      <c r="V178" s="4"/>
      <c r="W178" s="4"/>
      <c r="X178" s="4"/>
      <c r="Y178" s="4"/>
      <c r="Z178" s="4"/>
    </row>
    <row r="179" spans="1:26" ht="15.75" customHeight="1" x14ac:dyDescent="0.25">
      <c r="A179" s="4"/>
      <c r="B179" s="54"/>
      <c r="C179" s="54"/>
      <c r="D179" s="54"/>
      <c r="E179" s="54"/>
      <c r="F179" s="54"/>
      <c r="G179" s="54"/>
      <c r="H179" s="54"/>
      <c r="I179" s="54"/>
      <c r="J179" s="54"/>
      <c r="K179" s="54"/>
      <c r="L179" s="54"/>
      <c r="M179" s="54"/>
      <c r="N179" s="4"/>
      <c r="O179" s="4"/>
      <c r="P179" s="4"/>
      <c r="Q179" s="4"/>
      <c r="R179" s="4"/>
      <c r="S179" s="4"/>
      <c r="T179" s="4"/>
      <c r="U179" s="4"/>
      <c r="V179" s="4"/>
      <c r="W179" s="4"/>
      <c r="X179" s="4"/>
      <c r="Y179" s="4"/>
      <c r="Z179" s="4"/>
    </row>
    <row r="180" spans="1:26" ht="15.75" customHeight="1" x14ac:dyDescent="0.25">
      <c r="A180" s="4"/>
      <c r="B180" s="54"/>
      <c r="C180" s="54" t="s">
        <v>432</v>
      </c>
      <c r="D180" s="54" t="s">
        <v>433</v>
      </c>
      <c r="E180" s="54" t="s">
        <v>406</v>
      </c>
      <c r="F180" s="757">
        <v>469111</v>
      </c>
      <c r="G180" s="54" t="s">
        <v>354</v>
      </c>
      <c r="H180" s="757">
        <v>140162</v>
      </c>
      <c r="I180" s="54" t="s">
        <v>418</v>
      </c>
      <c r="J180" s="53">
        <f t="shared" ref="J180:J187" si="55">F180*H180/1000000</f>
        <v>65751.535982000001</v>
      </c>
      <c r="K180" s="53">
        <v>5372</v>
      </c>
      <c r="L180" s="758">
        <v>1.2999999999999999E-2</v>
      </c>
      <c r="M180" s="54">
        <v>0.3</v>
      </c>
      <c r="N180" s="4"/>
      <c r="O180" s="4"/>
      <c r="P180" s="4"/>
      <c r="Q180" s="4"/>
      <c r="R180" s="4"/>
      <c r="S180" s="4"/>
      <c r="T180" s="4"/>
      <c r="U180" s="4"/>
      <c r="V180" s="4"/>
      <c r="W180" s="4"/>
      <c r="X180" s="4"/>
      <c r="Y180" s="4"/>
      <c r="Z180" s="4"/>
    </row>
    <row r="181" spans="1:26" ht="15.75" customHeight="1" x14ac:dyDescent="0.25">
      <c r="A181" s="4"/>
      <c r="B181" s="54"/>
      <c r="C181" s="54" t="s">
        <v>434</v>
      </c>
      <c r="D181" s="54" t="s">
        <v>435</v>
      </c>
      <c r="E181" s="54" t="s">
        <v>406</v>
      </c>
      <c r="F181" s="757">
        <v>6581</v>
      </c>
      <c r="G181" s="54" t="s">
        <v>354</v>
      </c>
      <c r="H181" s="757">
        <v>140162</v>
      </c>
      <c r="I181" s="54" t="s">
        <v>418</v>
      </c>
      <c r="J181" s="53">
        <f t="shared" si="55"/>
        <v>922.40612199999998</v>
      </c>
      <c r="K181" s="53">
        <v>75</v>
      </c>
      <c r="L181" s="758">
        <v>2.0000000000000001E-4</v>
      </c>
      <c r="M181" s="54">
        <v>4.0000000000000001E-3</v>
      </c>
      <c r="N181" s="4"/>
      <c r="O181" s="4"/>
      <c r="P181" s="4"/>
      <c r="Q181" s="4"/>
      <c r="R181" s="4"/>
      <c r="S181" s="4"/>
      <c r="T181" s="4"/>
      <c r="U181" s="4"/>
      <c r="V181" s="4"/>
      <c r="W181" s="4"/>
      <c r="X181" s="4"/>
      <c r="Y181" s="4"/>
      <c r="Z181" s="4"/>
    </row>
    <row r="182" spans="1:26" ht="15.75" customHeight="1" x14ac:dyDescent="0.25">
      <c r="A182" s="4"/>
      <c r="B182" s="54"/>
      <c r="C182" s="54" t="s">
        <v>436</v>
      </c>
      <c r="D182" s="54" t="s">
        <v>673</v>
      </c>
      <c r="E182" s="54" t="s">
        <v>406</v>
      </c>
      <c r="F182" s="757">
        <v>119770</v>
      </c>
      <c r="G182" s="54" t="s">
        <v>354</v>
      </c>
      <c r="H182" s="757">
        <v>140156</v>
      </c>
      <c r="I182" s="54" t="s">
        <v>418</v>
      </c>
      <c r="J182" s="53">
        <f t="shared" si="55"/>
        <v>16786.484120000001</v>
      </c>
      <c r="K182" s="53">
        <v>1371</v>
      </c>
      <c r="L182" s="758">
        <v>7.0000000000000007E-2</v>
      </c>
      <c r="M182" s="54">
        <v>7.0000000000000007E-2</v>
      </c>
      <c r="N182" s="4"/>
      <c r="O182" s="4"/>
      <c r="P182" s="4"/>
      <c r="Q182" s="4"/>
      <c r="R182" s="4"/>
      <c r="S182" s="4"/>
      <c r="T182" s="4"/>
      <c r="U182" s="4"/>
      <c r="V182" s="4"/>
      <c r="W182" s="4"/>
      <c r="X182" s="4"/>
      <c r="Y182" s="4"/>
      <c r="Z182" s="4"/>
    </row>
    <row r="183" spans="1:26" ht="15.75" customHeight="1" x14ac:dyDescent="0.25">
      <c r="A183" s="4"/>
      <c r="B183" s="54"/>
      <c r="C183" s="54" t="s">
        <v>437</v>
      </c>
      <c r="D183" s="54" t="s">
        <v>371</v>
      </c>
      <c r="E183" s="54" t="s">
        <v>406</v>
      </c>
      <c r="F183" s="757">
        <v>115848</v>
      </c>
      <c r="G183" s="54" t="s">
        <v>354</v>
      </c>
      <c r="H183" s="757">
        <v>140162</v>
      </c>
      <c r="I183" s="54" t="s">
        <v>418</v>
      </c>
      <c r="J183" s="53">
        <f t="shared" si="55"/>
        <v>16237.487375999999</v>
      </c>
      <c r="K183" s="53">
        <v>1327</v>
      </c>
      <c r="L183" s="758">
        <v>7.0000000000000007E-2</v>
      </c>
      <c r="M183" s="54">
        <v>7.0000000000000007E-2</v>
      </c>
      <c r="N183" s="4"/>
      <c r="O183" s="4"/>
      <c r="P183" s="4"/>
      <c r="Q183" s="4"/>
      <c r="R183" s="4"/>
      <c r="S183" s="4"/>
      <c r="T183" s="4"/>
      <c r="U183" s="4"/>
      <c r="V183" s="4"/>
      <c r="W183" s="4"/>
      <c r="X183" s="4"/>
      <c r="Y183" s="4"/>
      <c r="Z183" s="4"/>
    </row>
    <row r="184" spans="1:26" ht="15.75" customHeight="1" x14ac:dyDescent="0.25">
      <c r="A184" s="4"/>
      <c r="B184" s="54"/>
      <c r="C184" s="54" t="s">
        <v>438</v>
      </c>
      <c r="D184" s="54" t="s">
        <v>676</v>
      </c>
      <c r="E184" s="54" t="s">
        <v>406</v>
      </c>
      <c r="F184" s="757">
        <v>294735</v>
      </c>
      <c r="G184" s="54" t="s">
        <v>354</v>
      </c>
      <c r="H184" s="757">
        <v>140152</v>
      </c>
      <c r="I184" s="54" t="s">
        <v>418</v>
      </c>
      <c r="J184" s="53">
        <f t="shared" si="55"/>
        <v>41307.699719999997</v>
      </c>
      <c r="K184" s="53">
        <v>3750</v>
      </c>
      <c r="L184" s="758">
        <v>0.2</v>
      </c>
      <c r="M184" s="54">
        <v>0.2</v>
      </c>
      <c r="N184" s="4"/>
      <c r="O184" s="4"/>
      <c r="P184" s="4"/>
      <c r="Q184" s="4"/>
      <c r="R184" s="4"/>
      <c r="S184" s="4"/>
      <c r="T184" s="4"/>
      <c r="U184" s="4"/>
      <c r="V184" s="4"/>
      <c r="W184" s="4"/>
      <c r="X184" s="4"/>
      <c r="Y184" s="4"/>
      <c r="Z184" s="4"/>
    </row>
    <row r="185" spans="1:26" ht="15.75" customHeight="1" x14ac:dyDescent="0.25">
      <c r="A185" s="4"/>
      <c r="B185" s="54"/>
      <c r="C185" s="54" t="s">
        <v>441</v>
      </c>
      <c r="D185" s="54" t="s">
        <v>677</v>
      </c>
      <c r="E185" s="54" t="s">
        <v>406</v>
      </c>
      <c r="F185" s="757">
        <v>391937</v>
      </c>
      <c r="G185" s="54" t="s">
        <v>354</v>
      </c>
      <c r="H185" s="757">
        <v>140164</v>
      </c>
      <c r="I185" s="54" t="s">
        <v>418</v>
      </c>
      <c r="J185" s="53">
        <f t="shared" si="55"/>
        <v>54935.457668000003</v>
      </c>
      <c r="K185" s="53">
        <v>4565</v>
      </c>
      <c r="L185" s="758">
        <v>0.2</v>
      </c>
      <c r="M185" s="54">
        <v>0.2</v>
      </c>
      <c r="N185" s="4"/>
      <c r="O185" s="4"/>
      <c r="P185" s="4"/>
      <c r="Q185" s="4"/>
      <c r="R185" s="4"/>
      <c r="S185" s="4"/>
      <c r="T185" s="4"/>
      <c r="U185" s="4"/>
      <c r="V185" s="4"/>
      <c r="W185" s="4"/>
      <c r="X185" s="4"/>
      <c r="Y185" s="4"/>
      <c r="Z185" s="4"/>
    </row>
    <row r="186" spans="1:26" ht="15.75" customHeight="1" x14ac:dyDescent="0.25">
      <c r="A186" s="4"/>
      <c r="B186" s="54"/>
      <c r="C186" s="54" t="s">
        <v>443</v>
      </c>
      <c r="D186" s="54" t="s">
        <v>678</v>
      </c>
      <c r="E186" s="54" t="s">
        <v>406</v>
      </c>
      <c r="F186" s="757">
        <v>259626</v>
      </c>
      <c r="G186" s="54" t="s">
        <v>354</v>
      </c>
      <c r="H186" s="757">
        <v>140154</v>
      </c>
      <c r="I186" s="54" t="s">
        <v>418</v>
      </c>
      <c r="J186" s="53">
        <f t="shared" si="55"/>
        <v>36387.622404000002</v>
      </c>
      <c r="K186" s="53">
        <v>2926</v>
      </c>
      <c r="L186" s="758">
        <v>0.2</v>
      </c>
      <c r="M186" s="54">
        <v>0.1</v>
      </c>
      <c r="N186" s="4"/>
      <c r="O186" s="4"/>
      <c r="P186" s="4"/>
      <c r="Q186" s="4"/>
      <c r="R186" s="4"/>
      <c r="S186" s="4"/>
      <c r="T186" s="4"/>
      <c r="U186" s="4"/>
      <c r="V186" s="4"/>
      <c r="W186" s="4"/>
      <c r="X186" s="4"/>
      <c r="Y186" s="4"/>
      <c r="Z186" s="4"/>
    </row>
    <row r="187" spans="1:26" ht="15.75" customHeight="1" x14ac:dyDescent="0.25">
      <c r="A187" s="4"/>
      <c r="B187" s="54"/>
      <c r="C187" s="54" t="s">
        <v>445</v>
      </c>
      <c r="D187" s="54" t="s">
        <v>679</v>
      </c>
      <c r="E187" s="54" t="s">
        <v>406</v>
      </c>
      <c r="F187" s="757">
        <v>286912</v>
      </c>
      <c r="G187" s="54" t="s">
        <v>354</v>
      </c>
      <c r="H187" s="757">
        <v>140145</v>
      </c>
      <c r="I187" s="54" t="s">
        <v>418</v>
      </c>
      <c r="J187" s="53">
        <f t="shared" si="55"/>
        <v>40209.28224</v>
      </c>
      <c r="K187" s="53">
        <v>3170</v>
      </c>
      <c r="L187" s="758">
        <v>0.2</v>
      </c>
      <c r="M187" s="54">
        <v>0.2</v>
      </c>
      <c r="N187" s="4"/>
      <c r="O187" s="4"/>
      <c r="P187" s="4"/>
      <c r="Q187" s="4"/>
      <c r="R187" s="4"/>
      <c r="S187" s="4"/>
      <c r="T187" s="4"/>
      <c r="U187" s="4"/>
      <c r="V187" s="4"/>
      <c r="W187" s="4"/>
      <c r="X187" s="4"/>
      <c r="Y187" s="4"/>
      <c r="Z187" s="4"/>
    </row>
    <row r="188" spans="1:26" ht="15.75" customHeight="1" x14ac:dyDescent="0.25">
      <c r="A188" s="4"/>
      <c r="B188" s="763"/>
      <c r="C188" s="763"/>
      <c r="D188" s="763"/>
      <c r="E188" s="763"/>
      <c r="F188" s="763"/>
      <c r="G188" s="763"/>
      <c r="H188" s="763"/>
      <c r="I188" s="763"/>
      <c r="J188" s="763"/>
      <c r="K188" s="763"/>
      <c r="L188" s="763"/>
      <c r="M188" s="763"/>
      <c r="N188" s="4"/>
      <c r="O188" s="4"/>
      <c r="P188" s="4"/>
      <c r="Q188" s="4"/>
      <c r="R188" s="4"/>
      <c r="S188" s="4"/>
      <c r="T188" s="4"/>
      <c r="U188" s="4"/>
      <c r="V188" s="4"/>
      <c r="W188" s="4"/>
      <c r="X188" s="4"/>
      <c r="Y188" s="4"/>
      <c r="Z188" s="4"/>
    </row>
    <row r="189" spans="1:26" ht="15.75" customHeight="1" x14ac:dyDescent="0.25">
      <c r="A189" s="4"/>
      <c r="B189" s="54"/>
      <c r="C189" s="54"/>
      <c r="D189" s="54"/>
      <c r="E189" s="54"/>
      <c r="F189" s="54"/>
      <c r="G189" s="54"/>
      <c r="H189" s="54"/>
      <c r="I189" s="54"/>
      <c r="J189" s="54"/>
      <c r="K189" s="54"/>
      <c r="L189" s="54"/>
      <c r="M189" s="54"/>
      <c r="N189" s="4"/>
      <c r="O189" s="4"/>
      <c r="P189" s="4"/>
      <c r="Q189" s="4"/>
      <c r="R189" s="4"/>
      <c r="S189" s="4"/>
      <c r="T189" s="4"/>
      <c r="U189" s="4"/>
      <c r="V189" s="4"/>
      <c r="W189" s="4"/>
      <c r="X189" s="4"/>
      <c r="Y189" s="4"/>
      <c r="Z189" s="4"/>
    </row>
    <row r="190" spans="1:26" ht="15.75" customHeight="1" x14ac:dyDescent="0.25">
      <c r="A190" s="4"/>
      <c r="B190" s="54" t="s">
        <v>447</v>
      </c>
      <c r="C190" s="51" t="s">
        <v>448</v>
      </c>
      <c r="D190" s="54"/>
      <c r="E190" s="54"/>
      <c r="F190" s="54"/>
      <c r="G190" s="54"/>
      <c r="H190" s="54"/>
      <c r="I190" s="54"/>
      <c r="J190" s="54"/>
      <c r="K190" s="54"/>
      <c r="L190" s="54"/>
      <c r="M190" s="54"/>
      <c r="N190" s="4"/>
      <c r="O190" s="4"/>
      <c r="P190" s="4"/>
      <c r="Q190" s="4"/>
      <c r="R190" s="4"/>
      <c r="S190" s="4"/>
      <c r="T190" s="4"/>
      <c r="U190" s="4"/>
      <c r="V190" s="4"/>
      <c r="W190" s="4"/>
      <c r="X190" s="4"/>
      <c r="Y190" s="4"/>
      <c r="Z190" s="4"/>
    </row>
    <row r="191" spans="1:26" ht="15.75" customHeight="1" x14ac:dyDescent="0.25">
      <c r="A191" s="4"/>
      <c r="B191" s="54"/>
      <c r="C191" s="54" t="s">
        <v>449</v>
      </c>
      <c r="D191" s="54" t="s">
        <v>298</v>
      </c>
      <c r="E191" s="54" t="s">
        <v>221</v>
      </c>
      <c r="F191" s="757">
        <v>2250113</v>
      </c>
      <c r="G191" s="54" t="s">
        <v>563</v>
      </c>
      <c r="H191" s="54">
        <v>1.044</v>
      </c>
      <c r="I191" s="54" t="s">
        <v>680</v>
      </c>
      <c r="J191" s="53">
        <f>F191*H191</f>
        <v>2349117.9720000001</v>
      </c>
      <c r="K191" s="53">
        <f>J191/J193*K193</f>
        <v>139938.30381344471</v>
      </c>
      <c r="L191" s="758">
        <f>J191/J193*L193</f>
        <v>10.034125876000424</v>
      </c>
      <c r="M191" s="758">
        <f>J191/J193*M193</f>
        <v>3.4771723332674735</v>
      </c>
      <c r="N191" s="4"/>
      <c r="O191" s="4"/>
      <c r="P191" s="4"/>
      <c r="Q191" s="4"/>
      <c r="R191" s="4"/>
      <c r="S191" s="4"/>
      <c r="T191" s="4"/>
      <c r="U191" s="4"/>
      <c r="V191" s="4"/>
      <c r="W191" s="4"/>
      <c r="X191" s="4"/>
      <c r="Y191" s="4"/>
      <c r="Z191" s="4"/>
    </row>
    <row r="192" spans="1:26" ht="15.75" customHeight="1" x14ac:dyDescent="0.25">
      <c r="A192" s="4"/>
      <c r="B192" s="54"/>
      <c r="C192" s="54"/>
      <c r="D192" s="54"/>
      <c r="E192" s="54" t="s">
        <v>450</v>
      </c>
      <c r="F192" s="757">
        <v>110157</v>
      </c>
      <c r="G192" s="54" t="s">
        <v>354</v>
      </c>
      <c r="H192" s="757">
        <v>140000</v>
      </c>
      <c r="I192" s="54" t="s">
        <v>487</v>
      </c>
      <c r="J192" s="53">
        <f>F192*H192/1000000</f>
        <v>15421.98</v>
      </c>
      <c r="K192" s="53">
        <f>J192/J193*K193</f>
        <v>918.6961865552779</v>
      </c>
      <c r="L192" s="758">
        <f>J192/J193*L193</f>
        <v>6.5874123999576206E-2</v>
      </c>
      <c r="M192" s="758">
        <f>J192/J193*M193</f>
        <v>2.2827666732526411E-2</v>
      </c>
      <c r="N192" s="4"/>
      <c r="O192" s="4"/>
      <c r="P192" s="4"/>
      <c r="Q192" s="4"/>
      <c r="R192" s="4"/>
      <c r="S192" s="4"/>
      <c r="T192" s="4"/>
      <c r="U192" s="4"/>
      <c r="V192" s="4"/>
      <c r="W192" s="4"/>
      <c r="X192" s="4"/>
      <c r="Y192" s="4"/>
      <c r="Z192" s="4"/>
    </row>
    <row r="193" spans="1:26" ht="15.75" customHeight="1" x14ac:dyDescent="0.25">
      <c r="A193" s="4"/>
      <c r="B193" s="54"/>
      <c r="C193" s="54"/>
      <c r="D193" s="54"/>
      <c r="E193" s="54"/>
      <c r="F193" s="54"/>
      <c r="G193" s="54"/>
      <c r="H193" s="54"/>
      <c r="I193" s="54"/>
      <c r="J193" s="53">
        <f>SUM(J191:J192)</f>
        <v>2364539.952</v>
      </c>
      <c r="K193" s="761">
        <v>140857</v>
      </c>
      <c r="L193" s="767">
        <v>10.1</v>
      </c>
      <c r="M193" s="767">
        <v>3.5</v>
      </c>
      <c r="N193" s="4"/>
      <c r="O193" s="4"/>
      <c r="P193" s="4"/>
      <c r="Q193" s="4"/>
      <c r="R193" s="4"/>
      <c r="S193" s="4"/>
      <c r="T193" s="4"/>
      <c r="U193" s="4"/>
      <c r="V193" s="4"/>
      <c r="W193" s="4"/>
      <c r="X193" s="4"/>
      <c r="Y193" s="4"/>
      <c r="Z193" s="4"/>
    </row>
    <row r="194" spans="1:26" ht="15.75" customHeight="1" x14ac:dyDescent="0.25">
      <c r="A194" s="4"/>
      <c r="B194" s="54"/>
      <c r="C194" s="54"/>
      <c r="D194" s="54"/>
      <c r="E194" s="54"/>
      <c r="F194" s="54"/>
      <c r="G194" s="54"/>
      <c r="H194" s="54"/>
      <c r="I194" s="54"/>
      <c r="J194" s="53"/>
      <c r="K194" s="54"/>
      <c r="L194" s="54"/>
      <c r="M194" s="54"/>
      <c r="N194" s="4"/>
      <c r="O194" s="4"/>
      <c r="P194" s="4"/>
      <c r="Q194" s="4"/>
      <c r="R194" s="4"/>
      <c r="S194" s="4"/>
      <c r="T194" s="4"/>
      <c r="U194" s="4"/>
      <c r="V194" s="4"/>
      <c r="W194" s="4"/>
      <c r="X194" s="4"/>
      <c r="Y194" s="4"/>
      <c r="Z194" s="4"/>
    </row>
    <row r="195" spans="1:26" ht="15.75" customHeight="1" x14ac:dyDescent="0.25">
      <c r="A195" s="4"/>
      <c r="B195" s="54"/>
      <c r="C195" s="54" t="s">
        <v>451</v>
      </c>
      <c r="D195" s="54" t="s">
        <v>302</v>
      </c>
      <c r="E195" s="54" t="s">
        <v>221</v>
      </c>
      <c r="F195" s="757">
        <v>2074000</v>
      </c>
      <c r="G195" s="54" t="s">
        <v>563</v>
      </c>
      <c r="H195" s="54">
        <v>1.044</v>
      </c>
      <c r="I195" s="54" t="s">
        <v>680</v>
      </c>
      <c r="J195" s="53">
        <f>F195*H195</f>
        <v>2165256</v>
      </c>
      <c r="K195" s="53">
        <f>J195/J197*K197</f>
        <v>129014.23319592261</v>
      </c>
      <c r="L195" s="758">
        <f>J195/J197*L197</f>
        <v>9.2336704252089827</v>
      </c>
      <c r="M195" s="758">
        <f>J195/J197*M197</f>
        <v>3.1771769205020153</v>
      </c>
      <c r="N195" s="4"/>
      <c r="O195" s="4"/>
      <c r="P195" s="4"/>
      <c r="Q195" s="4"/>
      <c r="R195" s="4"/>
      <c r="S195" s="4"/>
      <c r="T195" s="4"/>
      <c r="U195" s="4"/>
      <c r="V195" s="4"/>
      <c r="W195" s="4"/>
      <c r="X195" s="4"/>
      <c r="Y195" s="4"/>
      <c r="Z195" s="4"/>
    </row>
    <row r="196" spans="1:26" ht="15.75" customHeight="1" x14ac:dyDescent="0.25">
      <c r="A196" s="4"/>
      <c r="B196" s="54"/>
      <c r="C196" s="54"/>
      <c r="D196" s="54"/>
      <c r="E196" s="54" t="s">
        <v>450</v>
      </c>
      <c r="F196" s="757">
        <v>111100</v>
      </c>
      <c r="G196" s="54" t="s">
        <v>354</v>
      </c>
      <c r="H196" s="757">
        <v>140000</v>
      </c>
      <c r="I196" s="54" t="s">
        <v>487</v>
      </c>
      <c r="J196" s="53">
        <f>F196*H196/1000000</f>
        <v>15554</v>
      </c>
      <c r="K196" s="53">
        <f>J196/J197*K197</f>
        <v>926.76680407738411</v>
      </c>
      <c r="L196" s="758">
        <f>J196/J197*L197</f>
        <v>6.6329574791018017E-2</v>
      </c>
      <c r="M196" s="758">
        <f>J196/J197*M197</f>
        <v>2.2823079497984695E-2</v>
      </c>
      <c r="N196" s="4"/>
      <c r="O196" s="4"/>
      <c r="P196" s="4"/>
      <c r="Q196" s="4"/>
      <c r="R196" s="4"/>
      <c r="S196" s="4"/>
      <c r="T196" s="4"/>
      <c r="U196" s="4"/>
      <c r="V196" s="4"/>
      <c r="W196" s="4"/>
      <c r="X196" s="4"/>
      <c r="Y196" s="4"/>
      <c r="Z196" s="4"/>
    </row>
    <row r="197" spans="1:26" ht="15.75" customHeight="1" x14ac:dyDescent="0.25">
      <c r="A197" s="4"/>
      <c r="B197" s="54"/>
      <c r="C197" s="54"/>
      <c r="D197" s="54"/>
      <c r="E197" s="54"/>
      <c r="F197" s="54"/>
      <c r="G197" s="54"/>
      <c r="H197" s="54"/>
      <c r="I197" s="54"/>
      <c r="J197" s="53">
        <f>SUM(J195:J196)</f>
        <v>2180810</v>
      </c>
      <c r="K197" s="761">
        <v>129941</v>
      </c>
      <c r="L197" s="767">
        <v>9.3000000000000007</v>
      </c>
      <c r="M197" s="767">
        <v>3.2</v>
      </c>
      <c r="N197" s="4"/>
      <c r="O197" s="4"/>
      <c r="P197" s="4"/>
      <c r="Q197" s="4"/>
      <c r="R197" s="4"/>
      <c r="S197" s="4"/>
      <c r="T197" s="4"/>
      <c r="U197" s="4"/>
      <c r="V197" s="4"/>
      <c r="W197" s="4"/>
      <c r="X197" s="4"/>
      <c r="Y197" s="4"/>
      <c r="Z197" s="4"/>
    </row>
    <row r="198" spans="1:26" ht="15.75" customHeight="1" x14ac:dyDescent="0.25">
      <c r="A198" s="4"/>
      <c r="B198" s="763"/>
      <c r="C198" s="763"/>
      <c r="D198" s="763"/>
      <c r="E198" s="763"/>
      <c r="F198" s="763"/>
      <c r="G198" s="763"/>
      <c r="H198" s="763"/>
      <c r="I198" s="763"/>
      <c r="J198" s="763"/>
      <c r="K198" s="763"/>
      <c r="L198" s="763"/>
      <c r="M198" s="763"/>
      <c r="N198" s="4"/>
      <c r="O198" s="4"/>
      <c r="P198" s="4"/>
      <c r="Q198" s="4"/>
      <c r="R198" s="4"/>
      <c r="S198" s="4"/>
      <c r="T198" s="4"/>
      <c r="U198" s="4"/>
      <c r="V198" s="4"/>
      <c r="W198" s="4"/>
      <c r="X198" s="4"/>
      <c r="Y198" s="4"/>
      <c r="Z198" s="4"/>
    </row>
    <row r="199" spans="1:26" ht="15.75" customHeight="1" x14ac:dyDescent="0.25">
      <c r="A199" s="4"/>
      <c r="B199" s="54"/>
      <c r="C199" s="54"/>
      <c r="D199" s="54"/>
      <c r="E199" s="54"/>
      <c r="F199" s="54"/>
      <c r="G199" s="54"/>
      <c r="H199" s="54"/>
      <c r="I199" s="54"/>
      <c r="J199" s="54"/>
      <c r="K199" s="54"/>
      <c r="L199" s="54"/>
      <c r="M199" s="54"/>
      <c r="N199" s="4"/>
      <c r="O199" s="4"/>
      <c r="P199" s="4"/>
      <c r="Q199" s="4"/>
      <c r="R199" s="4"/>
      <c r="S199" s="4"/>
      <c r="T199" s="4"/>
      <c r="U199" s="4"/>
      <c r="V199" s="4"/>
      <c r="W199" s="4"/>
      <c r="X199" s="4"/>
      <c r="Y199" s="4"/>
      <c r="Z199" s="4"/>
    </row>
    <row r="200" spans="1:26" ht="15.75" customHeight="1" x14ac:dyDescent="0.25">
      <c r="A200" s="4"/>
      <c r="B200" s="54" t="s">
        <v>681</v>
      </c>
      <c r="C200" s="51" t="s">
        <v>682</v>
      </c>
      <c r="D200" s="54"/>
      <c r="E200" s="54"/>
      <c r="F200" s="54"/>
      <c r="G200" s="54"/>
      <c r="H200" s="54"/>
      <c r="I200" s="54"/>
      <c r="J200" s="54"/>
      <c r="K200" s="54"/>
      <c r="L200" s="54"/>
      <c r="M200" s="54"/>
      <c r="N200" s="4"/>
      <c r="O200" s="4"/>
      <c r="P200" s="4"/>
      <c r="Q200" s="4"/>
      <c r="R200" s="4"/>
      <c r="S200" s="4"/>
      <c r="T200" s="4"/>
      <c r="U200" s="4"/>
      <c r="V200" s="4"/>
      <c r="W200" s="4"/>
      <c r="X200" s="4"/>
      <c r="Y200" s="4"/>
      <c r="Z200" s="4"/>
    </row>
    <row r="201" spans="1:26" ht="15.75" customHeight="1" x14ac:dyDescent="0.25">
      <c r="A201" s="4"/>
      <c r="B201" s="54"/>
      <c r="C201" s="54" t="s">
        <v>576</v>
      </c>
      <c r="D201" s="54" t="s">
        <v>399</v>
      </c>
      <c r="E201" s="54" t="s">
        <v>237</v>
      </c>
      <c r="F201" s="764">
        <v>36000000</v>
      </c>
      <c r="G201" s="54" t="s">
        <v>563</v>
      </c>
      <c r="H201" s="757">
        <v>1027</v>
      </c>
      <c r="I201" s="54" t="s">
        <v>674</v>
      </c>
      <c r="J201" s="757">
        <f t="shared" ref="J201:J208" si="56">F201*H201/1000000</f>
        <v>36972</v>
      </c>
      <c r="K201" s="53">
        <v>2018</v>
      </c>
      <c r="L201" s="54">
        <v>0.16</v>
      </c>
      <c r="M201" s="54">
        <v>0.06</v>
      </c>
      <c r="N201" s="4"/>
      <c r="O201" s="4"/>
      <c r="P201" s="4"/>
      <c r="Q201" s="4"/>
      <c r="R201" s="4"/>
      <c r="S201" s="4"/>
      <c r="T201" s="4"/>
      <c r="U201" s="4"/>
      <c r="V201" s="4"/>
      <c r="W201" s="4"/>
      <c r="X201" s="4"/>
      <c r="Y201" s="4"/>
      <c r="Z201" s="4"/>
    </row>
    <row r="202" spans="1:26" ht="15.75" customHeight="1" x14ac:dyDescent="0.25">
      <c r="A202" s="4"/>
      <c r="B202" s="54"/>
      <c r="C202" s="54" t="s">
        <v>583</v>
      </c>
      <c r="D202" s="54" t="s">
        <v>401</v>
      </c>
      <c r="E202" s="54" t="s">
        <v>237</v>
      </c>
      <c r="F202" s="764">
        <v>45000000</v>
      </c>
      <c r="G202" s="54" t="s">
        <v>563</v>
      </c>
      <c r="H202" s="757">
        <v>1027</v>
      </c>
      <c r="I202" s="54" t="s">
        <v>674</v>
      </c>
      <c r="J202" s="757">
        <f t="shared" si="56"/>
        <v>46215</v>
      </c>
      <c r="K202" s="53">
        <v>2565</v>
      </c>
      <c r="L202" s="54">
        <v>0.2</v>
      </c>
      <c r="M202" s="54">
        <v>7.0000000000000007E-2</v>
      </c>
      <c r="N202" s="4"/>
      <c r="O202" s="4"/>
      <c r="P202" s="4"/>
      <c r="Q202" s="4"/>
      <c r="R202" s="4"/>
      <c r="S202" s="4"/>
      <c r="T202" s="4"/>
      <c r="U202" s="4"/>
      <c r="V202" s="4"/>
      <c r="W202" s="4"/>
      <c r="X202" s="4"/>
      <c r="Y202" s="4"/>
      <c r="Z202" s="4"/>
    </row>
    <row r="203" spans="1:26" ht="15.75" customHeight="1" x14ac:dyDescent="0.25">
      <c r="A203" s="4"/>
      <c r="B203" s="54"/>
      <c r="C203" s="54" t="s">
        <v>584</v>
      </c>
      <c r="D203" s="54" t="s">
        <v>403</v>
      </c>
      <c r="E203" s="54" t="s">
        <v>237</v>
      </c>
      <c r="F203" s="764">
        <v>42000000</v>
      </c>
      <c r="G203" s="54" t="s">
        <v>563</v>
      </c>
      <c r="H203" s="757">
        <v>1027</v>
      </c>
      <c r="I203" s="54" t="s">
        <v>674</v>
      </c>
      <c r="J203" s="757">
        <f t="shared" si="56"/>
        <v>43134</v>
      </c>
      <c r="K203" s="53">
        <v>2382</v>
      </c>
      <c r="L203" s="54">
        <v>0.19</v>
      </c>
      <c r="M203" s="54">
        <v>0.06</v>
      </c>
      <c r="N203" s="4"/>
      <c r="O203" s="4"/>
      <c r="P203" s="4"/>
      <c r="Q203" s="4"/>
      <c r="R203" s="4"/>
      <c r="S203" s="4"/>
      <c r="T203" s="4"/>
      <c r="U203" s="4"/>
      <c r="V203" s="4"/>
      <c r="W203" s="4"/>
      <c r="X203" s="4"/>
      <c r="Y203" s="4"/>
      <c r="Z203" s="4"/>
    </row>
    <row r="204" spans="1:26" ht="15.75" customHeight="1" x14ac:dyDescent="0.25">
      <c r="A204" s="4"/>
      <c r="B204" s="54"/>
      <c r="C204" s="54" t="s">
        <v>586</v>
      </c>
      <c r="D204" s="54" t="s">
        <v>405</v>
      </c>
      <c r="E204" s="54" t="s">
        <v>237</v>
      </c>
      <c r="F204" s="764">
        <v>50000000</v>
      </c>
      <c r="G204" s="54" t="s">
        <v>563</v>
      </c>
      <c r="H204" s="757">
        <v>1027</v>
      </c>
      <c r="I204" s="54" t="s">
        <v>674</v>
      </c>
      <c r="J204" s="757">
        <f t="shared" si="56"/>
        <v>51350</v>
      </c>
      <c r="K204" s="53">
        <v>2811</v>
      </c>
      <c r="L204" s="54">
        <v>0.22</v>
      </c>
      <c r="M204" s="54">
        <v>0.08</v>
      </c>
      <c r="N204" s="4"/>
      <c r="O204" s="4"/>
      <c r="P204" s="4"/>
      <c r="Q204" s="4"/>
      <c r="R204" s="4"/>
      <c r="S204" s="4"/>
      <c r="T204" s="4"/>
      <c r="U204" s="4"/>
      <c r="V204" s="4"/>
      <c r="W204" s="4"/>
      <c r="X204" s="4"/>
      <c r="Y204" s="4"/>
      <c r="Z204" s="4"/>
    </row>
    <row r="205" spans="1:26" ht="15.75" customHeight="1" x14ac:dyDescent="0.25">
      <c r="A205" s="4"/>
      <c r="B205" s="54"/>
      <c r="C205" s="54" t="s">
        <v>588</v>
      </c>
      <c r="D205" s="54" t="s">
        <v>589</v>
      </c>
      <c r="E205" s="54" t="s">
        <v>237</v>
      </c>
      <c r="F205" s="764">
        <v>41000000</v>
      </c>
      <c r="G205" s="54" t="s">
        <v>563</v>
      </c>
      <c r="H205" s="757">
        <v>1027</v>
      </c>
      <c r="I205" s="54" t="s">
        <v>674</v>
      </c>
      <c r="J205" s="757">
        <f t="shared" si="56"/>
        <v>42107</v>
      </c>
      <c r="K205" s="53">
        <v>2300</v>
      </c>
      <c r="L205" s="54">
        <v>0.18</v>
      </c>
      <c r="M205" s="54">
        <v>0.06</v>
      </c>
      <c r="N205" s="4"/>
      <c r="O205" s="4"/>
      <c r="P205" s="4"/>
      <c r="Q205" s="4"/>
      <c r="R205" s="4"/>
      <c r="S205" s="4"/>
      <c r="T205" s="4"/>
      <c r="U205" s="4"/>
      <c r="V205" s="4"/>
      <c r="W205" s="4"/>
      <c r="X205" s="4"/>
      <c r="Y205" s="4"/>
      <c r="Z205" s="4"/>
    </row>
    <row r="206" spans="1:26" ht="15.75" customHeight="1" x14ac:dyDescent="0.25">
      <c r="A206" s="4"/>
      <c r="B206" s="54"/>
      <c r="C206" s="54" t="s">
        <v>590</v>
      </c>
      <c r="D206" s="54" t="s">
        <v>591</v>
      </c>
      <c r="E206" s="54" t="s">
        <v>237</v>
      </c>
      <c r="F206" s="764">
        <v>55000000</v>
      </c>
      <c r="G206" s="54" t="s">
        <v>563</v>
      </c>
      <c r="H206" s="757">
        <v>1027</v>
      </c>
      <c r="I206" s="54" t="s">
        <v>674</v>
      </c>
      <c r="J206" s="757">
        <f t="shared" si="56"/>
        <v>56485</v>
      </c>
      <c r="K206" s="53">
        <v>3087</v>
      </c>
      <c r="L206" s="54">
        <v>0.24</v>
      </c>
      <c r="M206" s="54">
        <v>0.08</v>
      </c>
      <c r="N206" s="4"/>
      <c r="O206" s="4"/>
      <c r="P206" s="4"/>
      <c r="Q206" s="4"/>
      <c r="R206" s="4"/>
      <c r="S206" s="4"/>
      <c r="T206" s="4"/>
      <c r="U206" s="4"/>
      <c r="V206" s="4"/>
      <c r="W206" s="4"/>
      <c r="X206" s="4"/>
      <c r="Y206" s="4"/>
      <c r="Z206" s="4"/>
    </row>
    <row r="207" spans="1:26" ht="15.75" customHeight="1" x14ac:dyDescent="0.25">
      <c r="A207" s="4"/>
      <c r="B207" s="54"/>
      <c r="C207" s="54" t="s">
        <v>592</v>
      </c>
      <c r="D207" s="54" t="s">
        <v>593</v>
      </c>
      <c r="E207" s="54" t="s">
        <v>237</v>
      </c>
      <c r="F207" s="764">
        <v>46000000</v>
      </c>
      <c r="G207" s="54" t="s">
        <v>563</v>
      </c>
      <c r="H207" s="757">
        <v>1027</v>
      </c>
      <c r="I207" s="54" t="s">
        <v>674</v>
      </c>
      <c r="J207" s="757">
        <f t="shared" si="56"/>
        <v>47242</v>
      </c>
      <c r="K207" s="53">
        <v>2584</v>
      </c>
      <c r="L207" s="54">
        <v>0.2</v>
      </c>
      <c r="M207" s="54">
        <v>7.0000000000000007E-2</v>
      </c>
      <c r="N207" s="4"/>
      <c r="O207" s="4"/>
      <c r="P207" s="4"/>
      <c r="Q207" s="4"/>
      <c r="R207" s="4"/>
      <c r="S207" s="4"/>
      <c r="T207" s="4"/>
      <c r="U207" s="4"/>
      <c r="V207" s="4"/>
      <c r="W207" s="4"/>
      <c r="X207" s="4"/>
      <c r="Y207" s="4"/>
      <c r="Z207" s="4"/>
    </row>
    <row r="208" spans="1:26" ht="15.75" customHeight="1" x14ac:dyDescent="0.25">
      <c r="A208" s="4"/>
      <c r="B208" s="54"/>
      <c r="C208" s="54" t="s">
        <v>594</v>
      </c>
      <c r="D208" s="54" t="s">
        <v>595</v>
      </c>
      <c r="E208" s="54" t="s">
        <v>237</v>
      </c>
      <c r="F208" s="764">
        <v>29349561.829999998</v>
      </c>
      <c r="G208" s="54" t="s">
        <v>563</v>
      </c>
      <c r="H208" s="757">
        <v>1027</v>
      </c>
      <c r="I208" s="54" t="s">
        <v>674</v>
      </c>
      <c r="J208" s="757">
        <f t="shared" si="56"/>
        <v>30141.99999941</v>
      </c>
      <c r="K208" s="53">
        <v>2229</v>
      </c>
      <c r="L208" s="54">
        <v>0.17</v>
      </c>
      <c r="M208" s="54">
        <v>0.06</v>
      </c>
      <c r="N208" s="4"/>
      <c r="O208" s="4"/>
      <c r="P208" s="4"/>
      <c r="Q208" s="4"/>
      <c r="R208" s="4"/>
      <c r="S208" s="4"/>
      <c r="T208" s="4"/>
      <c r="U208" s="4"/>
      <c r="V208" s="4"/>
      <c r="W208" s="4"/>
      <c r="X208" s="4"/>
      <c r="Y208" s="4"/>
      <c r="Z208" s="4"/>
    </row>
    <row r="209" spans="1:26" ht="15.75" customHeight="1" x14ac:dyDescent="0.25">
      <c r="A209" s="4"/>
      <c r="B209" s="763"/>
      <c r="C209" s="763"/>
      <c r="D209" s="763"/>
      <c r="E209" s="763"/>
      <c r="F209" s="763"/>
      <c r="G209" s="763"/>
      <c r="H209" s="763"/>
      <c r="I209" s="763"/>
      <c r="J209" s="763"/>
      <c r="K209" s="763"/>
      <c r="L209" s="763"/>
      <c r="M209" s="763"/>
      <c r="N209" s="4"/>
      <c r="O209" s="4"/>
      <c r="P209" s="4"/>
      <c r="Q209" s="4"/>
      <c r="R209" s="4"/>
      <c r="S209" s="4"/>
      <c r="T209" s="4"/>
      <c r="U209" s="4"/>
      <c r="V209" s="4"/>
      <c r="W209" s="4"/>
      <c r="X209" s="4"/>
      <c r="Y209" s="4"/>
      <c r="Z209" s="4"/>
    </row>
    <row r="210" spans="1:26" ht="15.75" customHeight="1" x14ac:dyDescent="0.25">
      <c r="A210" s="4"/>
      <c r="B210" s="54"/>
      <c r="C210" s="54"/>
      <c r="D210" s="54"/>
      <c r="E210" s="54"/>
      <c r="F210" s="54"/>
      <c r="G210" s="54"/>
      <c r="H210" s="54"/>
      <c r="I210" s="54"/>
      <c r="J210" s="54"/>
      <c r="K210" s="54"/>
      <c r="L210" s="54"/>
      <c r="M210" s="54"/>
      <c r="N210" s="4"/>
      <c r="O210" s="4"/>
      <c r="P210" s="4"/>
      <c r="Q210" s="4"/>
      <c r="R210" s="4"/>
      <c r="S210" s="4"/>
      <c r="T210" s="4"/>
      <c r="U210" s="4"/>
      <c r="V210" s="4"/>
      <c r="W210" s="4"/>
      <c r="X210" s="4"/>
      <c r="Y210" s="4"/>
      <c r="Z210" s="4"/>
    </row>
    <row r="211" spans="1:26" ht="15.75" customHeight="1" x14ac:dyDescent="0.25">
      <c r="A211" s="4"/>
      <c r="B211" s="54" t="s">
        <v>452</v>
      </c>
      <c r="C211" s="51" t="s">
        <v>453</v>
      </c>
      <c r="D211" s="54"/>
      <c r="E211" s="54"/>
      <c r="F211" s="54"/>
      <c r="G211" s="54"/>
      <c r="H211" s="54"/>
      <c r="I211" s="54"/>
      <c r="J211" s="54"/>
      <c r="K211" s="54"/>
      <c r="L211" s="54"/>
      <c r="M211" s="54"/>
      <c r="N211" s="4"/>
      <c r="O211" s="4"/>
      <c r="P211" s="4"/>
      <c r="Q211" s="4"/>
      <c r="R211" s="4"/>
      <c r="S211" s="4"/>
      <c r="T211" s="4"/>
      <c r="U211" s="4"/>
      <c r="V211" s="4"/>
      <c r="W211" s="4"/>
      <c r="X211" s="4"/>
      <c r="Y211" s="4"/>
      <c r="Z211" s="4"/>
    </row>
    <row r="212" spans="1:26" ht="15.75" customHeight="1" x14ac:dyDescent="0.25">
      <c r="A212" s="4"/>
      <c r="B212" s="54"/>
      <c r="C212" s="54" t="s">
        <v>454</v>
      </c>
      <c r="D212" s="54" t="s">
        <v>399</v>
      </c>
      <c r="E212" s="54" t="s">
        <v>406</v>
      </c>
      <c r="F212" s="53">
        <v>132000</v>
      </c>
      <c r="G212" s="54" t="s">
        <v>354</v>
      </c>
      <c r="H212" s="54">
        <v>139</v>
      </c>
      <c r="I212" s="54" t="s">
        <v>683</v>
      </c>
      <c r="J212" s="757">
        <f t="shared" ref="J212:J215" si="57">F212*H212/1000</f>
        <v>18348</v>
      </c>
      <c r="K212" s="53">
        <v>1441</v>
      </c>
      <c r="L212" s="54">
        <v>0.01</v>
      </c>
      <c r="M212" s="54">
        <v>0.02</v>
      </c>
      <c r="N212" s="4"/>
      <c r="O212" s="4"/>
      <c r="P212" s="4"/>
      <c r="Q212" s="4"/>
      <c r="R212" s="4"/>
      <c r="S212" s="4"/>
      <c r="T212" s="4"/>
      <c r="U212" s="4"/>
      <c r="V212" s="4"/>
      <c r="W212" s="4"/>
      <c r="X212" s="4"/>
      <c r="Y212" s="4"/>
      <c r="Z212" s="4"/>
    </row>
    <row r="213" spans="1:26" ht="15.75" customHeight="1" x14ac:dyDescent="0.25">
      <c r="A213" s="4"/>
      <c r="B213" s="54"/>
      <c r="C213" s="54" t="s">
        <v>457</v>
      </c>
      <c r="D213" s="54" t="s">
        <v>401</v>
      </c>
      <c r="E213" s="54" t="s">
        <v>406</v>
      </c>
      <c r="F213" s="53">
        <v>167000</v>
      </c>
      <c r="G213" s="54" t="s">
        <v>354</v>
      </c>
      <c r="H213" s="54">
        <v>139</v>
      </c>
      <c r="I213" s="54" t="s">
        <v>683</v>
      </c>
      <c r="J213" s="757">
        <f t="shared" si="57"/>
        <v>23213</v>
      </c>
      <c r="K213" s="53">
        <v>1827</v>
      </c>
      <c r="L213" s="54">
        <v>0.02</v>
      </c>
      <c r="M213" s="54">
        <v>0.02</v>
      </c>
      <c r="N213" s="4"/>
      <c r="O213" s="4"/>
      <c r="P213" s="4"/>
      <c r="Q213" s="4"/>
      <c r="R213" s="4"/>
      <c r="S213" s="4"/>
      <c r="T213" s="4"/>
      <c r="U213" s="4"/>
      <c r="V213" s="4"/>
      <c r="W213" s="4"/>
      <c r="X213" s="4"/>
      <c r="Y213" s="4"/>
      <c r="Z213" s="4"/>
    </row>
    <row r="214" spans="1:26" ht="15.75" customHeight="1" x14ac:dyDescent="0.25">
      <c r="A214" s="4"/>
      <c r="B214" s="54"/>
      <c r="C214" s="54" t="s">
        <v>458</v>
      </c>
      <c r="D214" s="54" t="s">
        <v>403</v>
      </c>
      <c r="E214" s="54" t="s">
        <v>406</v>
      </c>
      <c r="F214" s="53">
        <v>161000</v>
      </c>
      <c r="G214" s="54" t="s">
        <v>354</v>
      </c>
      <c r="H214" s="54">
        <v>139</v>
      </c>
      <c r="I214" s="54" t="s">
        <v>683</v>
      </c>
      <c r="J214" s="757">
        <f t="shared" si="57"/>
        <v>22379</v>
      </c>
      <c r="K214" s="53">
        <v>1757</v>
      </c>
      <c r="L214" s="54">
        <v>0.02</v>
      </c>
      <c r="M214" s="54">
        <v>0.02</v>
      </c>
      <c r="N214" s="4"/>
      <c r="O214" s="4"/>
      <c r="P214" s="4"/>
      <c r="Q214" s="4"/>
      <c r="R214" s="4"/>
      <c r="S214" s="4"/>
      <c r="T214" s="4"/>
      <c r="U214" s="4"/>
      <c r="V214" s="4"/>
      <c r="W214" s="4"/>
      <c r="X214" s="4"/>
      <c r="Y214" s="4"/>
      <c r="Z214" s="4"/>
    </row>
    <row r="215" spans="1:26" ht="15.75" customHeight="1" x14ac:dyDescent="0.25">
      <c r="A215" s="4"/>
      <c r="B215" s="54"/>
      <c r="C215" s="54" t="s">
        <v>459</v>
      </c>
      <c r="D215" s="54" t="s">
        <v>405</v>
      </c>
      <c r="E215" s="54" t="s">
        <v>406</v>
      </c>
      <c r="F215" s="53">
        <v>187000</v>
      </c>
      <c r="G215" s="54" t="s">
        <v>354</v>
      </c>
      <c r="H215" s="54">
        <v>139</v>
      </c>
      <c r="I215" s="54" t="s">
        <v>683</v>
      </c>
      <c r="J215" s="757">
        <f t="shared" si="57"/>
        <v>25993</v>
      </c>
      <c r="K215" s="53">
        <v>2042</v>
      </c>
      <c r="L215" s="54">
        <v>0.02</v>
      </c>
      <c r="M215" s="54">
        <v>0.02</v>
      </c>
      <c r="N215" s="4"/>
      <c r="O215" s="4"/>
      <c r="P215" s="4"/>
      <c r="Q215" s="4"/>
      <c r="R215" s="4"/>
      <c r="S215" s="4"/>
      <c r="T215" s="4"/>
      <c r="U215" s="4"/>
      <c r="V215" s="4"/>
      <c r="W215" s="4"/>
      <c r="X215" s="4"/>
      <c r="Y215" s="4"/>
      <c r="Z215" s="4"/>
    </row>
    <row r="216" spans="1:26" ht="15.75" customHeight="1" x14ac:dyDescent="0.25">
      <c r="A216" s="4"/>
      <c r="B216" s="763"/>
      <c r="C216" s="763"/>
      <c r="D216" s="763"/>
      <c r="E216" s="763"/>
      <c r="F216" s="763"/>
      <c r="G216" s="763"/>
      <c r="H216" s="763"/>
      <c r="I216" s="763"/>
      <c r="J216" s="763"/>
      <c r="K216" s="763"/>
      <c r="L216" s="763"/>
      <c r="M216" s="763"/>
      <c r="N216" s="4"/>
      <c r="O216" s="4"/>
      <c r="P216" s="4"/>
      <c r="Q216" s="4"/>
      <c r="R216" s="4"/>
      <c r="S216" s="4"/>
      <c r="T216" s="4"/>
      <c r="U216" s="4"/>
      <c r="V216" s="4"/>
      <c r="W216" s="4"/>
      <c r="X216" s="4"/>
      <c r="Y216" s="4"/>
      <c r="Z216" s="4"/>
    </row>
    <row r="217" spans="1:26" ht="15.75" customHeight="1" x14ac:dyDescent="0.25">
      <c r="A217" s="4"/>
      <c r="B217" s="54"/>
      <c r="C217" s="54"/>
      <c r="D217" s="54"/>
      <c r="E217" s="54"/>
      <c r="F217" s="54"/>
      <c r="G217" s="54"/>
      <c r="H217" s="54"/>
      <c r="I217" s="54"/>
      <c r="J217" s="54"/>
      <c r="K217" s="54"/>
      <c r="L217" s="54"/>
      <c r="M217" s="54"/>
      <c r="N217" s="4"/>
      <c r="O217" s="4"/>
      <c r="P217" s="4"/>
      <c r="Q217" s="4"/>
      <c r="R217" s="4"/>
      <c r="S217" s="4"/>
      <c r="T217" s="4"/>
      <c r="U217" s="4"/>
      <c r="V217" s="4"/>
      <c r="W217" s="4"/>
      <c r="X217" s="4"/>
      <c r="Y217" s="4"/>
      <c r="Z217" s="4"/>
    </row>
    <row r="218" spans="1:26" ht="15.75" customHeight="1" x14ac:dyDescent="0.25">
      <c r="A218" s="4"/>
      <c r="B218" s="54" t="s">
        <v>596</v>
      </c>
      <c r="C218" s="51" t="s">
        <v>684</v>
      </c>
      <c r="D218" s="54"/>
      <c r="E218" s="54"/>
      <c r="F218" s="54"/>
      <c r="G218" s="54"/>
      <c r="H218" s="54"/>
      <c r="I218" s="54"/>
      <c r="J218" s="54"/>
      <c r="K218" s="54"/>
      <c r="L218" s="54"/>
      <c r="M218" s="54"/>
      <c r="N218" s="4"/>
      <c r="O218" s="4"/>
      <c r="P218" s="4"/>
      <c r="Q218" s="4"/>
      <c r="R218" s="4"/>
      <c r="S218" s="4"/>
      <c r="T218" s="4"/>
      <c r="U218" s="4"/>
      <c r="V218" s="4"/>
      <c r="W218" s="4"/>
      <c r="X218" s="4"/>
      <c r="Y218" s="4"/>
      <c r="Z218" s="4"/>
    </row>
    <row r="219" spans="1:26" ht="15.75" customHeight="1" x14ac:dyDescent="0.25">
      <c r="A219" s="4"/>
      <c r="B219" s="54"/>
      <c r="C219" s="54" t="s">
        <v>598</v>
      </c>
      <c r="D219" s="54" t="s">
        <v>599</v>
      </c>
      <c r="E219" s="54" t="s">
        <v>221</v>
      </c>
      <c r="F219" s="53">
        <f t="shared" ref="F219:F223" si="58">J219/H219</f>
        <v>596421.81467181467</v>
      </c>
      <c r="G219" s="54" t="s">
        <v>563</v>
      </c>
      <c r="H219" s="54">
        <v>1.036</v>
      </c>
      <c r="I219" s="54" t="s">
        <v>680</v>
      </c>
      <c r="J219" s="757">
        <v>617893</v>
      </c>
      <c r="K219" s="53">
        <v>36721.1</v>
      </c>
      <c r="L219" s="54">
        <v>1.08</v>
      </c>
      <c r="M219" s="54">
        <v>0.11</v>
      </c>
      <c r="N219" s="4"/>
      <c r="O219" s="4"/>
      <c r="P219" s="4"/>
      <c r="Q219" s="4"/>
      <c r="R219" s="4"/>
      <c r="S219" s="4"/>
      <c r="T219" s="4"/>
      <c r="U219" s="4"/>
      <c r="V219" s="4"/>
      <c r="W219" s="4"/>
      <c r="X219" s="4"/>
      <c r="Y219" s="4"/>
      <c r="Z219" s="4"/>
    </row>
    <row r="220" spans="1:26" ht="15.75" customHeight="1" x14ac:dyDescent="0.25">
      <c r="A220" s="4"/>
      <c r="B220" s="54"/>
      <c r="C220" s="54" t="s">
        <v>600</v>
      </c>
      <c r="D220" s="54" t="s">
        <v>601</v>
      </c>
      <c r="E220" s="54" t="s">
        <v>221</v>
      </c>
      <c r="F220" s="53">
        <f t="shared" si="58"/>
        <v>617412.16216216213</v>
      </c>
      <c r="G220" s="54" t="s">
        <v>563</v>
      </c>
      <c r="H220" s="54">
        <v>1.036</v>
      </c>
      <c r="I220" s="54" t="s">
        <v>680</v>
      </c>
      <c r="J220" s="757">
        <v>639639</v>
      </c>
      <c r="K220" s="53">
        <v>38013.599999999999</v>
      </c>
      <c r="L220" s="54">
        <v>1.0900000000000001</v>
      </c>
      <c r="M220" s="54">
        <v>0.11</v>
      </c>
      <c r="N220" s="4"/>
      <c r="O220" s="4"/>
      <c r="P220" s="4"/>
      <c r="Q220" s="4"/>
      <c r="R220" s="4"/>
      <c r="S220" s="4"/>
      <c r="T220" s="4"/>
      <c r="U220" s="4"/>
      <c r="V220" s="4"/>
      <c r="W220" s="4"/>
      <c r="X220" s="4"/>
      <c r="Y220" s="4"/>
      <c r="Z220" s="4"/>
    </row>
    <row r="221" spans="1:26" ht="15.75" customHeight="1" x14ac:dyDescent="0.25">
      <c r="A221" s="4"/>
      <c r="B221" s="54"/>
      <c r="C221" s="54" t="s">
        <v>602</v>
      </c>
      <c r="D221" s="54" t="s">
        <v>603</v>
      </c>
      <c r="E221" s="54" t="s">
        <v>221</v>
      </c>
      <c r="F221" s="53">
        <f t="shared" si="58"/>
        <v>909604.2471042471</v>
      </c>
      <c r="G221" s="54" t="s">
        <v>563</v>
      </c>
      <c r="H221" s="54">
        <v>1.036</v>
      </c>
      <c r="I221" s="54" t="s">
        <v>680</v>
      </c>
      <c r="J221" s="757">
        <v>942350</v>
      </c>
      <c r="K221" s="53">
        <v>56002.3</v>
      </c>
      <c r="L221" s="54">
        <v>1.54</v>
      </c>
      <c r="M221" s="54">
        <v>0.154</v>
      </c>
      <c r="N221" s="4"/>
      <c r="O221" s="4"/>
      <c r="P221" s="4"/>
      <c r="Q221" s="4"/>
      <c r="R221" s="4"/>
      <c r="S221" s="4"/>
      <c r="T221" s="4"/>
      <c r="U221" s="4"/>
      <c r="V221" s="4"/>
      <c r="W221" s="4"/>
      <c r="X221" s="4"/>
      <c r="Y221" s="4"/>
      <c r="Z221" s="4"/>
    </row>
    <row r="222" spans="1:26" ht="15.75" customHeight="1" x14ac:dyDescent="0.25">
      <c r="A222" s="4"/>
      <c r="B222" s="54"/>
      <c r="C222" s="54" t="s">
        <v>604</v>
      </c>
      <c r="D222" s="54" t="s">
        <v>605</v>
      </c>
      <c r="E222" s="54" t="s">
        <v>221</v>
      </c>
      <c r="F222" s="53">
        <f t="shared" si="58"/>
        <v>863730.69498069491</v>
      </c>
      <c r="G222" s="54" t="s">
        <v>563</v>
      </c>
      <c r="H222" s="54">
        <v>1.036</v>
      </c>
      <c r="I222" s="54" t="s">
        <v>680</v>
      </c>
      <c r="J222" s="757">
        <v>894825</v>
      </c>
      <c r="K222" s="53">
        <v>53178.7</v>
      </c>
      <c r="L222" s="54">
        <v>1.73</v>
      </c>
      <c r="M222" s="54">
        <v>0.20899999999999999</v>
      </c>
      <c r="N222" s="4"/>
      <c r="O222" s="4"/>
      <c r="P222" s="4"/>
      <c r="Q222" s="4"/>
      <c r="R222" s="4"/>
      <c r="S222" s="4"/>
      <c r="T222" s="4"/>
      <c r="U222" s="4"/>
      <c r="V222" s="4"/>
      <c r="W222" s="4"/>
      <c r="X222" s="4"/>
      <c r="Y222" s="4"/>
      <c r="Z222" s="4"/>
    </row>
    <row r="223" spans="1:26" ht="15.75" customHeight="1" x14ac:dyDescent="0.25">
      <c r="A223" s="4"/>
      <c r="B223" s="54"/>
      <c r="C223" s="54" t="s">
        <v>606</v>
      </c>
      <c r="D223" s="54" t="s">
        <v>607</v>
      </c>
      <c r="E223" s="54" t="s">
        <v>221</v>
      </c>
      <c r="F223" s="53">
        <f t="shared" si="58"/>
        <v>5468.7837837837833</v>
      </c>
      <c r="G223" s="54" t="s">
        <v>563</v>
      </c>
      <c r="H223" s="54">
        <v>1.036</v>
      </c>
      <c r="I223" s="54" t="s">
        <v>680</v>
      </c>
      <c r="J223" s="757">
        <v>5665.66</v>
      </c>
      <c r="K223" s="54">
        <v>331</v>
      </c>
      <c r="L223" s="54">
        <v>0</v>
      </c>
      <c r="M223" s="54">
        <v>1.9E-2</v>
      </c>
      <c r="N223" s="4"/>
      <c r="O223" s="4"/>
      <c r="P223" s="4"/>
      <c r="Q223" s="4"/>
      <c r="R223" s="4"/>
      <c r="S223" s="4"/>
      <c r="T223" s="4"/>
      <c r="U223" s="4"/>
      <c r="V223" s="4"/>
      <c r="W223" s="4"/>
      <c r="X223" s="4"/>
      <c r="Y223" s="4"/>
      <c r="Z223" s="4"/>
    </row>
    <row r="224" spans="1:26" ht="15.75" customHeight="1" x14ac:dyDescent="0.25">
      <c r="A224" s="4"/>
      <c r="B224" s="763"/>
      <c r="C224" s="763"/>
      <c r="D224" s="763"/>
      <c r="E224" s="763"/>
      <c r="F224" s="763"/>
      <c r="G224" s="763"/>
      <c r="H224" s="763"/>
      <c r="I224" s="763"/>
      <c r="J224" s="763"/>
      <c r="K224" s="763"/>
      <c r="L224" s="763"/>
      <c r="M224" s="763"/>
      <c r="N224" s="4"/>
      <c r="O224" s="4"/>
      <c r="P224" s="4"/>
      <c r="Q224" s="4"/>
      <c r="R224" s="4"/>
      <c r="S224" s="4"/>
      <c r="T224" s="4"/>
      <c r="U224" s="4"/>
      <c r="V224" s="4"/>
      <c r="W224" s="4"/>
      <c r="X224" s="4"/>
      <c r="Y224" s="4"/>
      <c r="Z224" s="4"/>
    </row>
    <row r="225" spans="1:26" ht="15.75" customHeight="1" x14ac:dyDescent="0.25">
      <c r="A225" s="4"/>
      <c r="B225" s="54"/>
      <c r="C225" s="54"/>
      <c r="D225" s="54"/>
      <c r="E225" s="54"/>
      <c r="F225" s="54"/>
      <c r="G225" s="54"/>
      <c r="H225" s="54"/>
      <c r="I225" s="54"/>
      <c r="J225" s="54"/>
      <c r="K225" s="54"/>
      <c r="L225" s="54"/>
      <c r="M225" s="54"/>
      <c r="N225" s="4"/>
      <c r="O225" s="4"/>
      <c r="P225" s="4"/>
      <c r="Q225" s="4"/>
      <c r="R225" s="4"/>
      <c r="S225" s="4"/>
      <c r="T225" s="4"/>
      <c r="U225" s="4"/>
      <c r="V225" s="4"/>
      <c r="W225" s="4"/>
      <c r="X225" s="4"/>
      <c r="Y225" s="4"/>
      <c r="Z225" s="4"/>
    </row>
    <row r="226" spans="1:26" ht="15.75" customHeight="1" x14ac:dyDescent="0.25">
      <c r="A226" s="4"/>
      <c r="B226" s="54" t="s">
        <v>460</v>
      </c>
      <c r="C226" s="51" t="s">
        <v>461</v>
      </c>
      <c r="D226" s="54"/>
      <c r="E226" s="54"/>
      <c r="F226" s="54"/>
      <c r="G226" s="54"/>
      <c r="H226" s="54"/>
      <c r="I226" s="54"/>
      <c r="J226" s="54"/>
      <c r="K226" s="54"/>
      <c r="L226" s="54"/>
      <c r="M226" s="54"/>
      <c r="N226" s="4"/>
      <c r="O226" s="4"/>
      <c r="P226" s="4"/>
      <c r="Q226" s="4"/>
      <c r="R226" s="4"/>
      <c r="S226" s="4"/>
      <c r="T226" s="4"/>
      <c r="U226" s="4"/>
      <c r="V226" s="4"/>
      <c r="W226" s="4"/>
      <c r="X226" s="4"/>
      <c r="Y226" s="4"/>
      <c r="Z226" s="4"/>
    </row>
    <row r="227" spans="1:26" ht="15.75" customHeight="1" x14ac:dyDescent="0.25">
      <c r="A227" s="4"/>
      <c r="B227" s="54"/>
      <c r="C227" s="54" t="s">
        <v>462</v>
      </c>
      <c r="D227" s="54" t="s">
        <v>463</v>
      </c>
      <c r="E227" s="54" t="s">
        <v>406</v>
      </c>
      <c r="F227" s="53">
        <v>5471</v>
      </c>
      <c r="G227" s="54" t="s">
        <v>354</v>
      </c>
      <c r="H227" s="54">
        <v>137</v>
      </c>
      <c r="I227" s="54" t="s">
        <v>683</v>
      </c>
      <c r="J227" s="757">
        <f t="shared" ref="J227:J236" si="59">F227*H227/1000</f>
        <v>749.52700000000004</v>
      </c>
      <c r="K227" s="54">
        <v>61.8</v>
      </c>
      <c r="L227" s="54">
        <v>3.0000000000000001E-3</v>
      </c>
      <c r="M227" s="769">
        <v>0</v>
      </c>
      <c r="N227" s="4"/>
      <c r="O227" s="4"/>
      <c r="P227" s="4"/>
      <c r="Q227" s="4"/>
      <c r="R227" s="4"/>
      <c r="S227" s="4"/>
      <c r="T227" s="4"/>
      <c r="U227" s="4"/>
      <c r="V227" s="4"/>
      <c r="W227" s="4"/>
      <c r="X227" s="4"/>
      <c r="Y227" s="4"/>
      <c r="Z227" s="4"/>
    </row>
    <row r="228" spans="1:26" ht="15.75" customHeight="1" x14ac:dyDescent="0.25">
      <c r="A228" s="4"/>
      <c r="B228" s="54"/>
      <c r="C228" s="54" t="s">
        <v>466</v>
      </c>
      <c r="D228" s="54" t="s">
        <v>467</v>
      </c>
      <c r="E228" s="54" t="s">
        <v>406</v>
      </c>
      <c r="F228" s="53">
        <v>5811</v>
      </c>
      <c r="G228" s="54" t="s">
        <v>354</v>
      </c>
      <c r="H228" s="54">
        <v>137</v>
      </c>
      <c r="I228" s="54" t="s">
        <v>683</v>
      </c>
      <c r="J228" s="757">
        <f t="shared" si="59"/>
        <v>796.10699999999997</v>
      </c>
      <c r="K228" s="54">
        <v>65.7</v>
      </c>
      <c r="L228" s="54">
        <v>3.0000000000000001E-3</v>
      </c>
      <c r="M228" s="769">
        <v>0</v>
      </c>
      <c r="N228" s="4"/>
      <c r="O228" s="4"/>
      <c r="P228" s="4"/>
      <c r="Q228" s="4"/>
      <c r="R228" s="4"/>
      <c r="S228" s="4"/>
      <c r="T228" s="4"/>
      <c r="U228" s="4"/>
      <c r="V228" s="4"/>
      <c r="W228" s="4"/>
      <c r="X228" s="4"/>
      <c r="Y228" s="4"/>
      <c r="Z228" s="4"/>
    </row>
    <row r="229" spans="1:26" ht="15.75" customHeight="1" x14ac:dyDescent="0.25">
      <c r="A229" s="4"/>
      <c r="B229" s="54"/>
      <c r="C229" s="54" t="s">
        <v>468</v>
      </c>
      <c r="D229" s="54" t="s">
        <v>469</v>
      </c>
      <c r="E229" s="54" t="s">
        <v>406</v>
      </c>
      <c r="F229" s="53">
        <v>20420</v>
      </c>
      <c r="G229" s="54" t="s">
        <v>354</v>
      </c>
      <c r="H229" s="54">
        <v>137</v>
      </c>
      <c r="I229" s="54" t="s">
        <v>683</v>
      </c>
      <c r="J229" s="757">
        <f t="shared" si="59"/>
        <v>2797.54</v>
      </c>
      <c r="K229" s="54">
        <v>230.7</v>
      </c>
      <c r="L229" s="54">
        <v>1.0999999999999999E-2</v>
      </c>
      <c r="M229" s="54">
        <v>1E-3</v>
      </c>
      <c r="N229" s="4"/>
      <c r="O229" s="4"/>
      <c r="P229" s="4"/>
      <c r="Q229" s="4"/>
      <c r="R229" s="4"/>
      <c r="S229" s="4"/>
      <c r="T229" s="4"/>
      <c r="U229" s="4"/>
      <c r="V229" s="4"/>
      <c r="W229" s="4"/>
      <c r="X229" s="4"/>
      <c r="Y229" s="4"/>
      <c r="Z229" s="4"/>
    </row>
    <row r="230" spans="1:26" ht="15.75" customHeight="1" x14ac:dyDescent="0.25">
      <c r="A230" s="4"/>
      <c r="B230" s="54"/>
      <c r="C230" s="54" t="s">
        <v>470</v>
      </c>
      <c r="D230" s="54" t="s">
        <v>417</v>
      </c>
      <c r="E230" s="54" t="s">
        <v>406</v>
      </c>
      <c r="F230" s="53">
        <v>20146</v>
      </c>
      <c r="G230" s="54" t="s">
        <v>354</v>
      </c>
      <c r="H230" s="54">
        <v>137</v>
      </c>
      <c r="I230" s="54" t="s">
        <v>683</v>
      </c>
      <c r="J230" s="757">
        <f t="shared" si="59"/>
        <v>2760.002</v>
      </c>
      <c r="K230" s="54">
        <v>227.6</v>
      </c>
      <c r="L230" s="54">
        <v>1.0999999999999999E-2</v>
      </c>
      <c r="M230" s="54">
        <v>1E-3</v>
      </c>
      <c r="N230" s="4"/>
      <c r="O230" s="4"/>
      <c r="P230" s="4"/>
      <c r="Q230" s="4"/>
      <c r="R230" s="4"/>
      <c r="S230" s="4"/>
      <c r="T230" s="4"/>
      <c r="U230" s="4"/>
      <c r="V230" s="4"/>
      <c r="W230" s="4"/>
      <c r="X230" s="4"/>
      <c r="Y230" s="4"/>
      <c r="Z230" s="4"/>
    </row>
    <row r="231" spans="1:26" ht="15.75" customHeight="1" x14ac:dyDescent="0.25">
      <c r="A231" s="4"/>
      <c r="B231" s="54"/>
      <c r="C231" s="54" t="s">
        <v>471</v>
      </c>
      <c r="D231" s="54" t="s">
        <v>472</v>
      </c>
      <c r="E231" s="54" t="s">
        <v>406</v>
      </c>
      <c r="F231" s="53">
        <v>26491</v>
      </c>
      <c r="G231" s="54" t="s">
        <v>354</v>
      </c>
      <c r="H231" s="54">
        <v>137</v>
      </c>
      <c r="I231" s="54" t="s">
        <v>683</v>
      </c>
      <c r="J231" s="757">
        <f t="shared" si="59"/>
        <v>3629.2669999999998</v>
      </c>
      <c r="K231" s="54">
        <v>299.3</v>
      </c>
      <c r="L231" s="54">
        <v>1.4999999999999999E-2</v>
      </c>
      <c r="M231" s="54">
        <v>1E-3</v>
      </c>
      <c r="N231" s="4"/>
      <c r="O231" s="4"/>
      <c r="P231" s="4"/>
      <c r="Q231" s="4"/>
      <c r="R231" s="4"/>
      <c r="S231" s="4"/>
      <c r="T231" s="4"/>
      <c r="U231" s="4"/>
      <c r="V231" s="4"/>
      <c r="W231" s="4"/>
      <c r="X231" s="4"/>
      <c r="Y231" s="4"/>
      <c r="Z231" s="4"/>
    </row>
    <row r="232" spans="1:26" ht="15.75" customHeight="1" x14ac:dyDescent="0.25">
      <c r="A232" s="4"/>
      <c r="B232" s="54"/>
      <c r="C232" s="54" t="s">
        <v>473</v>
      </c>
      <c r="D232" s="54" t="s">
        <v>474</v>
      </c>
      <c r="E232" s="54" t="s">
        <v>406</v>
      </c>
      <c r="F232" s="53">
        <v>30331</v>
      </c>
      <c r="G232" s="54" t="s">
        <v>354</v>
      </c>
      <c r="H232" s="54">
        <v>137</v>
      </c>
      <c r="I232" s="54" t="s">
        <v>683</v>
      </c>
      <c r="J232" s="757">
        <f t="shared" si="59"/>
        <v>4155.3469999999998</v>
      </c>
      <c r="K232" s="54">
        <v>342.7</v>
      </c>
      <c r="L232" s="54">
        <v>1.7000000000000001E-2</v>
      </c>
      <c r="M232" s="54">
        <v>2E-3</v>
      </c>
      <c r="N232" s="4"/>
      <c r="O232" s="4"/>
      <c r="P232" s="4"/>
      <c r="Q232" s="4"/>
      <c r="R232" s="4"/>
      <c r="S232" s="4"/>
      <c r="T232" s="4"/>
      <c r="U232" s="4"/>
      <c r="V232" s="4"/>
      <c r="W232" s="4"/>
      <c r="X232" s="4"/>
      <c r="Y232" s="4"/>
      <c r="Z232" s="4"/>
    </row>
    <row r="233" spans="1:26" ht="15.75" customHeight="1" x14ac:dyDescent="0.25">
      <c r="A233" s="4"/>
      <c r="B233" s="54"/>
      <c r="C233" s="54" t="s">
        <v>475</v>
      </c>
      <c r="D233" s="54" t="s">
        <v>476</v>
      </c>
      <c r="E233" s="54" t="s">
        <v>406</v>
      </c>
      <c r="F233" s="53">
        <v>26760</v>
      </c>
      <c r="G233" s="54" t="s">
        <v>354</v>
      </c>
      <c r="H233" s="54">
        <v>137</v>
      </c>
      <c r="I233" s="54" t="s">
        <v>683</v>
      </c>
      <c r="J233" s="757">
        <f t="shared" si="59"/>
        <v>3666.12</v>
      </c>
      <c r="K233" s="54">
        <v>302.39999999999998</v>
      </c>
      <c r="L233" s="54">
        <v>1.4999999999999999E-2</v>
      </c>
      <c r="M233" s="54">
        <v>1E-3</v>
      </c>
      <c r="N233" s="4"/>
      <c r="O233" s="4"/>
      <c r="P233" s="4"/>
      <c r="Q233" s="4"/>
      <c r="R233" s="4"/>
      <c r="S233" s="4"/>
      <c r="T233" s="4"/>
      <c r="U233" s="4"/>
      <c r="V233" s="4"/>
      <c r="W233" s="4"/>
      <c r="X233" s="4"/>
      <c r="Y233" s="4"/>
      <c r="Z233" s="4"/>
    </row>
    <row r="234" spans="1:26" ht="15.75" customHeight="1" x14ac:dyDescent="0.25">
      <c r="A234" s="4"/>
      <c r="B234" s="54"/>
      <c r="C234" s="54" t="s">
        <v>477</v>
      </c>
      <c r="D234" s="54" t="s">
        <v>478</v>
      </c>
      <c r="E234" s="54" t="s">
        <v>406</v>
      </c>
      <c r="F234" s="53">
        <v>38516</v>
      </c>
      <c r="G234" s="54" t="s">
        <v>354</v>
      </c>
      <c r="H234" s="54">
        <v>137</v>
      </c>
      <c r="I234" s="54" t="s">
        <v>683</v>
      </c>
      <c r="J234" s="757">
        <f t="shared" si="59"/>
        <v>5276.692</v>
      </c>
      <c r="K234" s="54">
        <v>435.2</v>
      </c>
      <c r="L234" s="54">
        <v>2.1000000000000001E-2</v>
      </c>
      <c r="M234" s="54">
        <v>2E-3</v>
      </c>
      <c r="N234" s="4"/>
      <c r="O234" s="4"/>
      <c r="P234" s="4"/>
      <c r="Q234" s="4"/>
      <c r="R234" s="4"/>
      <c r="S234" s="4"/>
      <c r="T234" s="4"/>
      <c r="U234" s="4"/>
      <c r="V234" s="4"/>
      <c r="W234" s="4"/>
      <c r="X234" s="4"/>
      <c r="Y234" s="4"/>
      <c r="Z234" s="4"/>
    </row>
    <row r="235" spans="1:26" ht="15.75" customHeight="1" x14ac:dyDescent="0.25">
      <c r="A235" s="4"/>
      <c r="B235" s="54"/>
      <c r="C235" s="54" t="s">
        <v>479</v>
      </c>
      <c r="D235" s="54" t="s">
        <v>480</v>
      </c>
      <c r="E235" s="54" t="s">
        <v>406</v>
      </c>
      <c r="F235" s="53">
        <v>68406</v>
      </c>
      <c r="G235" s="54" t="s">
        <v>354</v>
      </c>
      <c r="H235" s="54">
        <v>137</v>
      </c>
      <c r="I235" s="54" t="s">
        <v>683</v>
      </c>
      <c r="J235" s="757">
        <f t="shared" si="59"/>
        <v>9371.6219999999994</v>
      </c>
      <c r="K235" s="54">
        <v>773</v>
      </c>
      <c r="L235" s="54">
        <v>3.7999999999999999E-2</v>
      </c>
      <c r="M235" s="54">
        <v>4.0000000000000001E-3</v>
      </c>
      <c r="N235" s="4"/>
      <c r="O235" s="4"/>
      <c r="P235" s="4"/>
      <c r="Q235" s="4"/>
      <c r="R235" s="4"/>
      <c r="S235" s="4"/>
      <c r="T235" s="4"/>
      <c r="U235" s="4"/>
      <c r="V235" s="4"/>
      <c r="W235" s="4"/>
      <c r="X235" s="4"/>
      <c r="Y235" s="4"/>
      <c r="Z235" s="4"/>
    </row>
    <row r="236" spans="1:26" ht="15.75" customHeight="1" x14ac:dyDescent="0.25">
      <c r="A236" s="4"/>
      <c r="B236" s="54"/>
      <c r="C236" s="54" t="s">
        <v>481</v>
      </c>
      <c r="D236" s="54" t="s">
        <v>482</v>
      </c>
      <c r="E236" s="54" t="s">
        <v>406</v>
      </c>
      <c r="F236" s="53">
        <v>26650</v>
      </c>
      <c r="G236" s="54" t="s">
        <v>354</v>
      </c>
      <c r="H236" s="54">
        <v>137</v>
      </c>
      <c r="I236" s="54" t="s">
        <v>683</v>
      </c>
      <c r="J236" s="757">
        <f t="shared" si="59"/>
        <v>3651.05</v>
      </c>
      <c r="K236" s="54">
        <v>301.10000000000002</v>
      </c>
      <c r="L236" s="54">
        <v>1.4999999999999999E-2</v>
      </c>
      <c r="M236" s="54">
        <v>1E-3</v>
      </c>
      <c r="N236" s="4"/>
      <c r="O236" s="4"/>
      <c r="P236" s="4"/>
      <c r="Q236" s="4"/>
      <c r="R236" s="4"/>
      <c r="S236" s="4"/>
      <c r="T236" s="4"/>
      <c r="U236" s="4"/>
      <c r="V236" s="4"/>
      <c r="W236" s="4"/>
      <c r="X236" s="4"/>
      <c r="Y236" s="4"/>
      <c r="Z236" s="4"/>
    </row>
    <row r="237" spans="1:26" ht="15.75" customHeight="1" x14ac:dyDescent="0.25">
      <c r="A237" s="4"/>
      <c r="B237" s="763"/>
      <c r="C237" s="763"/>
      <c r="D237" s="763"/>
      <c r="E237" s="763"/>
      <c r="F237" s="763"/>
      <c r="G237" s="763"/>
      <c r="H237" s="763"/>
      <c r="I237" s="763"/>
      <c r="J237" s="763"/>
      <c r="K237" s="763"/>
      <c r="L237" s="763"/>
      <c r="M237" s="763"/>
      <c r="N237" s="4"/>
      <c r="O237" s="4"/>
      <c r="P237" s="4"/>
      <c r="Q237" s="4"/>
      <c r="R237" s="4"/>
      <c r="S237" s="4"/>
      <c r="T237" s="4"/>
      <c r="U237" s="4"/>
      <c r="V237" s="4"/>
      <c r="W237" s="4"/>
      <c r="X237" s="4"/>
      <c r="Y237" s="4"/>
      <c r="Z237" s="4"/>
    </row>
    <row r="238" spans="1:26" ht="15.75" customHeight="1" x14ac:dyDescent="0.25">
      <c r="A238" s="4"/>
      <c r="B238" s="54"/>
      <c r="C238" s="54"/>
      <c r="D238" s="54"/>
      <c r="E238" s="54"/>
      <c r="F238" s="54"/>
      <c r="G238" s="54"/>
      <c r="H238" s="54"/>
      <c r="I238" s="54"/>
      <c r="J238" s="54"/>
      <c r="K238" s="54"/>
      <c r="L238" s="54"/>
      <c r="M238" s="54"/>
      <c r="N238" s="4"/>
      <c r="O238" s="4"/>
      <c r="P238" s="4"/>
      <c r="Q238" s="4"/>
      <c r="R238" s="4"/>
      <c r="S238" s="4"/>
      <c r="T238" s="4"/>
      <c r="U238" s="4"/>
      <c r="V238" s="4"/>
      <c r="W238" s="4"/>
      <c r="X238" s="4"/>
      <c r="Y238" s="4"/>
      <c r="Z238" s="4"/>
    </row>
    <row r="239" spans="1:26" ht="15.75" customHeight="1" x14ac:dyDescent="0.25">
      <c r="A239" s="4"/>
      <c r="B239" s="54" t="s">
        <v>483</v>
      </c>
      <c r="C239" s="51" t="s">
        <v>685</v>
      </c>
      <c r="D239" s="54"/>
      <c r="E239" s="54"/>
      <c r="F239" s="54"/>
      <c r="G239" s="54"/>
      <c r="H239" s="54"/>
      <c r="I239" s="54"/>
      <c r="J239" s="54"/>
      <c r="K239" s="54"/>
      <c r="L239" s="54"/>
      <c r="M239" s="54"/>
      <c r="N239" s="4"/>
      <c r="O239" s="4"/>
      <c r="P239" s="4"/>
      <c r="Q239" s="4"/>
      <c r="R239" s="4"/>
      <c r="S239" s="4"/>
      <c r="T239" s="4"/>
      <c r="U239" s="4"/>
      <c r="V239" s="4"/>
      <c r="W239" s="4"/>
      <c r="X239" s="4"/>
      <c r="Y239" s="4"/>
      <c r="Z239" s="4"/>
    </row>
    <row r="240" spans="1:26" ht="15.75" customHeight="1" x14ac:dyDescent="0.25">
      <c r="A240" s="4"/>
      <c r="B240" s="54"/>
      <c r="C240" s="54" t="s">
        <v>485</v>
      </c>
      <c r="D240" s="54" t="s">
        <v>486</v>
      </c>
      <c r="E240" s="54" t="s">
        <v>406</v>
      </c>
      <c r="F240" s="53">
        <v>5013</v>
      </c>
      <c r="G240" s="54" t="s">
        <v>354</v>
      </c>
      <c r="H240" s="54">
        <v>137</v>
      </c>
      <c r="I240" s="54" t="s">
        <v>683</v>
      </c>
      <c r="J240" s="757">
        <f t="shared" ref="J240:J243" si="60">F240*H240/1000</f>
        <v>686.78099999999995</v>
      </c>
      <c r="K240" s="54">
        <v>56.6</v>
      </c>
      <c r="L240" s="54">
        <v>3.0000000000000001E-3</v>
      </c>
      <c r="M240" s="54">
        <v>0</v>
      </c>
      <c r="N240" s="4"/>
      <c r="O240" s="4"/>
      <c r="P240" s="4"/>
      <c r="Q240" s="4"/>
      <c r="R240" s="4"/>
      <c r="S240" s="4"/>
      <c r="T240" s="4"/>
      <c r="U240" s="4"/>
      <c r="V240" s="4"/>
      <c r="W240" s="4"/>
      <c r="X240" s="4"/>
      <c r="Y240" s="4"/>
      <c r="Z240" s="4"/>
    </row>
    <row r="241" spans="1:26" ht="15.75" customHeight="1" x14ac:dyDescent="0.25">
      <c r="A241" s="4"/>
      <c r="B241" s="54"/>
      <c r="C241" s="54" t="s">
        <v>488</v>
      </c>
      <c r="D241" s="54" t="s">
        <v>489</v>
      </c>
      <c r="E241" s="54" t="s">
        <v>406</v>
      </c>
      <c r="F241" s="53">
        <v>5289</v>
      </c>
      <c r="G241" s="54" t="s">
        <v>354</v>
      </c>
      <c r="H241" s="54">
        <v>137</v>
      </c>
      <c r="I241" s="54" t="s">
        <v>683</v>
      </c>
      <c r="J241" s="757">
        <f t="shared" si="60"/>
        <v>724.59299999999996</v>
      </c>
      <c r="K241" s="54">
        <v>59.8</v>
      </c>
      <c r="L241" s="54">
        <v>3.0000000000000001E-3</v>
      </c>
      <c r="M241" s="54">
        <v>0</v>
      </c>
      <c r="N241" s="4"/>
      <c r="O241" s="4"/>
      <c r="P241" s="4"/>
      <c r="Q241" s="4"/>
      <c r="R241" s="4"/>
      <c r="S241" s="4"/>
      <c r="T241" s="4"/>
      <c r="U241" s="4"/>
      <c r="V241" s="4"/>
      <c r="W241" s="4"/>
      <c r="X241" s="4"/>
      <c r="Y241" s="4"/>
      <c r="Z241" s="4"/>
    </row>
    <row r="242" spans="1:26" ht="15.75" customHeight="1" x14ac:dyDescent="0.25">
      <c r="A242" s="4"/>
      <c r="B242" s="54"/>
      <c r="C242" s="54" t="s">
        <v>490</v>
      </c>
      <c r="D242" s="54" t="s">
        <v>491</v>
      </c>
      <c r="E242" s="54" t="s">
        <v>406</v>
      </c>
      <c r="F242" s="53">
        <v>44606</v>
      </c>
      <c r="G242" s="54" t="s">
        <v>354</v>
      </c>
      <c r="H242" s="54">
        <v>137</v>
      </c>
      <c r="I242" s="54" t="s">
        <v>683</v>
      </c>
      <c r="J242" s="757">
        <f t="shared" si="60"/>
        <v>6111.0219999999999</v>
      </c>
      <c r="K242" s="54">
        <v>504</v>
      </c>
      <c r="L242" s="54">
        <v>0</v>
      </c>
      <c r="M242" s="54">
        <v>0</v>
      </c>
      <c r="N242" s="4"/>
      <c r="O242" s="4"/>
      <c r="P242" s="4"/>
      <c r="Q242" s="4"/>
      <c r="R242" s="4"/>
      <c r="S242" s="4"/>
      <c r="T242" s="4"/>
      <c r="U242" s="4"/>
      <c r="V242" s="4"/>
      <c r="W242" s="4"/>
      <c r="X242" s="4"/>
      <c r="Y242" s="4"/>
      <c r="Z242" s="4"/>
    </row>
    <row r="243" spans="1:26" ht="15.75" customHeight="1" x14ac:dyDescent="0.25">
      <c r="A243" s="4"/>
      <c r="B243" s="54"/>
      <c r="C243" s="54" t="s">
        <v>686</v>
      </c>
      <c r="D243" s="54" t="s">
        <v>493</v>
      </c>
      <c r="E243" s="54" t="s">
        <v>406</v>
      </c>
      <c r="F243" s="53">
        <v>47695</v>
      </c>
      <c r="G243" s="54" t="s">
        <v>354</v>
      </c>
      <c r="H243" s="54">
        <v>137</v>
      </c>
      <c r="I243" s="54" t="s">
        <v>683</v>
      </c>
      <c r="J243" s="757">
        <f t="shared" si="60"/>
        <v>6534.2150000000001</v>
      </c>
      <c r="K243" s="54">
        <v>539</v>
      </c>
      <c r="L243" s="54">
        <v>0</v>
      </c>
      <c r="M243" s="54">
        <v>0</v>
      </c>
      <c r="N243" s="4"/>
      <c r="O243" s="4"/>
      <c r="P243" s="4"/>
      <c r="Q243" s="4"/>
      <c r="R243" s="4"/>
      <c r="S243" s="4"/>
      <c r="T243" s="4"/>
      <c r="U243" s="4"/>
      <c r="V243" s="4"/>
      <c r="W243" s="4"/>
      <c r="X243" s="4"/>
      <c r="Y243" s="4"/>
      <c r="Z243" s="4"/>
    </row>
    <row r="244" spans="1:26" ht="15.75" customHeight="1" x14ac:dyDescent="0.25">
      <c r="A244" s="4"/>
      <c r="B244" s="54"/>
      <c r="C244" s="54"/>
      <c r="D244" s="54"/>
      <c r="E244" s="54"/>
      <c r="F244" s="53"/>
      <c r="G244" s="54"/>
      <c r="H244" s="54"/>
      <c r="I244" s="54"/>
      <c r="J244" s="54"/>
      <c r="K244" s="54"/>
      <c r="L244" s="54"/>
      <c r="M244" s="54"/>
      <c r="N244" s="4"/>
      <c r="O244" s="4"/>
      <c r="P244" s="4"/>
      <c r="Q244" s="4"/>
      <c r="R244" s="4"/>
      <c r="S244" s="4"/>
      <c r="T244" s="4"/>
      <c r="U244" s="4"/>
      <c r="V244" s="4"/>
      <c r="W244" s="4"/>
      <c r="X244" s="4"/>
      <c r="Y244" s="4"/>
      <c r="Z244" s="4"/>
    </row>
    <row r="245" spans="1:26" ht="15.75" customHeight="1" x14ac:dyDescent="0.25">
      <c r="A245" s="4"/>
      <c r="B245" s="54"/>
      <c r="C245" s="54" t="s">
        <v>494</v>
      </c>
      <c r="D245" s="54" t="s">
        <v>495</v>
      </c>
      <c r="E245" s="54" t="s">
        <v>406</v>
      </c>
      <c r="F245" s="53">
        <v>45059</v>
      </c>
      <c r="G245" s="54" t="s">
        <v>354</v>
      </c>
      <c r="H245" s="54">
        <v>137</v>
      </c>
      <c r="I245" s="54" t="s">
        <v>683</v>
      </c>
      <c r="J245" s="757">
        <f t="shared" ref="J245:J246" si="61">F245*H245/1000</f>
        <v>6173.0829999999996</v>
      </c>
      <c r="K245" s="770">
        <f>J245/J247*K247</f>
        <v>488.68335588098552</v>
      </c>
      <c r="L245" s="758">
        <f>J245/J247*L247</f>
        <v>2.4125892500981183E-2</v>
      </c>
      <c r="M245" s="758">
        <f>J245/J247*M247</f>
        <v>2.1445237778649944E-3</v>
      </c>
      <c r="N245" s="4"/>
      <c r="O245" s="4"/>
      <c r="P245" s="4"/>
      <c r="Q245" s="4"/>
      <c r="R245" s="4"/>
      <c r="S245" s="4"/>
      <c r="T245" s="4"/>
      <c r="U245" s="4"/>
      <c r="V245" s="4"/>
      <c r="W245" s="4"/>
      <c r="X245" s="4"/>
      <c r="Y245" s="4"/>
      <c r="Z245" s="4"/>
    </row>
    <row r="246" spans="1:26" ht="15.75" customHeight="1" x14ac:dyDescent="0.25">
      <c r="A246" s="4"/>
      <c r="B246" s="54"/>
      <c r="C246" s="54"/>
      <c r="D246" s="54"/>
      <c r="E246" s="54" t="s">
        <v>542</v>
      </c>
      <c r="F246" s="53">
        <v>35607</v>
      </c>
      <c r="G246" s="54" t="s">
        <v>354</v>
      </c>
      <c r="H246" s="54">
        <v>150</v>
      </c>
      <c r="I246" s="54" t="s">
        <v>683</v>
      </c>
      <c r="J246" s="757">
        <f t="shared" si="61"/>
        <v>5341.05</v>
      </c>
      <c r="K246" s="770">
        <f>J246/J247*K247</f>
        <v>422.81664411901448</v>
      </c>
      <c r="L246" s="758">
        <f>J246/J247*L247</f>
        <v>2.0874107499018815E-2</v>
      </c>
      <c r="M246" s="758">
        <f>J246/J247*M247</f>
        <v>1.8554762221350059E-3</v>
      </c>
      <c r="N246" s="4"/>
      <c r="O246" s="4"/>
      <c r="P246" s="4"/>
      <c r="Q246" s="4"/>
      <c r="R246" s="4"/>
      <c r="S246" s="4"/>
      <c r="T246" s="4"/>
      <c r="U246" s="4"/>
      <c r="V246" s="4"/>
      <c r="W246" s="4"/>
      <c r="X246" s="4"/>
      <c r="Y246" s="4"/>
      <c r="Z246" s="4"/>
    </row>
    <row r="247" spans="1:26" ht="15.75" customHeight="1" x14ac:dyDescent="0.25">
      <c r="A247" s="4"/>
      <c r="B247" s="54"/>
      <c r="C247" s="54"/>
      <c r="D247" s="54"/>
      <c r="E247" s="54"/>
      <c r="F247" s="53"/>
      <c r="G247" s="54"/>
      <c r="H247" s="54"/>
      <c r="I247" s="54"/>
      <c r="J247" s="760">
        <f>SUM(J245:J246)</f>
        <v>11514.133</v>
      </c>
      <c r="K247" s="762">
        <v>911.5</v>
      </c>
      <c r="L247" s="762">
        <v>4.4999999999999998E-2</v>
      </c>
      <c r="M247" s="762">
        <v>4.0000000000000001E-3</v>
      </c>
      <c r="N247" s="4"/>
      <c r="O247" s="4"/>
      <c r="P247" s="4"/>
      <c r="Q247" s="4"/>
      <c r="R247" s="4"/>
      <c r="S247" s="4"/>
      <c r="T247" s="4"/>
      <c r="U247" s="4"/>
      <c r="V247" s="4"/>
      <c r="W247" s="4"/>
      <c r="X247" s="4"/>
      <c r="Y247" s="4"/>
      <c r="Z247" s="4"/>
    </row>
    <row r="248" spans="1:26" ht="15.75" customHeight="1" x14ac:dyDescent="0.25">
      <c r="A248" s="4"/>
      <c r="B248" s="54"/>
      <c r="C248" s="54" t="s">
        <v>496</v>
      </c>
      <c r="D248" s="54" t="s">
        <v>497</v>
      </c>
      <c r="E248" s="54" t="s">
        <v>406</v>
      </c>
      <c r="F248" s="53">
        <v>58124</v>
      </c>
      <c r="G248" s="54" t="s">
        <v>354</v>
      </c>
      <c r="H248" s="54">
        <v>137</v>
      </c>
      <c r="I248" s="54" t="s">
        <v>683</v>
      </c>
      <c r="J248" s="757">
        <f t="shared" ref="J248:J249" si="62">F248*H248/1000</f>
        <v>7962.9880000000003</v>
      </c>
      <c r="K248" s="770">
        <f>J248/J250*K250</f>
        <v>638.65848278562203</v>
      </c>
      <c r="L248" s="758">
        <f>J248/J250*L250</f>
        <v>3.1340185841837648E-2</v>
      </c>
      <c r="M248" s="758">
        <f>J248/J250*M250</f>
        <v>3.4065419393301795E-3</v>
      </c>
      <c r="N248" s="4"/>
      <c r="O248" s="4"/>
      <c r="P248" s="4"/>
      <c r="Q248" s="4"/>
      <c r="R248" s="4"/>
      <c r="S248" s="4"/>
      <c r="T248" s="4"/>
      <c r="U248" s="4"/>
      <c r="V248" s="4"/>
      <c r="W248" s="4"/>
      <c r="X248" s="4"/>
      <c r="Y248" s="4"/>
      <c r="Z248" s="4"/>
    </row>
    <row r="249" spans="1:26" ht="15.75" customHeight="1" x14ac:dyDescent="0.25">
      <c r="A249" s="4"/>
      <c r="B249" s="54"/>
      <c r="C249" s="54"/>
      <c r="D249" s="54"/>
      <c r="E249" s="54" t="s">
        <v>542</v>
      </c>
      <c r="F249" s="53">
        <v>24832</v>
      </c>
      <c r="G249" s="54" t="s">
        <v>354</v>
      </c>
      <c r="H249" s="54">
        <v>150</v>
      </c>
      <c r="I249" s="54" t="s">
        <v>683</v>
      </c>
      <c r="J249" s="757">
        <f t="shared" si="62"/>
        <v>3724.8</v>
      </c>
      <c r="K249" s="770">
        <f>J249/J250*K250</f>
        <v>298.74151721437795</v>
      </c>
      <c r="L249" s="758">
        <f>J249/J250*L250</f>
        <v>1.465981415816235E-2</v>
      </c>
      <c r="M249" s="758">
        <f>J249/J250*M250</f>
        <v>1.5934580606698206E-3</v>
      </c>
      <c r="N249" s="4"/>
      <c r="O249" s="4"/>
      <c r="P249" s="4"/>
      <c r="Q249" s="4"/>
      <c r="R249" s="4"/>
      <c r="S249" s="4"/>
      <c r="T249" s="4"/>
      <c r="U249" s="4"/>
      <c r="V249" s="4"/>
      <c r="W249" s="4"/>
      <c r="X249" s="4"/>
      <c r="Y249" s="4"/>
      <c r="Z249" s="4"/>
    </row>
    <row r="250" spans="1:26" ht="15.75" customHeight="1" x14ac:dyDescent="0.25">
      <c r="A250" s="4"/>
      <c r="B250" s="54"/>
      <c r="C250" s="54"/>
      <c r="D250" s="54"/>
      <c r="E250" s="54"/>
      <c r="F250" s="53"/>
      <c r="G250" s="54"/>
      <c r="H250" s="54"/>
      <c r="I250" s="54"/>
      <c r="J250" s="760">
        <f>SUM(J248:J249)</f>
        <v>11687.788</v>
      </c>
      <c r="K250" s="762">
        <v>937.4</v>
      </c>
      <c r="L250" s="762">
        <v>4.5999999999999999E-2</v>
      </c>
      <c r="M250" s="762">
        <v>5.0000000000000001E-3</v>
      </c>
      <c r="N250" s="4"/>
      <c r="O250" s="4"/>
      <c r="P250" s="4"/>
      <c r="Q250" s="4"/>
      <c r="R250" s="4"/>
      <c r="S250" s="4"/>
      <c r="T250" s="4"/>
      <c r="U250" s="4"/>
      <c r="V250" s="4"/>
      <c r="W250" s="4"/>
      <c r="X250" s="4"/>
      <c r="Y250" s="4"/>
      <c r="Z250" s="4"/>
    </row>
    <row r="251" spans="1:26" ht="15.75" customHeight="1" x14ac:dyDescent="0.25">
      <c r="A251" s="4"/>
      <c r="B251" s="54"/>
      <c r="C251" s="54"/>
      <c r="D251" s="54"/>
      <c r="E251" s="54"/>
      <c r="F251" s="53"/>
      <c r="G251" s="54"/>
      <c r="H251" s="54"/>
      <c r="I251" s="54"/>
      <c r="J251" s="54"/>
      <c r="K251" s="54"/>
      <c r="L251" s="54"/>
      <c r="M251" s="54"/>
      <c r="N251" s="4"/>
      <c r="O251" s="4"/>
      <c r="P251" s="4"/>
      <c r="Q251" s="4"/>
      <c r="R251" s="4"/>
      <c r="S251" s="4"/>
      <c r="T251" s="4"/>
      <c r="U251" s="4"/>
      <c r="V251" s="4"/>
      <c r="W251" s="4"/>
      <c r="X251" s="4"/>
      <c r="Y251" s="4"/>
      <c r="Z251" s="4"/>
    </row>
    <row r="252" spans="1:26" ht="15.75" customHeight="1" x14ac:dyDescent="0.25">
      <c r="A252" s="4"/>
      <c r="B252" s="54"/>
      <c r="C252" s="54" t="s">
        <v>498</v>
      </c>
      <c r="D252" s="54" t="s">
        <v>499</v>
      </c>
      <c r="E252" s="54" t="s">
        <v>406</v>
      </c>
      <c r="F252" s="53">
        <v>39785</v>
      </c>
      <c r="G252" s="54" t="s">
        <v>354</v>
      </c>
      <c r="H252" s="54">
        <v>137</v>
      </c>
      <c r="I252" s="54" t="s">
        <v>683</v>
      </c>
      <c r="J252" s="757">
        <f t="shared" ref="J252:J253" si="63">F252*H252/1000</f>
        <v>5450.5450000000001</v>
      </c>
      <c r="K252" s="770">
        <f>J252/J254*K254</f>
        <v>427.42779658087198</v>
      </c>
      <c r="L252" s="758">
        <f>J252/J254*L254</f>
        <v>2.1176908020690319E-2</v>
      </c>
      <c r="M252" s="758">
        <f>J252/J254*M254</f>
        <v>2.1609089817030938E-3</v>
      </c>
      <c r="N252" s="4"/>
      <c r="O252" s="4"/>
      <c r="P252" s="4"/>
      <c r="Q252" s="4"/>
      <c r="R252" s="4"/>
      <c r="S252" s="4"/>
      <c r="T252" s="4"/>
      <c r="U252" s="4"/>
      <c r="V252" s="4"/>
      <c r="W252" s="4"/>
      <c r="X252" s="4"/>
      <c r="Y252" s="4"/>
      <c r="Z252" s="4"/>
    </row>
    <row r="253" spans="1:26" ht="15.75" customHeight="1" x14ac:dyDescent="0.25">
      <c r="A253" s="4"/>
      <c r="B253" s="54"/>
      <c r="C253" s="54"/>
      <c r="D253" s="54"/>
      <c r="E253" s="54" t="s">
        <v>542</v>
      </c>
      <c r="F253" s="53">
        <v>47741</v>
      </c>
      <c r="G253" s="54" t="s">
        <v>354</v>
      </c>
      <c r="H253" s="54">
        <v>150</v>
      </c>
      <c r="I253" s="54" t="s">
        <v>683</v>
      </c>
      <c r="J253" s="757">
        <f t="shared" si="63"/>
        <v>7161.15</v>
      </c>
      <c r="K253" s="770">
        <f>J253/J254*K254</f>
        <v>561.57220341912796</v>
      </c>
      <c r="L253" s="758">
        <f>J253/J254*L254</f>
        <v>2.782309197930968E-2</v>
      </c>
      <c r="M253" s="758">
        <f>J253/J254*M254</f>
        <v>2.8390910182969058E-3</v>
      </c>
      <c r="N253" s="4"/>
      <c r="O253" s="4"/>
      <c r="P253" s="4"/>
      <c r="Q253" s="4"/>
      <c r="R253" s="4"/>
      <c r="S253" s="4"/>
      <c r="T253" s="4"/>
      <c r="U253" s="4"/>
      <c r="V253" s="4"/>
      <c r="W253" s="4"/>
      <c r="X253" s="4"/>
      <c r="Y253" s="4"/>
      <c r="Z253" s="4"/>
    </row>
    <row r="254" spans="1:26" ht="15.75" customHeight="1" x14ac:dyDescent="0.25">
      <c r="A254" s="4"/>
      <c r="B254" s="54"/>
      <c r="C254" s="54"/>
      <c r="D254" s="54"/>
      <c r="E254" s="54"/>
      <c r="F254" s="53"/>
      <c r="G254" s="54"/>
      <c r="H254" s="54"/>
      <c r="I254" s="54"/>
      <c r="J254" s="760">
        <f>SUM(J252:J253)</f>
        <v>12611.695</v>
      </c>
      <c r="K254" s="762">
        <v>989</v>
      </c>
      <c r="L254" s="762">
        <v>4.9000000000000002E-2</v>
      </c>
      <c r="M254" s="762">
        <v>5.0000000000000001E-3</v>
      </c>
      <c r="N254" s="4"/>
      <c r="O254" s="4"/>
      <c r="P254" s="4"/>
      <c r="Q254" s="4"/>
      <c r="R254" s="4"/>
      <c r="S254" s="4"/>
      <c r="T254" s="4"/>
      <c r="U254" s="4"/>
      <c r="V254" s="4"/>
      <c r="W254" s="4"/>
      <c r="X254" s="4"/>
      <c r="Y254" s="4"/>
      <c r="Z254" s="4"/>
    </row>
    <row r="255" spans="1:26" ht="15.75" customHeight="1" x14ac:dyDescent="0.25">
      <c r="A255" s="4"/>
      <c r="B255" s="54"/>
      <c r="C255" s="54"/>
      <c r="D255" s="54"/>
      <c r="E255" s="54"/>
      <c r="F255" s="53"/>
      <c r="G255" s="54"/>
      <c r="H255" s="54"/>
      <c r="I255" s="54"/>
      <c r="J255" s="54"/>
      <c r="K255" s="54"/>
      <c r="L255" s="54"/>
      <c r="M255" s="54"/>
      <c r="N255" s="4"/>
      <c r="O255" s="4"/>
      <c r="P255" s="4"/>
      <c r="Q255" s="4"/>
      <c r="R255" s="4"/>
      <c r="S255" s="4"/>
      <c r="T255" s="4"/>
      <c r="U255" s="4"/>
      <c r="V255" s="4"/>
      <c r="W255" s="4"/>
      <c r="X255" s="4"/>
      <c r="Y255" s="4"/>
      <c r="Z255" s="4"/>
    </row>
    <row r="256" spans="1:26" ht="15.75" customHeight="1" x14ac:dyDescent="0.25">
      <c r="A256" s="4"/>
      <c r="B256" s="54"/>
      <c r="C256" s="54" t="s">
        <v>500</v>
      </c>
      <c r="D256" s="54" t="s">
        <v>501</v>
      </c>
      <c r="E256" s="54" t="s">
        <v>406</v>
      </c>
      <c r="F256" s="53">
        <v>26150</v>
      </c>
      <c r="G256" s="54" t="s">
        <v>354</v>
      </c>
      <c r="H256" s="54">
        <v>137</v>
      </c>
      <c r="I256" s="54" t="s">
        <v>683</v>
      </c>
      <c r="J256" s="757">
        <f t="shared" ref="J256:J257" si="64">F256*H256/1000</f>
        <v>3582.55</v>
      </c>
      <c r="K256" s="770">
        <f>J256/J258*K258</f>
        <v>277.77711438713794</v>
      </c>
      <c r="L256" s="758">
        <f>J256/J258*L258</f>
        <v>1.3581723561544691E-2</v>
      </c>
      <c r="M256" s="758">
        <f>J256/J258*M258</f>
        <v>1.2347021419586083E-3</v>
      </c>
      <c r="N256" s="4"/>
      <c r="O256" s="4"/>
      <c r="P256" s="4"/>
      <c r="Q256" s="4"/>
      <c r="R256" s="4"/>
      <c r="S256" s="4"/>
      <c r="T256" s="4"/>
      <c r="U256" s="4"/>
      <c r="V256" s="4"/>
      <c r="W256" s="4"/>
      <c r="X256" s="4"/>
      <c r="Y256" s="4"/>
      <c r="Z256" s="4"/>
    </row>
    <row r="257" spans="1:26" ht="15.75" customHeight="1" x14ac:dyDescent="0.25">
      <c r="A257" s="4"/>
      <c r="B257" s="54"/>
      <c r="C257" s="54"/>
      <c r="D257" s="54"/>
      <c r="E257" s="54" t="s">
        <v>542</v>
      </c>
      <c r="F257" s="53">
        <v>53491</v>
      </c>
      <c r="G257" s="54" t="s">
        <v>354</v>
      </c>
      <c r="H257" s="54">
        <v>150</v>
      </c>
      <c r="I257" s="54" t="s">
        <v>683</v>
      </c>
      <c r="J257" s="757">
        <f t="shared" si="64"/>
        <v>8023.65</v>
      </c>
      <c r="K257" s="770">
        <f>J257/J258*K258</f>
        <v>622.12288561286198</v>
      </c>
      <c r="L257" s="758">
        <f>J257/J258*L258</f>
        <v>3.0418276438455301E-2</v>
      </c>
      <c r="M257" s="758">
        <f>J257/J258*M258</f>
        <v>2.7652978580413913E-3</v>
      </c>
      <c r="N257" s="4"/>
      <c r="O257" s="4"/>
      <c r="P257" s="4"/>
      <c r="Q257" s="4"/>
      <c r="R257" s="4"/>
      <c r="S257" s="4"/>
      <c r="T257" s="4"/>
      <c r="U257" s="4"/>
      <c r="V257" s="4"/>
      <c r="W257" s="4"/>
      <c r="X257" s="4"/>
      <c r="Y257" s="4"/>
      <c r="Z257" s="4"/>
    </row>
    <row r="258" spans="1:26" ht="15.75" customHeight="1" x14ac:dyDescent="0.25">
      <c r="A258" s="4"/>
      <c r="B258" s="54"/>
      <c r="C258" s="54"/>
      <c r="D258" s="54"/>
      <c r="E258" s="54"/>
      <c r="F258" s="54"/>
      <c r="G258" s="54"/>
      <c r="H258" s="54"/>
      <c r="I258" s="54"/>
      <c r="J258" s="760">
        <f>SUM(J256:J257)</f>
        <v>11606.2</v>
      </c>
      <c r="K258" s="762">
        <v>899.9</v>
      </c>
      <c r="L258" s="762">
        <v>4.3999999999999997E-2</v>
      </c>
      <c r="M258" s="762">
        <v>4.0000000000000001E-3</v>
      </c>
      <c r="N258" s="4"/>
      <c r="O258" s="4"/>
      <c r="P258" s="4"/>
      <c r="Q258" s="4"/>
      <c r="R258" s="4"/>
      <c r="S258" s="4"/>
      <c r="T258" s="4"/>
      <c r="U258" s="4"/>
      <c r="V258" s="4"/>
      <c r="W258" s="4"/>
      <c r="X258" s="4"/>
      <c r="Y258" s="4"/>
      <c r="Z258" s="4"/>
    </row>
    <row r="259" spans="1:26" ht="15.75" customHeight="1" x14ac:dyDescent="0.25">
      <c r="A259" s="4"/>
      <c r="B259" s="763"/>
      <c r="C259" s="763"/>
      <c r="D259" s="763"/>
      <c r="E259" s="763"/>
      <c r="F259" s="763"/>
      <c r="G259" s="763"/>
      <c r="H259" s="763"/>
      <c r="I259" s="763"/>
      <c r="J259" s="763"/>
      <c r="K259" s="763"/>
      <c r="L259" s="763"/>
      <c r="M259" s="763"/>
      <c r="N259" s="4"/>
      <c r="O259" s="4"/>
      <c r="P259" s="4"/>
      <c r="Q259" s="4"/>
      <c r="R259" s="4"/>
      <c r="S259" s="4"/>
      <c r="T259" s="4"/>
      <c r="U259" s="4"/>
      <c r="V259" s="4"/>
      <c r="W259" s="4"/>
      <c r="X259" s="4"/>
      <c r="Y259" s="4"/>
      <c r="Z259" s="4"/>
    </row>
    <row r="260" spans="1:26" ht="15.75" customHeight="1" x14ac:dyDescent="0.25">
      <c r="A260" s="4"/>
      <c r="B260" s="54"/>
      <c r="C260" s="54"/>
      <c r="D260" s="54"/>
      <c r="E260" s="54"/>
      <c r="F260" s="54"/>
      <c r="G260" s="54"/>
      <c r="H260" s="54"/>
      <c r="I260" s="54"/>
      <c r="J260" s="54"/>
      <c r="K260" s="54"/>
      <c r="L260" s="54"/>
      <c r="M260" s="54"/>
      <c r="N260" s="4"/>
      <c r="O260" s="4"/>
      <c r="P260" s="4"/>
      <c r="Q260" s="4"/>
      <c r="R260" s="4"/>
      <c r="S260" s="4"/>
      <c r="T260" s="4"/>
      <c r="U260" s="4"/>
      <c r="V260" s="4"/>
      <c r="W260" s="4"/>
      <c r="X260" s="4"/>
      <c r="Y260" s="4"/>
      <c r="Z260" s="4"/>
    </row>
    <row r="261" spans="1:26" ht="15.75" customHeight="1" x14ac:dyDescent="0.25">
      <c r="A261" s="4"/>
      <c r="B261" s="54" t="s">
        <v>502</v>
      </c>
      <c r="C261" s="51" t="s">
        <v>503</v>
      </c>
      <c r="D261" s="54"/>
      <c r="E261" s="54"/>
      <c r="F261" s="54"/>
      <c r="G261" s="54"/>
      <c r="H261" s="54"/>
      <c r="I261" s="54"/>
      <c r="J261" s="54"/>
      <c r="K261" s="54"/>
      <c r="L261" s="54"/>
      <c r="M261" s="54"/>
      <c r="N261" s="4"/>
      <c r="O261" s="4"/>
      <c r="P261" s="4"/>
      <c r="Q261" s="4"/>
      <c r="R261" s="4"/>
      <c r="S261" s="4"/>
      <c r="T261" s="4"/>
      <c r="U261" s="4"/>
      <c r="V261" s="4"/>
      <c r="W261" s="4"/>
      <c r="X261" s="4"/>
      <c r="Y261" s="4"/>
      <c r="Z261" s="4"/>
    </row>
    <row r="262" spans="1:26" ht="15.75" customHeight="1" x14ac:dyDescent="0.25">
      <c r="A262" s="4"/>
      <c r="B262" s="54"/>
      <c r="C262" s="54"/>
      <c r="D262" s="54"/>
      <c r="E262" s="54"/>
      <c r="F262" s="54"/>
      <c r="G262" s="54"/>
      <c r="H262" s="54"/>
      <c r="I262" s="54"/>
      <c r="J262" s="54"/>
      <c r="K262" s="54"/>
      <c r="L262" s="54"/>
      <c r="M262" s="54"/>
      <c r="N262" s="4"/>
      <c r="O262" s="4"/>
      <c r="P262" s="4"/>
      <c r="Q262" s="4"/>
      <c r="R262" s="4"/>
      <c r="S262" s="4"/>
      <c r="T262" s="4"/>
      <c r="U262" s="4"/>
      <c r="V262" s="4"/>
      <c r="W262" s="4"/>
      <c r="X262" s="4"/>
      <c r="Y262" s="4"/>
      <c r="Z262" s="4"/>
    </row>
    <row r="263" spans="1:26" ht="15.75" customHeight="1" x14ac:dyDescent="0.25">
      <c r="A263" s="4"/>
      <c r="B263" s="54"/>
      <c r="C263" s="54" t="s">
        <v>477</v>
      </c>
      <c r="D263" s="54" t="s">
        <v>504</v>
      </c>
      <c r="E263" s="54" t="s">
        <v>406</v>
      </c>
      <c r="F263" s="53">
        <v>9912</v>
      </c>
      <c r="G263" s="54" t="s">
        <v>354</v>
      </c>
      <c r="H263" s="53">
        <v>140983</v>
      </c>
      <c r="I263" s="54" t="s">
        <v>487</v>
      </c>
      <c r="J263" s="53">
        <f t="shared" ref="J263:J266" si="65">F263*H263/1000000</f>
        <v>1397.4234959999999</v>
      </c>
      <c r="K263" s="54">
        <v>110.02</v>
      </c>
      <c r="L263" s="54">
        <v>0</v>
      </c>
      <c r="M263" s="54">
        <v>0</v>
      </c>
      <c r="N263" s="4"/>
      <c r="O263" s="4"/>
      <c r="P263" s="4"/>
      <c r="Q263" s="4"/>
      <c r="R263" s="4"/>
      <c r="S263" s="4"/>
      <c r="T263" s="4"/>
      <c r="U263" s="4"/>
      <c r="V263" s="4"/>
      <c r="W263" s="4"/>
      <c r="X263" s="4"/>
      <c r="Y263" s="4"/>
      <c r="Z263" s="4"/>
    </row>
    <row r="264" spans="1:26" ht="15.75" customHeight="1" x14ac:dyDescent="0.25">
      <c r="A264" s="4"/>
      <c r="B264" s="54"/>
      <c r="C264" s="54" t="s">
        <v>479</v>
      </c>
      <c r="D264" s="54" t="s">
        <v>505</v>
      </c>
      <c r="E264" s="54" t="s">
        <v>406</v>
      </c>
      <c r="F264" s="53">
        <v>3968</v>
      </c>
      <c r="G264" s="54" t="s">
        <v>354</v>
      </c>
      <c r="H264" s="53">
        <v>140984</v>
      </c>
      <c r="I264" s="54" t="s">
        <v>487</v>
      </c>
      <c r="J264" s="53">
        <f t="shared" si="65"/>
        <v>559.42451200000005</v>
      </c>
      <c r="K264" s="54">
        <v>44.04</v>
      </c>
      <c r="L264" s="54">
        <v>0</v>
      </c>
      <c r="M264" s="54">
        <v>0</v>
      </c>
      <c r="N264" s="4"/>
      <c r="O264" s="4"/>
      <c r="P264" s="4"/>
      <c r="Q264" s="4"/>
      <c r="R264" s="4"/>
      <c r="S264" s="4"/>
      <c r="T264" s="4"/>
      <c r="U264" s="4"/>
      <c r="V264" s="4"/>
      <c r="W264" s="4"/>
      <c r="X264" s="4"/>
      <c r="Y264" s="4"/>
      <c r="Z264" s="4"/>
    </row>
    <row r="265" spans="1:26" ht="15.75" customHeight="1" x14ac:dyDescent="0.25">
      <c r="A265" s="4"/>
      <c r="B265" s="54"/>
      <c r="C265" s="54" t="s">
        <v>466</v>
      </c>
      <c r="D265" s="54" t="s">
        <v>506</v>
      </c>
      <c r="E265" s="54" t="s">
        <v>406</v>
      </c>
      <c r="F265" s="53">
        <v>5238</v>
      </c>
      <c r="G265" s="54" t="s">
        <v>354</v>
      </c>
      <c r="H265" s="53">
        <v>140987</v>
      </c>
      <c r="I265" s="54" t="s">
        <v>487</v>
      </c>
      <c r="J265" s="53">
        <f t="shared" si="65"/>
        <v>738.48990600000002</v>
      </c>
      <c r="K265" s="54">
        <v>58.14</v>
      </c>
      <c r="L265" s="54">
        <v>0</v>
      </c>
      <c r="M265" s="54">
        <v>0</v>
      </c>
      <c r="N265" s="4"/>
      <c r="O265" s="4"/>
      <c r="P265" s="4"/>
      <c r="Q265" s="4"/>
      <c r="R265" s="4"/>
      <c r="S265" s="4"/>
      <c r="T265" s="4"/>
      <c r="U265" s="4"/>
      <c r="V265" s="4"/>
      <c r="W265" s="4"/>
      <c r="X265" s="4"/>
      <c r="Y265" s="4"/>
      <c r="Z265" s="4"/>
    </row>
    <row r="266" spans="1:26" ht="15.75" customHeight="1" x14ac:dyDescent="0.25">
      <c r="A266" s="4"/>
      <c r="B266" s="54"/>
      <c r="C266" s="54" t="s">
        <v>507</v>
      </c>
      <c r="D266" s="54" t="s">
        <v>506</v>
      </c>
      <c r="E266" s="54" t="s">
        <v>406</v>
      </c>
      <c r="F266" s="53">
        <v>5198</v>
      </c>
      <c r="G266" s="54" t="s">
        <v>354</v>
      </c>
      <c r="H266" s="53">
        <v>140987</v>
      </c>
      <c r="I266" s="54" t="s">
        <v>487</v>
      </c>
      <c r="J266" s="53">
        <f t="shared" si="65"/>
        <v>732.85042599999997</v>
      </c>
      <c r="K266" s="54">
        <v>57.7</v>
      </c>
      <c r="L266" s="54">
        <v>0</v>
      </c>
      <c r="M266" s="54">
        <v>0</v>
      </c>
      <c r="N266" s="4"/>
      <c r="O266" s="4"/>
      <c r="P266" s="4"/>
      <c r="Q266" s="4"/>
      <c r="R266" s="4"/>
      <c r="S266" s="4"/>
      <c r="T266" s="4"/>
      <c r="U266" s="4"/>
      <c r="V266" s="4"/>
      <c r="W266" s="4"/>
      <c r="X266" s="4"/>
      <c r="Y266" s="4"/>
      <c r="Z266" s="4"/>
    </row>
    <row r="267" spans="1:26" ht="15.75" customHeight="1" x14ac:dyDescent="0.25">
      <c r="A267" s="4"/>
      <c r="B267" s="763"/>
      <c r="C267" s="763"/>
      <c r="D267" s="763"/>
      <c r="E267" s="763"/>
      <c r="F267" s="763"/>
      <c r="G267" s="763"/>
      <c r="H267" s="763"/>
      <c r="I267" s="763"/>
      <c r="J267" s="763"/>
      <c r="K267" s="763"/>
      <c r="L267" s="763"/>
      <c r="M267" s="763"/>
      <c r="N267" s="4"/>
      <c r="O267" s="4"/>
      <c r="P267" s="4"/>
      <c r="Q267" s="4"/>
      <c r="R267" s="4"/>
      <c r="S267" s="4"/>
      <c r="T267" s="4"/>
      <c r="U267" s="4"/>
      <c r="V267" s="4"/>
      <c r="W267" s="4"/>
      <c r="X267" s="4"/>
      <c r="Y267" s="4"/>
      <c r="Z267" s="4"/>
    </row>
    <row r="268" spans="1:26" ht="15.75" customHeight="1" x14ac:dyDescent="0.25">
      <c r="A268" s="4"/>
      <c r="B268" s="54"/>
      <c r="C268" s="54"/>
      <c r="D268" s="54"/>
      <c r="E268" s="54"/>
      <c r="F268" s="54"/>
      <c r="G268" s="54"/>
      <c r="H268" s="54"/>
      <c r="I268" s="54"/>
      <c r="J268" s="54"/>
      <c r="K268" s="54"/>
      <c r="L268" s="54"/>
      <c r="M268" s="54"/>
      <c r="N268" s="4"/>
      <c r="O268" s="4"/>
      <c r="P268" s="4"/>
      <c r="Q268" s="4"/>
      <c r="R268" s="4"/>
      <c r="S268" s="4"/>
      <c r="T268" s="4"/>
      <c r="U268" s="4"/>
      <c r="V268" s="4"/>
      <c r="W268" s="4"/>
      <c r="X268" s="4"/>
      <c r="Y268" s="4"/>
      <c r="Z268" s="4"/>
    </row>
    <row r="269" spans="1:26" ht="15.75" customHeight="1" x14ac:dyDescent="0.25">
      <c r="A269" s="4"/>
      <c r="B269" s="54" t="s">
        <v>509</v>
      </c>
      <c r="C269" s="51" t="s">
        <v>687</v>
      </c>
      <c r="D269" s="54"/>
      <c r="E269" s="54"/>
      <c r="F269" s="54"/>
      <c r="G269" s="54"/>
      <c r="H269" s="54"/>
      <c r="I269" s="54"/>
      <c r="J269" s="54"/>
      <c r="K269" s="54"/>
      <c r="L269" s="54"/>
      <c r="M269" s="54"/>
      <c r="N269" s="4"/>
      <c r="O269" s="4"/>
      <c r="P269" s="4"/>
      <c r="Q269" s="4"/>
      <c r="R269" s="4"/>
      <c r="S269" s="4"/>
      <c r="T269" s="4"/>
      <c r="U269" s="4"/>
      <c r="V269" s="4"/>
      <c r="W269" s="4"/>
      <c r="X269" s="4"/>
      <c r="Y269" s="4"/>
      <c r="Z269" s="4"/>
    </row>
    <row r="270" spans="1:26" ht="15.75" customHeight="1" x14ac:dyDescent="0.25">
      <c r="A270" s="4"/>
      <c r="B270" s="54"/>
      <c r="C270" s="54" t="s">
        <v>511</v>
      </c>
      <c r="D270" s="54" t="s">
        <v>688</v>
      </c>
      <c r="E270" s="54" t="s">
        <v>406</v>
      </c>
      <c r="F270" s="53">
        <v>10166</v>
      </c>
      <c r="G270" s="54" t="s">
        <v>354</v>
      </c>
      <c r="H270" s="53">
        <v>141494</v>
      </c>
      <c r="I270" s="54" t="s">
        <v>487</v>
      </c>
      <c r="J270" s="53">
        <f t="shared" ref="J270:J273" si="66">F270*H270/1000000</f>
        <v>1438.4280040000001</v>
      </c>
      <c r="K270" s="54">
        <v>115</v>
      </c>
      <c r="L270" s="54">
        <v>6.0000000000000001E-3</v>
      </c>
      <c r="M270" s="54">
        <v>0</v>
      </c>
      <c r="N270" s="4"/>
      <c r="O270" s="4"/>
      <c r="P270" s="4"/>
      <c r="Q270" s="4"/>
      <c r="R270" s="4"/>
      <c r="S270" s="4"/>
      <c r="T270" s="4"/>
      <c r="U270" s="4"/>
      <c r="V270" s="4"/>
      <c r="W270" s="4"/>
      <c r="X270" s="4"/>
      <c r="Y270" s="4"/>
      <c r="Z270" s="4"/>
    </row>
    <row r="271" spans="1:26" ht="15.75" customHeight="1" x14ac:dyDescent="0.25">
      <c r="A271" s="4"/>
      <c r="B271" s="54"/>
      <c r="C271" s="54" t="s">
        <v>513</v>
      </c>
      <c r="D271" s="54" t="s">
        <v>302</v>
      </c>
      <c r="E271" s="54" t="s">
        <v>406</v>
      </c>
      <c r="F271" s="53">
        <v>10078</v>
      </c>
      <c r="G271" s="54" t="s">
        <v>354</v>
      </c>
      <c r="H271" s="53">
        <v>141494</v>
      </c>
      <c r="I271" s="54" t="s">
        <v>487</v>
      </c>
      <c r="J271" s="53">
        <f t="shared" si="66"/>
        <v>1425.9765319999999</v>
      </c>
      <c r="K271" s="54">
        <v>114</v>
      </c>
      <c r="L271" s="54">
        <v>6.0000000000000001E-3</v>
      </c>
      <c r="M271" s="54">
        <v>0</v>
      </c>
      <c r="N271" s="4"/>
      <c r="O271" s="4"/>
      <c r="P271" s="4"/>
      <c r="Q271" s="4"/>
      <c r="R271" s="4"/>
      <c r="S271" s="4"/>
      <c r="T271" s="4"/>
      <c r="U271" s="4"/>
      <c r="V271" s="4"/>
      <c r="W271" s="4"/>
      <c r="X271" s="4"/>
      <c r="Y271" s="4"/>
      <c r="Z271" s="4"/>
    </row>
    <row r="272" spans="1:26" ht="15.75" customHeight="1" x14ac:dyDescent="0.25">
      <c r="A272" s="4"/>
      <c r="B272" s="54"/>
      <c r="C272" s="54" t="s">
        <v>515</v>
      </c>
      <c r="D272" s="54" t="s">
        <v>319</v>
      </c>
      <c r="E272" s="54" t="s">
        <v>406</v>
      </c>
      <c r="F272" s="53">
        <v>10166</v>
      </c>
      <c r="G272" s="54" t="s">
        <v>354</v>
      </c>
      <c r="H272" s="53">
        <v>141494</v>
      </c>
      <c r="I272" s="54" t="s">
        <v>487</v>
      </c>
      <c r="J272" s="53">
        <f t="shared" si="66"/>
        <v>1438.4280040000001</v>
      </c>
      <c r="K272" s="54">
        <v>115</v>
      </c>
      <c r="L272" s="54">
        <v>6.0000000000000001E-3</v>
      </c>
      <c r="M272" s="54">
        <v>0</v>
      </c>
      <c r="N272" s="4"/>
      <c r="O272" s="4"/>
      <c r="P272" s="4"/>
      <c r="Q272" s="4"/>
      <c r="R272" s="4"/>
      <c r="S272" s="4"/>
      <c r="T272" s="4"/>
      <c r="U272" s="4"/>
      <c r="V272" s="4"/>
      <c r="W272" s="4"/>
      <c r="X272" s="4"/>
      <c r="Y272" s="4"/>
      <c r="Z272" s="4"/>
    </row>
    <row r="273" spans="1:26" ht="15.75" customHeight="1" x14ac:dyDescent="0.25">
      <c r="A273" s="4"/>
      <c r="B273" s="54"/>
      <c r="C273" s="54" t="s">
        <v>517</v>
      </c>
      <c r="D273" s="54" t="s">
        <v>544</v>
      </c>
      <c r="E273" s="54" t="s">
        <v>406</v>
      </c>
      <c r="F273" s="53">
        <v>10166</v>
      </c>
      <c r="G273" s="54" t="s">
        <v>354</v>
      </c>
      <c r="H273" s="53">
        <v>141494</v>
      </c>
      <c r="I273" s="54" t="s">
        <v>487</v>
      </c>
      <c r="J273" s="53">
        <f t="shared" si="66"/>
        <v>1438.4280040000001</v>
      </c>
      <c r="K273" s="54">
        <v>115</v>
      </c>
      <c r="L273" s="54">
        <v>6.0000000000000001E-3</v>
      </c>
      <c r="M273" s="54">
        <v>0</v>
      </c>
      <c r="N273" s="4"/>
      <c r="O273" s="4"/>
      <c r="P273" s="4"/>
      <c r="Q273" s="4"/>
      <c r="R273" s="4"/>
      <c r="S273" s="4"/>
      <c r="T273" s="4"/>
      <c r="U273" s="4"/>
      <c r="V273" s="4"/>
      <c r="W273" s="4"/>
      <c r="X273" s="4"/>
      <c r="Y273" s="4"/>
      <c r="Z273" s="4"/>
    </row>
    <row r="274" spans="1:26" ht="15.75" customHeight="1" x14ac:dyDescent="0.25">
      <c r="A274" s="4"/>
      <c r="B274" s="421"/>
      <c r="C274" s="421"/>
      <c r="D274" s="421"/>
      <c r="E274" s="421"/>
      <c r="F274" s="421"/>
      <c r="G274" s="421"/>
      <c r="H274" s="421"/>
      <c r="I274" s="421"/>
      <c r="J274" s="421"/>
      <c r="K274" s="421"/>
      <c r="L274" s="421"/>
      <c r="M274" s="421"/>
      <c r="N274" s="4"/>
      <c r="O274" s="4"/>
      <c r="P274" s="4"/>
      <c r="Q274" s="4"/>
      <c r="R274" s="4"/>
      <c r="S274" s="4"/>
      <c r="T274" s="4"/>
      <c r="U274" s="4"/>
      <c r="V274" s="4"/>
      <c r="W274" s="4"/>
      <c r="X274" s="4"/>
      <c r="Y274" s="4"/>
      <c r="Z274" s="4"/>
    </row>
    <row r="275" spans="1:26" ht="15.75" customHeight="1" x14ac:dyDescent="0.25">
      <c r="A275" s="4"/>
      <c r="B275" s="54"/>
      <c r="C275" s="54"/>
      <c r="D275" s="54"/>
      <c r="E275" s="54"/>
      <c r="F275" s="54"/>
      <c r="G275" s="54"/>
      <c r="H275" s="54"/>
      <c r="I275" s="54"/>
      <c r="J275" s="54"/>
      <c r="K275" s="54"/>
      <c r="L275" s="54"/>
      <c r="M275" s="54"/>
      <c r="N275" s="4"/>
      <c r="O275" s="4"/>
      <c r="P275" s="4"/>
      <c r="Q275" s="4"/>
      <c r="R275" s="4"/>
      <c r="S275" s="4"/>
      <c r="T275" s="4"/>
      <c r="U275" s="4"/>
      <c r="V275" s="4"/>
      <c r="W275" s="4"/>
      <c r="X275" s="4"/>
      <c r="Y275" s="4"/>
      <c r="Z275" s="4"/>
    </row>
    <row r="276" spans="1:26" ht="15.75" customHeight="1" x14ac:dyDescent="0.25">
      <c r="A276" s="4"/>
      <c r="B276" s="54" t="s">
        <v>519</v>
      </c>
      <c r="C276" s="51" t="s">
        <v>520</v>
      </c>
      <c r="D276" s="54"/>
      <c r="E276" s="54"/>
      <c r="F276" s="54"/>
      <c r="G276" s="54"/>
      <c r="H276" s="54"/>
      <c r="I276" s="54"/>
      <c r="J276" s="54"/>
      <c r="K276" s="54"/>
      <c r="L276" s="54"/>
      <c r="M276" s="54"/>
      <c r="N276" s="4"/>
      <c r="O276" s="4"/>
      <c r="P276" s="4"/>
      <c r="Q276" s="4"/>
      <c r="R276" s="4"/>
      <c r="S276" s="4"/>
      <c r="T276" s="4"/>
      <c r="U276" s="4"/>
      <c r="V276" s="4"/>
      <c r="W276" s="4"/>
      <c r="X276" s="4"/>
      <c r="Y276" s="4"/>
      <c r="Z276" s="4"/>
    </row>
    <row r="277" spans="1:26" ht="15.75" customHeight="1" x14ac:dyDescent="0.25">
      <c r="A277" s="4"/>
      <c r="B277" s="54"/>
      <c r="C277" s="54" t="s">
        <v>521</v>
      </c>
      <c r="D277" s="54" t="s">
        <v>689</v>
      </c>
      <c r="E277" s="54" t="s">
        <v>406</v>
      </c>
      <c r="F277" s="53">
        <v>15847</v>
      </c>
      <c r="G277" s="54" t="s">
        <v>354</v>
      </c>
      <c r="H277" s="53">
        <v>137030</v>
      </c>
      <c r="I277" s="54" t="s">
        <v>487</v>
      </c>
      <c r="J277" s="53">
        <f t="shared" ref="J277:J283" si="67">F277*H277/1000000</f>
        <v>2171.5144100000002</v>
      </c>
      <c r="K277" s="54">
        <v>177.04</v>
      </c>
      <c r="L277" s="54">
        <v>0.01</v>
      </c>
      <c r="M277" s="54">
        <v>0</v>
      </c>
      <c r="N277" s="4"/>
      <c r="O277" s="4"/>
      <c r="P277" s="4"/>
      <c r="Q277" s="4"/>
      <c r="R277" s="4"/>
      <c r="S277" s="4"/>
      <c r="T277" s="4"/>
      <c r="U277" s="4"/>
      <c r="V277" s="4"/>
      <c r="W277" s="4"/>
      <c r="X277" s="4"/>
      <c r="Y277" s="4"/>
      <c r="Z277" s="4"/>
    </row>
    <row r="278" spans="1:26" ht="15.75" customHeight="1" x14ac:dyDescent="0.25">
      <c r="A278" s="4"/>
      <c r="B278" s="54"/>
      <c r="C278" s="54" t="s">
        <v>523</v>
      </c>
      <c r="D278" s="54" t="s">
        <v>690</v>
      </c>
      <c r="E278" s="54" t="s">
        <v>406</v>
      </c>
      <c r="F278" s="53">
        <v>6259</v>
      </c>
      <c r="G278" s="54" t="s">
        <v>354</v>
      </c>
      <c r="H278" s="53">
        <v>137030</v>
      </c>
      <c r="I278" s="54" t="s">
        <v>487</v>
      </c>
      <c r="J278" s="53">
        <f t="shared" si="67"/>
        <v>857.67076999999995</v>
      </c>
      <c r="K278" s="54">
        <v>69.92</v>
      </c>
      <c r="L278" s="54">
        <v>0</v>
      </c>
      <c r="M278" s="54">
        <v>0</v>
      </c>
      <c r="N278" s="4"/>
      <c r="O278" s="4"/>
      <c r="P278" s="4"/>
      <c r="Q278" s="4"/>
      <c r="R278" s="4"/>
      <c r="S278" s="4"/>
      <c r="T278" s="4"/>
      <c r="U278" s="4"/>
      <c r="V278" s="4"/>
      <c r="W278" s="4"/>
      <c r="X278" s="4"/>
      <c r="Y278" s="4"/>
      <c r="Z278" s="4"/>
    </row>
    <row r="279" spans="1:26" ht="15.75" customHeight="1" x14ac:dyDescent="0.25">
      <c r="A279" s="4"/>
      <c r="B279" s="54"/>
      <c r="C279" s="54" t="s">
        <v>525</v>
      </c>
      <c r="D279" s="54" t="s">
        <v>691</v>
      </c>
      <c r="E279" s="54" t="s">
        <v>406</v>
      </c>
      <c r="F279" s="53">
        <v>6276</v>
      </c>
      <c r="G279" s="54" t="s">
        <v>354</v>
      </c>
      <c r="H279" s="53">
        <v>137030</v>
      </c>
      <c r="I279" s="54" t="s">
        <v>487</v>
      </c>
      <c r="J279" s="53">
        <f t="shared" si="67"/>
        <v>860.00027999999998</v>
      </c>
      <c r="K279" s="54">
        <v>70.11</v>
      </c>
      <c r="L279" s="54">
        <v>0</v>
      </c>
      <c r="M279" s="54">
        <v>0</v>
      </c>
      <c r="N279" s="4"/>
      <c r="O279" s="4"/>
      <c r="P279" s="4"/>
      <c r="Q279" s="4"/>
      <c r="R279" s="4"/>
      <c r="S279" s="4"/>
      <c r="T279" s="4"/>
      <c r="U279" s="4"/>
      <c r="V279" s="4"/>
      <c r="W279" s="4"/>
      <c r="X279" s="4"/>
      <c r="Y279" s="4"/>
      <c r="Z279" s="4"/>
    </row>
    <row r="280" spans="1:26" ht="15.75" customHeight="1" x14ac:dyDescent="0.25">
      <c r="A280" s="4"/>
      <c r="B280" s="54"/>
      <c r="C280" s="54" t="s">
        <v>527</v>
      </c>
      <c r="D280" s="54" t="s">
        <v>692</v>
      </c>
      <c r="E280" s="54" t="s">
        <v>406</v>
      </c>
      <c r="F280" s="53">
        <v>15948</v>
      </c>
      <c r="G280" s="54" t="s">
        <v>354</v>
      </c>
      <c r="H280" s="53">
        <v>137030</v>
      </c>
      <c r="I280" s="54" t="s">
        <v>487</v>
      </c>
      <c r="J280" s="53">
        <f t="shared" si="67"/>
        <v>2185.3544400000001</v>
      </c>
      <c r="K280" s="54">
        <v>178.17</v>
      </c>
      <c r="L280" s="54">
        <v>0.01</v>
      </c>
      <c r="M280" s="54">
        <v>0</v>
      </c>
      <c r="N280" s="4"/>
      <c r="O280" s="4"/>
      <c r="P280" s="4"/>
      <c r="Q280" s="4"/>
      <c r="R280" s="4"/>
      <c r="S280" s="4"/>
      <c r="T280" s="4"/>
      <c r="U280" s="4"/>
      <c r="V280" s="4"/>
      <c r="W280" s="4"/>
      <c r="X280" s="4"/>
      <c r="Y280" s="4"/>
      <c r="Z280" s="4"/>
    </row>
    <row r="281" spans="1:26" ht="15.75" customHeight="1" x14ac:dyDescent="0.25">
      <c r="A281" s="4"/>
      <c r="B281" s="54"/>
      <c r="C281" s="54" t="s">
        <v>693</v>
      </c>
      <c r="D281" s="54" t="s">
        <v>694</v>
      </c>
      <c r="E281" s="54" t="s">
        <v>406</v>
      </c>
      <c r="F281" s="53">
        <v>14378</v>
      </c>
      <c r="G281" s="54" t="s">
        <v>354</v>
      </c>
      <c r="H281" s="53">
        <v>137030</v>
      </c>
      <c r="I281" s="54" t="s">
        <v>487</v>
      </c>
      <c r="J281" s="53">
        <f t="shared" si="67"/>
        <v>1970.2173399999999</v>
      </c>
      <c r="K281" s="54">
        <v>160.63</v>
      </c>
      <c r="L281" s="54">
        <v>0.01</v>
      </c>
      <c r="M281" s="54">
        <v>0</v>
      </c>
      <c r="N281" s="4"/>
      <c r="O281" s="4"/>
      <c r="P281" s="4"/>
      <c r="Q281" s="4"/>
      <c r="R281" s="4"/>
      <c r="S281" s="4"/>
      <c r="T281" s="4"/>
      <c r="U281" s="4"/>
      <c r="V281" s="4"/>
      <c r="W281" s="4"/>
      <c r="X281" s="4"/>
      <c r="Y281" s="4"/>
      <c r="Z281" s="4"/>
    </row>
    <row r="282" spans="1:26" ht="15.75" customHeight="1" x14ac:dyDescent="0.25">
      <c r="A282" s="4"/>
      <c r="B282" s="54"/>
      <c r="C282" s="54" t="s">
        <v>531</v>
      </c>
      <c r="D282" s="54" t="s">
        <v>695</v>
      </c>
      <c r="E282" s="54" t="s">
        <v>406</v>
      </c>
      <c r="F282" s="53">
        <v>12064</v>
      </c>
      <c r="G282" s="54" t="s">
        <v>354</v>
      </c>
      <c r="H282" s="53">
        <v>137030</v>
      </c>
      <c r="I282" s="54" t="s">
        <v>487</v>
      </c>
      <c r="J282" s="53">
        <f t="shared" si="67"/>
        <v>1653.1299200000001</v>
      </c>
      <c r="K282" s="54">
        <v>134.77000000000001</v>
      </c>
      <c r="L282" s="54">
        <v>0.01</v>
      </c>
      <c r="M282" s="54">
        <v>0</v>
      </c>
      <c r="N282" s="4"/>
      <c r="O282" s="4"/>
      <c r="P282" s="4"/>
      <c r="Q282" s="4"/>
      <c r="R282" s="4"/>
      <c r="S282" s="4"/>
      <c r="T282" s="4"/>
      <c r="U282" s="4"/>
      <c r="V282" s="4"/>
      <c r="W282" s="4"/>
      <c r="X282" s="4"/>
      <c r="Y282" s="4"/>
      <c r="Z282" s="4"/>
    </row>
    <row r="283" spans="1:26" ht="15.75" customHeight="1" x14ac:dyDescent="0.25">
      <c r="A283" s="4"/>
      <c r="B283" s="54"/>
      <c r="C283" s="54" t="s">
        <v>533</v>
      </c>
      <c r="D283" s="54" t="s">
        <v>696</v>
      </c>
      <c r="E283" s="54" t="s">
        <v>406</v>
      </c>
      <c r="F283" s="53">
        <v>6840</v>
      </c>
      <c r="G283" s="54" t="s">
        <v>354</v>
      </c>
      <c r="H283" s="53">
        <v>137030</v>
      </c>
      <c r="I283" s="54" t="s">
        <v>487</v>
      </c>
      <c r="J283" s="53">
        <f t="shared" si="67"/>
        <v>937.28520000000003</v>
      </c>
      <c r="K283" s="54">
        <v>76.41</v>
      </c>
      <c r="L283" s="54">
        <v>0</v>
      </c>
      <c r="M283" s="54">
        <v>0</v>
      </c>
      <c r="N283" s="4"/>
      <c r="O283" s="4"/>
      <c r="P283" s="4"/>
      <c r="Q283" s="4"/>
      <c r="R283" s="4"/>
      <c r="S283" s="4"/>
      <c r="T283" s="4"/>
      <c r="U283" s="4"/>
      <c r="V283" s="4"/>
      <c r="W283" s="4"/>
      <c r="X283" s="4"/>
      <c r="Y283" s="4"/>
      <c r="Z283" s="4"/>
    </row>
    <row r="284" spans="1:26" ht="15.75" customHeight="1" x14ac:dyDescent="0.25">
      <c r="A284" s="4"/>
      <c r="B284" s="421"/>
      <c r="C284" s="421"/>
      <c r="D284" s="421"/>
      <c r="E284" s="421"/>
      <c r="F284" s="421"/>
      <c r="G284" s="421"/>
      <c r="H284" s="421"/>
      <c r="I284" s="421"/>
      <c r="J284" s="421"/>
      <c r="K284" s="421"/>
      <c r="L284" s="421"/>
      <c r="M284" s="421"/>
      <c r="N284" s="4"/>
      <c r="O284" s="4"/>
      <c r="P284" s="4"/>
      <c r="Q284" s="4"/>
      <c r="R284" s="4"/>
      <c r="S284" s="4"/>
      <c r="T284" s="4"/>
      <c r="U284" s="4"/>
      <c r="V284" s="4"/>
      <c r="W284" s="4"/>
      <c r="X284" s="4"/>
      <c r="Y284" s="4"/>
      <c r="Z284" s="4"/>
    </row>
    <row r="285" spans="1:26" ht="15.75" customHeight="1" x14ac:dyDescent="0.25">
      <c r="A285" s="4"/>
      <c r="B285" s="54"/>
      <c r="C285" s="54"/>
      <c r="D285" s="54"/>
      <c r="E285" s="54"/>
      <c r="F285" s="54"/>
      <c r="G285" s="54"/>
      <c r="H285" s="54"/>
      <c r="I285" s="54"/>
      <c r="J285" s="54"/>
      <c r="K285" s="54"/>
      <c r="L285" s="54"/>
      <c r="M285" s="54"/>
      <c r="N285" s="4"/>
      <c r="O285" s="4"/>
      <c r="P285" s="4"/>
      <c r="Q285" s="4"/>
      <c r="R285" s="4"/>
      <c r="S285" s="4"/>
      <c r="T285" s="4"/>
      <c r="U285" s="4"/>
      <c r="V285" s="4"/>
      <c r="W285" s="4"/>
      <c r="X285" s="4"/>
      <c r="Y285" s="4"/>
      <c r="Z285" s="4"/>
    </row>
    <row r="286" spans="1:26" ht="15.75" customHeight="1" x14ac:dyDescent="0.25">
      <c r="A286" s="4"/>
      <c r="B286" s="54" t="s">
        <v>697</v>
      </c>
      <c r="C286" s="54" t="s">
        <v>698</v>
      </c>
      <c r="D286" s="54"/>
      <c r="E286" s="54" t="s">
        <v>699</v>
      </c>
      <c r="F286" s="53">
        <v>1000</v>
      </c>
      <c r="G286" s="54" t="s">
        <v>354</v>
      </c>
      <c r="H286" s="53">
        <v>91333</v>
      </c>
      <c r="I286" s="54" t="s">
        <v>487</v>
      </c>
      <c r="J286" s="53">
        <f>F286*H286/1000000</f>
        <v>91.332999999999998</v>
      </c>
      <c r="K286" s="54">
        <v>6.2</v>
      </c>
      <c r="L286" s="54">
        <v>0</v>
      </c>
      <c r="M286" s="54">
        <v>0</v>
      </c>
      <c r="N286" s="4"/>
      <c r="O286" s="4"/>
      <c r="P286" s="4"/>
      <c r="Q286" s="4"/>
      <c r="R286" s="4"/>
      <c r="S286" s="4"/>
      <c r="T286" s="4"/>
      <c r="U286" s="4"/>
      <c r="V286" s="4"/>
      <c r="W286" s="4"/>
      <c r="X286" s="4"/>
      <c r="Y286" s="4"/>
      <c r="Z286" s="4"/>
    </row>
    <row r="287" spans="1:26" ht="15.75" customHeight="1" x14ac:dyDescent="0.25">
      <c r="A287" s="4"/>
      <c r="B287" s="54"/>
      <c r="C287" s="54"/>
      <c r="D287" s="54"/>
      <c r="E287" s="54"/>
      <c r="F287" s="54"/>
      <c r="G287" s="54"/>
      <c r="H287" s="54"/>
      <c r="I287" s="54"/>
      <c r="J287" s="54"/>
      <c r="K287" s="54"/>
      <c r="L287" s="54"/>
      <c r="M287" s="54"/>
      <c r="N287" s="4"/>
      <c r="O287" s="4"/>
      <c r="P287" s="4"/>
      <c r="Q287" s="4"/>
      <c r="R287" s="4"/>
      <c r="S287" s="4"/>
      <c r="T287" s="4"/>
      <c r="U287" s="4"/>
      <c r="V287" s="4"/>
      <c r="W287" s="4"/>
      <c r="X287" s="4"/>
      <c r="Y287" s="4"/>
      <c r="Z287" s="4"/>
    </row>
    <row r="288" spans="1:26" ht="15.75" customHeight="1" x14ac:dyDescent="0.25">
      <c r="A288" s="4"/>
      <c r="B288" s="54" t="s">
        <v>608</v>
      </c>
      <c r="C288" s="54" t="s">
        <v>700</v>
      </c>
      <c r="D288" s="54"/>
      <c r="E288" s="54"/>
      <c r="F288" s="54"/>
      <c r="G288" s="54"/>
      <c r="H288" s="54"/>
      <c r="I288" s="54"/>
      <c r="J288" s="54"/>
      <c r="K288" s="54"/>
      <c r="L288" s="54"/>
      <c r="M288" s="54"/>
      <c r="N288" s="4"/>
      <c r="O288" s="4"/>
      <c r="P288" s="4"/>
      <c r="Q288" s="4"/>
      <c r="R288" s="4"/>
      <c r="S288" s="4"/>
      <c r="T288" s="4"/>
      <c r="U288" s="4"/>
      <c r="V288" s="4"/>
      <c r="W288" s="4"/>
      <c r="X288" s="4"/>
      <c r="Y288" s="4"/>
      <c r="Z288" s="4"/>
    </row>
    <row r="289" spans="1:26" ht="15.75" customHeight="1" x14ac:dyDescent="0.25">
      <c r="A289" s="4"/>
      <c r="B289" s="54"/>
      <c r="C289" s="54" t="s">
        <v>610</v>
      </c>
      <c r="D289" s="54" t="s">
        <v>701</v>
      </c>
      <c r="E289" s="54" t="s">
        <v>237</v>
      </c>
      <c r="F289" s="53">
        <v>313000000</v>
      </c>
      <c r="G289" s="54" t="s">
        <v>563</v>
      </c>
      <c r="H289" s="54">
        <v>1027</v>
      </c>
      <c r="I289" s="54" t="s">
        <v>674</v>
      </c>
      <c r="J289" s="757">
        <f>F289*H289/1000000</f>
        <v>321451</v>
      </c>
      <c r="K289" s="53">
        <v>18499</v>
      </c>
      <c r="L289" s="54">
        <v>0</v>
      </c>
      <c r="M289" s="54">
        <v>0</v>
      </c>
      <c r="N289" s="4"/>
      <c r="O289" s="4"/>
      <c r="P289" s="4"/>
      <c r="Q289" s="4"/>
      <c r="R289" s="4"/>
      <c r="S289" s="4"/>
      <c r="T289" s="4"/>
      <c r="U289" s="4"/>
      <c r="V289" s="4"/>
      <c r="W289" s="4"/>
      <c r="X289" s="4"/>
      <c r="Y289" s="4"/>
      <c r="Z289" s="4"/>
    </row>
    <row r="290" spans="1:26" ht="15.75" customHeight="1" x14ac:dyDescent="0.25">
      <c r="A290" s="4"/>
      <c r="B290" s="771"/>
      <c r="C290" s="771"/>
      <c r="D290" s="771"/>
      <c r="E290" s="771"/>
      <c r="F290" s="771"/>
      <c r="G290" s="771"/>
      <c r="H290" s="771"/>
      <c r="I290" s="771"/>
      <c r="J290" s="771"/>
      <c r="K290" s="771"/>
      <c r="L290" s="771"/>
      <c r="M290" s="771"/>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sn4y3kG7Q/ZbvT62JJo5vceLlMDaPYkjdyzVz9fkt0LirL2IrSMm7WiBkj+C8uKgsFzOGCced0lyhI5C10yadg==" saltValue="VCiq9iLufF2Gwgtea4D0JA==" spinCount="100000" sheet="1" objects="1" scenarios="1"/>
  <pageMargins left="0.7" right="0.7" top="0.75" bottom="0.75" header="0" footer="0"/>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6.83203125" defaultRowHeight="15" customHeight="1" x14ac:dyDescent="0.2"/>
  <cols>
    <col min="1" max="1" width="2.6640625" customWidth="1"/>
    <col min="2" max="2" width="47.1640625" customWidth="1"/>
    <col min="3" max="3" width="17.5" customWidth="1"/>
    <col min="4" max="4" width="17.6640625" customWidth="1"/>
    <col min="5" max="5" width="25.33203125" customWidth="1"/>
    <col min="6" max="6" width="23.33203125" customWidth="1"/>
    <col min="7" max="7" width="18.5" customWidth="1"/>
    <col min="8" max="8" width="15.5" customWidth="1"/>
    <col min="9" max="9" width="14.6640625" customWidth="1"/>
    <col min="10" max="10" width="18" customWidth="1"/>
    <col min="11" max="11" width="15" customWidth="1"/>
    <col min="12" max="12" width="18.33203125" customWidth="1"/>
    <col min="13" max="13" width="15.33203125" customWidth="1"/>
    <col min="14" max="14" width="17.6640625" customWidth="1"/>
    <col min="15" max="15" width="16" customWidth="1"/>
    <col min="16" max="16" width="14.6640625" customWidth="1"/>
    <col min="17" max="17" width="21.5" customWidth="1"/>
    <col min="18" max="18" width="14.83203125" customWidth="1"/>
    <col min="19" max="19" width="14.33203125" customWidth="1"/>
    <col min="20" max="20" width="16" customWidth="1"/>
    <col min="21" max="21" width="14.83203125" customWidth="1"/>
    <col min="22" max="22" width="18.5" customWidth="1"/>
    <col min="23" max="23" width="17.83203125" customWidth="1"/>
    <col min="24" max="26" width="8" customWidth="1"/>
  </cols>
  <sheetData>
    <row r="1" spans="1:26" x14ac:dyDescent="0.25">
      <c r="A1" s="4" t="s">
        <v>702</v>
      </c>
      <c r="B1" s="260"/>
      <c r="C1" s="261"/>
      <c r="D1" s="261"/>
      <c r="E1" s="261"/>
      <c r="F1" s="3" t="s">
        <v>268</v>
      </c>
      <c r="G1" s="261"/>
      <c r="H1" s="261"/>
      <c r="I1" s="261"/>
      <c r="J1" s="261"/>
      <c r="K1" s="261"/>
      <c r="L1" s="261"/>
      <c r="M1" s="261"/>
      <c r="N1" s="261"/>
      <c r="O1" s="261"/>
      <c r="P1" s="261"/>
      <c r="Q1" s="261"/>
      <c r="R1" s="261"/>
      <c r="S1" s="261"/>
      <c r="T1" s="261"/>
      <c r="U1" s="261"/>
      <c r="V1" s="261"/>
      <c r="W1" s="261"/>
      <c r="X1" s="261"/>
      <c r="Y1" s="261"/>
      <c r="Z1" s="261"/>
    </row>
    <row r="2" spans="1:26" ht="74.25" customHeight="1" x14ac:dyDescent="0.25">
      <c r="A2" s="4"/>
      <c r="B2" s="4"/>
      <c r="C2" s="4"/>
      <c r="D2" s="4"/>
      <c r="E2" s="4"/>
      <c r="F2" s="4"/>
      <c r="G2" s="4"/>
      <c r="H2" s="4"/>
      <c r="I2" s="4"/>
      <c r="J2" s="4"/>
      <c r="K2" s="4"/>
      <c r="L2" s="4"/>
      <c r="M2" s="4"/>
      <c r="N2" s="4"/>
      <c r="O2" s="4"/>
      <c r="P2" s="4"/>
      <c r="Q2" s="4"/>
      <c r="R2" s="4"/>
      <c r="S2" s="4"/>
      <c r="T2" s="4"/>
      <c r="U2" s="4"/>
      <c r="V2" s="4"/>
      <c r="W2" s="4"/>
      <c r="X2" s="4"/>
      <c r="Y2" s="4"/>
      <c r="Z2" s="4"/>
    </row>
    <row r="3" spans="1:26" x14ac:dyDescent="0.25">
      <c r="A3" s="4"/>
      <c r="B3" s="4"/>
      <c r="C3" s="4"/>
      <c r="D3" s="4"/>
      <c r="E3" s="772" t="s">
        <v>703</v>
      </c>
      <c r="F3" s="773"/>
      <c r="G3" s="774"/>
      <c r="H3" s="4"/>
      <c r="I3" s="4"/>
      <c r="J3" s="4"/>
      <c r="K3" s="4"/>
      <c r="L3" s="4"/>
      <c r="M3" s="4"/>
      <c r="N3" s="4"/>
      <c r="O3" s="4"/>
      <c r="P3" s="4"/>
      <c r="Q3" s="4"/>
      <c r="R3" s="4"/>
      <c r="S3" s="4"/>
      <c r="T3" s="4"/>
      <c r="U3" s="4"/>
      <c r="V3" s="4"/>
      <c r="W3" s="4"/>
      <c r="X3" s="4"/>
      <c r="Y3" s="4"/>
      <c r="Z3" s="4"/>
    </row>
    <row r="4" spans="1:26" x14ac:dyDescent="0.25">
      <c r="A4" s="4"/>
      <c r="B4" s="4"/>
      <c r="C4" s="4"/>
      <c r="D4" s="4"/>
      <c r="E4" s="1"/>
      <c r="F4" s="4"/>
      <c r="G4" s="4"/>
      <c r="H4" s="4"/>
      <c r="I4" s="4"/>
      <c r="J4" s="4"/>
      <c r="K4" s="4"/>
      <c r="L4" s="4"/>
      <c r="M4" s="4"/>
      <c r="N4" s="4"/>
      <c r="O4" s="4"/>
      <c r="P4" s="4"/>
      <c r="Q4" s="4"/>
      <c r="R4" s="4"/>
      <c r="S4" s="4"/>
      <c r="T4" s="4"/>
      <c r="U4" s="4"/>
      <c r="V4" s="4"/>
      <c r="W4" s="4"/>
      <c r="X4" s="4"/>
      <c r="Y4" s="4"/>
      <c r="Z4" s="4"/>
    </row>
    <row r="5" spans="1:26" x14ac:dyDescent="0.25">
      <c r="A5" s="4"/>
      <c r="B5" s="99"/>
      <c r="C5" s="775">
        <v>1991</v>
      </c>
      <c r="D5" s="775">
        <v>1992</v>
      </c>
      <c r="E5" s="775">
        <v>1993</v>
      </c>
      <c r="F5" s="775">
        <v>1994</v>
      </c>
      <c r="G5" s="775">
        <v>1995</v>
      </c>
      <c r="H5" s="775">
        <v>1996</v>
      </c>
      <c r="I5" s="775">
        <v>1997</v>
      </c>
      <c r="J5" s="775">
        <v>1998</v>
      </c>
      <c r="K5" s="776">
        <v>1999</v>
      </c>
      <c r="L5" s="777">
        <v>2000</v>
      </c>
      <c r="M5" s="777">
        <v>2001</v>
      </c>
      <c r="N5" s="777">
        <v>2002</v>
      </c>
      <c r="O5" s="777">
        <v>2003</v>
      </c>
      <c r="P5" s="777">
        <v>2004</v>
      </c>
      <c r="Q5" s="777">
        <v>2005</v>
      </c>
      <c r="R5" s="777">
        <v>2006</v>
      </c>
      <c r="S5" s="777">
        <v>2007</v>
      </c>
      <c r="T5" s="777">
        <v>2008</v>
      </c>
      <c r="U5" s="775">
        <v>2009</v>
      </c>
      <c r="V5" s="775">
        <v>2010</v>
      </c>
      <c r="W5" s="778">
        <v>2011</v>
      </c>
      <c r="X5" s="4"/>
      <c r="Y5" s="4"/>
      <c r="Z5" s="4"/>
    </row>
    <row r="6" spans="1:26" x14ac:dyDescent="0.25">
      <c r="A6" s="4"/>
      <c r="B6" s="104"/>
      <c r="C6" s="107"/>
      <c r="D6" s="107"/>
      <c r="E6" s="107"/>
      <c r="F6" s="107"/>
      <c r="G6" s="107"/>
      <c r="H6" s="107"/>
      <c r="I6" s="107"/>
      <c r="J6" s="107"/>
      <c r="K6" s="779"/>
      <c r="L6" s="780"/>
      <c r="M6" s="780"/>
      <c r="N6" s="780"/>
      <c r="O6" s="780"/>
      <c r="P6" s="780"/>
      <c r="Q6" s="780"/>
      <c r="R6" s="780"/>
      <c r="S6" s="780"/>
      <c r="T6" s="780"/>
      <c r="U6" s="107"/>
      <c r="V6" s="107"/>
      <c r="W6" s="108"/>
      <c r="X6" s="4"/>
      <c r="Y6" s="4"/>
      <c r="Z6" s="4"/>
    </row>
    <row r="7" spans="1:26" x14ac:dyDescent="0.25">
      <c r="A7" s="4"/>
      <c r="B7" s="781" t="s">
        <v>704</v>
      </c>
      <c r="C7" s="782"/>
      <c r="D7" s="783"/>
      <c r="E7" s="783"/>
      <c r="F7" s="783"/>
      <c r="G7" s="783"/>
      <c r="H7" s="783"/>
      <c r="I7" s="783"/>
      <c r="J7" s="783"/>
      <c r="K7" s="784"/>
      <c r="L7" s="785">
        <v>11420038</v>
      </c>
      <c r="M7" s="786">
        <v>11135140</v>
      </c>
      <c r="N7" s="786">
        <v>11364983</v>
      </c>
      <c r="O7" s="786">
        <v>11852129</v>
      </c>
      <c r="P7" s="786">
        <v>11608446</v>
      </c>
      <c r="Q7" s="786">
        <v>11745248.199999999</v>
      </c>
      <c r="R7" s="786">
        <v>11687602.6</v>
      </c>
      <c r="S7" s="786">
        <v>11937518</v>
      </c>
      <c r="T7" s="786">
        <v>11098391</v>
      </c>
      <c r="U7" s="783">
        <v>9846698</v>
      </c>
      <c r="V7" s="783">
        <v>9885858</v>
      </c>
      <c r="W7" s="787">
        <v>9003261</v>
      </c>
      <c r="X7" s="4"/>
      <c r="Y7" s="4"/>
      <c r="Z7" s="4"/>
    </row>
    <row r="8" spans="1:26" x14ac:dyDescent="0.25">
      <c r="A8" s="4"/>
      <c r="B8" s="781" t="s">
        <v>705</v>
      </c>
      <c r="C8" s="782"/>
      <c r="D8" s="783"/>
      <c r="E8" s="783"/>
      <c r="F8" s="783"/>
      <c r="G8" s="783"/>
      <c r="H8" s="783"/>
      <c r="I8" s="783"/>
      <c r="J8" s="783"/>
      <c r="K8" s="784"/>
      <c r="L8" s="785">
        <v>4143417</v>
      </c>
      <c r="M8" s="786">
        <v>5514960</v>
      </c>
      <c r="N8" s="786">
        <v>4108104</v>
      </c>
      <c r="O8" s="786">
        <v>6164252</v>
      </c>
      <c r="P8" s="786">
        <v>5672819.25</v>
      </c>
      <c r="Q8" s="786">
        <v>6574936.7400000002</v>
      </c>
      <c r="R8" s="786">
        <v>1050222.03</v>
      </c>
      <c r="S8" s="786">
        <v>1790746</v>
      </c>
      <c r="T8" s="786">
        <v>791418</v>
      </c>
      <c r="U8" s="783">
        <v>624050</v>
      </c>
      <c r="V8" s="783">
        <v>658767</v>
      </c>
      <c r="W8" s="787">
        <v>438683</v>
      </c>
      <c r="X8" s="4"/>
      <c r="Y8" s="4"/>
      <c r="Z8" s="4"/>
    </row>
    <row r="9" spans="1:26" x14ac:dyDescent="0.25">
      <c r="A9" s="4"/>
      <c r="B9" s="781" t="s">
        <v>706</v>
      </c>
      <c r="C9" s="782"/>
      <c r="D9" s="783"/>
      <c r="E9" s="783"/>
      <c r="F9" s="783"/>
      <c r="G9" s="783"/>
      <c r="H9" s="783"/>
      <c r="I9" s="783"/>
      <c r="J9" s="783"/>
      <c r="K9" s="784"/>
      <c r="L9" s="785">
        <v>29023288</v>
      </c>
      <c r="M9" s="786">
        <v>17985486</v>
      </c>
      <c r="N9" s="786">
        <v>22627073</v>
      </c>
      <c r="O9" s="786">
        <v>11162538</v>
      </c>
      <c r="P9" s="786">
        <v>9994238.0399999991</v>
      </c>
      <c r="Q9" s="786">
        <v>18619350</v>
      </c>
      <c r="R9" s="786">
        <v>16620796.5</v>
      </c>
      <c r="S9" s="786">
        <v>21481869</v>
      </c>
      <c r="T9" s="786">
        <v>17563616</v>
      </c>
      <c r="U9" s="783">
        <v>15742992</v>
      </c>
      <c r="V9" s="783">
        <v>28629884</v>
      </c>
      <c r="W9" s="787">
        <v>21840074</v>
      </c>
      <c r="X9" s="4"/>
      <c r="Y9" s="4"/>
      <c r="Z9" s="4"/>
    </row>
    <row r="10" spans="1:26" x14ac:dyDescent="0.25">
      <c r="A10" s="4"/>
      <c r="B10" s="788" t="s">
        <v>707</v>
      </c>
      <c r="C10" s="789"/>
      <c r="D10" s="790"/>
      <c r="E10" s="790"/>
      <c r="F10" s="790"/>
      <c r="G10" s="790"/>
      <c r="H10" s="790"/>
      <c r="I10" s="790"/>
      <c r="J10" s="790"/>
      <c r="K10" s="791"/>
      <c r="L10" s="792">
        <v>758</v>
      </c>
      <c r="M10" s="793">
        <v>7537</v>
      </c>
      <c r="N10" s="793">
        <v>9278</v>
      </c>
      <c r="O10" s="793">
        <v>6717</v>
      </c>
      <c r="P10" s="793">
        <v>5127.03</v>
      </c>
      <c r="Q10" s="793">
        <v>4266.24</v>
      </c>
      <c r="R10" s="793">
        <v>4141.3100000000004</v>
      </c>
      <c r="S10" s="793">
        <v>4703.42</v>
      </c>
      <c r="T10" s="793">
        <v>4194.0200000000004</v>
      </c>
      <c r="U10" s="790">
        <v>3340</v>
      </c>
      <c r="V10" s="790">
        <v>2663</v>
      </c>
      <c r="W10" s="794">
        <v>1921</v>
      </c>
      <c r="X10" s="4"/>
      <c r="Y10" s="4"/>
      <c r="Z10" s="4"/>
    </row>
    <row r="11" spans="1:26" x14ac:dyDescent="0.25">
      <c r="A11" s="4"/>
      <c r="B11" s="4"/>
      <c r="C11" s="4"/>
      <c r="D11" s="4"/>
      <c r="E11" s="1"/>
      <c r="F11" s="4"/>
      <c r="G11" s="4"/>
      <c r="H11" s="4"/>
      <c r="I11" s="4"/>
      <c r="J11" s="4"/>
      <c r="K11" s="4"/>
      <c r="L11" s="4"/>
      <c r="M11" s="4"/>
      <c r="N11" s="4"/>
      <c r="O11" s="4"/>
      <c r="P11" s="4"/>
      <c r="Q11" s="4"/>
      <c r="R11" s="4"/>
      <c r="S11" s="4"/>
      <c r="T11" s="4"/>
      <c r="U11" s="4"/>
      <c r="V11" s="4"/>
      <c r="W11" s="4"/>
      <c r="X11" s="4"/>
      <c r="Y11" s="4"/>
      <c r="Z11" s="4"/>
    </row>
    <row r="12" spans="1:26" x14ac:dyDescent="0.25">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x14ac:dyDescent="0.25">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x14ac:dyDescent="0.25">
      <c r="A14" s="4"/>
      <c r="B14" s="4"/>
      <c r="C14" s="643"/>
      <c r="D14" s="795"/>
      <c r="E14" s="772" t="s">
        <v>708</v>
      </c>
      <c r="F14" s="796"/>
      <c r="G14" s="795"/>
      <c r="H14" s="795"/>
      <c r="I14" s="795"/>
      <c r="J14" s="4"/>
      <c r="K14" s="4"/>
      <c r="L14" s="4"/>
      <c r="M14" s="4"/>
      <c r="N14" s="4"/>
      <c r="O14" s="4"/>
      <c r="P14" s="4"/>
      <c r="Q14" s="4"/>
      <c r="R14" s="4"/>
      <c r="S14" s="4"/>
      <c r="T14" s="4"/>
      <c r="U14" s="4"/>
      <c r="V14" s="4"/>
      <c r="W14" s="4"/>
      <c r="X14" s="4"/>
      <c r="Y14" s="4"/>
      <c r="Z14" s="4"/>
    </row>
    <row r="15" spans="1:26" x14ac:dyDescent="0.25">
      <c r="A15" s="4"/>
      <c r="B15" s="4"/>
      <c r="C15" s="643"/>
      <c r="D15" s="795"/>
      <c r="E15" s="795"/>
      <c r="F15" s="795"/>
      <c r="G15" s="795"/>
      <c r="H15" s="795"/>
      <c r="I15" s="795"/>
      <c r="J15" s="4"/>
      <c r="K15" s="4"/>
      <c r="L15" s="4"/>
      <c r="M15" s="4"/>
      <c r="N15" s="4"/>
      <c r="O15" s="4"/>
      <c r="P15" s="4"/>
      <c r="Q15" s="4"/>
      <c r="R15" s="4"/>
      <c r="S15" s="4"/>
      <c r="T15" s="4"/>
      <c r="U15" s="4"/>
      <c r="V15" s="4"/>
      <c r="W15" s="4"/>
      <c r="X15" s="4"/>
      <c r="Y15" s="4"/>
      <c r="Z15" s="4"/>
    </row>
    <row r="16" spans="1:26" x14ac:dyDescent="0.25">
      <c r="A16" s="4"/>
      <c r="B16" s="99"/>
      <c r="C16" s="775">
        <v>1991</v>
      </c>
      <c r="D16" s="775">
        <v>1992</v>
      </c>
      <c r="E16" s="775">
        <v>1993</v>
      </c>
      <c r="F16" s="775">
        <v>1994</v>
      </c>
      <c r="G16" s="775">
        <v>1995</v>
      </c>
      <c r="H16" s="775">
        <v>1996</v>
      </c>
      <c r="I16" s="775">
        <v>1997</v>
      </c>
      <c r="J16" s="775">
        <v>1998</v>
      </c>
      <c r="K16" s="775">
        <v>1999</v>
      </c>
      <c r="L16" s="775">
        <v>2000</v>
      </c>
      <c r="M16" s="775">
        <v>2001</v>
      </c>
      <c r="N16" s="775">
        <v>2002</v>
      </c>
      <c r="O16" s="775">
        <v>2003</v>
      </c>
      <c r="P16" s="775">
        <v>2004</v>
      </c>
      <c r="Q16" s="775">
        <v>2005</v>
      </c>
      <c r="R16" s="775">
        <v>2006</v>
      </c>
      <c r="S16" s="775">
        <v>2007</v>
      </c>
      <c r="T16" s="776">
        <v>2008</v>
      </c>
      <c r="U16" s="775">
        <v>2009</v>
      </c>
      <c r="V16" s="775">
        <v>2010</v>
      </c>
      <c r="W16" s="778">
        <v>2011</v>
      </c>
      <c r="X16" s="4"/>
      <c r="Y16" s="4"/>
      <c r="Z16" s="4"/>
    </row>
    <row r="17" spans="1:26" x14ac:dyDescent="0.25">
      <c r="A17" s="4"/>
      <c r="B17" s="104" t="s">
        <v>219</v>
      </c>
      <c r="C17" s="783">
        <v>22835671</v>
      </c>
      <c r="D17" s="783">
        <v>23850470</v>
      </c>
      <c r="E17" s="783">
        <v>25126979</v>
      </c>
      <c r="F17" s="783">
        <v>25624758</v>
      </c>
      <c r="G17" s="783">
        <v>27595256</v>
      </c>
      <c r="H17" s="783">
        <v>27992005</v>
      </c>
      <c r="I17" s="783">
        <v>27620925</v>
      </c>
      <c r="J17" s="783">
        <v>29294727</v>
      </c>
      <c r="K17" s="783">
        <v>29687655</v>
      </c>
      <c r="L17" s="783">
        <v>29451065</v>
      </c>
      <c r="M17" s="783">
        <v>28379409</v>
      </c>
      <c r="N17" s="783">
        <v>28712053</v>
      </c>
      <c r="O17" s="783">
        <v>29939086</v>
      </c>
      <c r="P17" s="783">
        <v>29195458</v>
      </c>
      <c r="Q17" s="783">
        <v>29302792</v>
      </c>
      <c r="R17" s="783">
        <v>29408022</v>
      </c>
      <c r="S17" s="783">
        <v>29699186</v>
      </c>
      <c r="T17" s="784">
        <v>27218239</v>
      </c>
      <c r="U17" s="783">
        <v>24162345</v>
      </c>
      <c r="V17" s="783">
        <v>23668204</v>
      </c>
      <c r="W17" s="797">
        <v>21186919</v>
      </c>
      <c r="X17" s="4"/>
      <c r="Y17" s="4"/>
      <c r="Z17" s="4"/>
    </row>
    <row r="18" spans="1:26" x14ac:dyDescent="0.25">
      <c r="A18" s="4"/>
      <c r="B18" s="104" t="s">
        <v>220</v>
      </c>
      <c r="C18" s="783">
        <v>4078506</v>
      </c>
      <c r="D18" s="783">
        <v>2749511</v>
      </c>
      <c r="E18" s="783">
        <v>4164790</v>
      </c>
      <c r="F18" s="783">
        <v>4275226</v>
      </c>
      <c r="G18" s="783">
        <v>1479469</v>
      </c>
      <c r="H18" s="783">
        <v>1472027</v>
      </c>
      <c r="I18" s="783">
        <v>1565010</v>
      </c>
      <c r="J18" s="783">
        <v>3454350</v>
      </c>
      <c r="K18" s="783">
        <v>4290788</v>
      </c>
      <c r="L18" s="783">
        <v>2388595</v>
      </c>
      <c r="M18" s="783">
        <v>3021639</v>
      </c>
      <c r="N18" s="783">
        <v>2282432</v>
      </c>
      <c r="O18" s="783">
        <v>3572183</v>
      </c>
      <c r="P18" s="783">
        <v>3296842</v>
      </c>
      <c r="Q18" s="783">
        <v>3805569</v>
      </c>
      <c r="R18" s="783">
        <v>580726</v>
      </c>
      <c r="S18" s="783">
        <v>984831</v>
      </c>
      <c r="T18" s="784">
        <v>405840</v>
      </c>
      <c r="U18" s="783">
        <v>329901</v>
      </c>
      <c r="V18" s="783">
        <v>322438</v>
      </c>
      <c r="W18" s="797">
        <v>219804</v>
      </c>
      <c r="X18" s="4"/>
      <c r="Y18" s="4"/>
      <c r="Z18" s="4"/>
    </row>
    <row r="19" spans="1:26" x14ac:dyDescent="0.25">
      <c r="A19" s="4"/>
      <c r="B19" s="104" t="s">
        <v>221</v>
      </c>
      <c r="C19" s="783">
        <v>1517463</v>
      </c>
      <c r="D19" s="783">
        <v>1077542</v>
      </c>
      <c r="E19" s="783">
        <v>772304</v>
      </c>
      <c r="F19" s="783">
        <v>1172042</v>
      </c>
      <c r="G19" s="783">
        <v>1548884</v>
      </c>
      <c r="H19" s="783">
        <v>987627</v>
      </c>
      <c r="I19" s="783">
        <v>1412585</v>
      </c>
      <c r="J19" s="783">
        <v>1990596</v>
      </c>
      <c r="K19" s="783">
        <v>2125193</v>
      </c>
      <c r="L19" s="783">
        <v>2852876</v>
      </c>
      <c r="M19" s="783">
        <v>1760812</v>
      </c>
      <c r="N19" s="783">
        <v>2214431</v>
      </c>
      <c r="O19" s="783">
        <v>1195642</v>
      </c>
      <c r="P19" s="783">
        <v>1183301</v>
      </c>
      <c r="Q19" s="783">
        <v>1886986</v>
      </c>
      <c r="R19" s="783">
        <v>1770206</v>
      </c>
      <c r="S19" s="783">
        <v>2240927</v>
      </c>
      <c r="T19" s="784">
        <v>1848147</v>
      </c>
      <c r="U19" s="783">
        <v>1767844</v>
      </c>
      <c r="V19" s="783">
        <v>2896978</v>
      </c>
      <c r="W19" s="797">
        <v>2236976</v>
      </c>
      <c r="X19" s="4"/>
      <c r="Y19" s="4"/>
      <c r="Z19" s="4"/>
    </row>
    <row r="20" spans="1:26" x14ac:dyDescent="0.25">
      <c r="A20" s="4"/>
      <c r="B20" s="104" t="s">
        <v>709</v>
      </c>
      <c r="C20" s="783">
        <v>478704</v>
      </c>
      <c r="D20" s="783">
        <v>506572</v>
      </c>
      <c r="E20" s="783">
        <v>475788</v>
      </c>
      <c r="F20" s="783">
        <v>501762</v>
      </c>
      <c r="G20" s="783">
        <v>685721</v>
      </c>
      <c r="H20" s="783">
        <v>539335</v>
      </c>
      <c r="I20" s="783">
        <v>564036</v>
      </c>
      <c r="J20" s="783">
        <v>82316</v>
      </c>
      <c r="K20" s="783">
        <v>59891</v>
      </c>
      <c r="L20" s="783">
        <v>74572</v>
      </c>
      <c r="M20" s="783">
        <v>439980</v>
      </c>
      <c r="N20" s="783">
        <v>504513</v>
      </c>
      <c r="O20" s="783">
        <v>325355</v>
      </c>
      <c r="P20" s="783">
        <v>411565</v>
      </c>
      <c r="Q20" s="783">
        <v>342466</v>
      </c>
      <c r="R20" s="783">
        <v>332444</v>
      </c>
      <c r="S20" s="783">
        <v>377560</v>
      </c>
      <c r="T20" s="784">
        <v>337823</v>
      </c>
      <c r="U20" s="783">
        <v>269182</v>
      </c>
      <c r="V20" s="783">
        <v>214727</v>
      </c>
      <c r="W20" s="797">
        <v>154641</v>
      </c>
      <c r="X20" s="4"/>
      <c r="Y20" s="4"/>
      <c r="Z20" s="4"/>
    </row>
    <row r="21" spans="1:26" ht="15.75" customHeight="1" x14ac:dyDescent="0.25">
      <c r="A21" s="4"/>
      <c r="B21" s="104" t="s">
        <v>710</v>
      </c>
      <c r="C21" s="783">
        <v>9036100</v>
      </c>
      <c r="D21" s="783">
        <v>10663950</v>
      </c>
      <c r="E21" s="783">
        <v>12300816</v>
      </c>
      <c r="F21" s="783">
        <v>11235408</v>
      </c>
      <c r="G21" s="783">
        <v>12937971</v>
      </c>
      <c r="H21" s="783">
        <v>12092768</v>
      </c>
      <c r="I21" s="783">
        <v>13212967</v>
      </c>
      <c r="J21" s="783">
        <v>13330598</v>
      </c>
      <c r="K21" s="783">
        <v>13312335</v>
      </c>
      <c r="L21" s="783">
        <v>13827243</v>
      </c>
      <c r="M21" s="783">
        <v>13656267</v>
      </c>
      <c r="N21" s="783">
        <v>12128005</v>
      </c>
      <c r="O21" s="783">
        <v>13690713</v>
      </c>
      <c r="P21" s="783">
        <v>14580260</v>
      </c>
      <c r="Q21" s="783">
        <v>14703221</v>
      </c>
      <c r="R21" s="783">
        <v>13830411</v>
      </c>
      <c r="S21" s="783">
        <v>14353192</v>
      </c>
      <c r="T21" s="784">
        <v>14678695</v>
      </c>
      <c r="U21" s="783">
        <v>14550119</v>
      </c>
      <c r="V21" s="783">
        <v>13993948</v>
      </c>
      <c r="W21" s="797">
        <v>14397437</v>
      </c>
      <c r="X21" s="4"/>
      <c r="Y21" s="4"/>
      <c r="Z21" s="4"/>
    </row>
    <row r="22" spans="1:26" ht="15.75" customHeight="1" x14ac:dyDescent="0.25">
      <c r="A22" s="4"/>
      <c r="B22" s="104" t="s">
        <v>711</v>
      </c>
      <c r="C22" s="783">
        <v>1407287</v>
      </c>
      <c r="D22" s="783">
        <v>1824659</v>
      </c>
      <c r="E22" s="783">
        <v>1658271</v>
      </c>
      <c r="F22" s="783">
        <v>2009536</v>
      </c>
      <c r="G22" s="783">
        <v>1442006</v>
      </c>
      <c r="H22" s="783">
        <v>2457463</v>
      </c>
      <c r="I22" s="783">
        <v>1588375</v>
      </c>
      <c r="J22" s="783">
        <v>1739737</v>
      </c>
      <c r="K22" s="783">
        <v>1424197</v>
      </c>
      <c r="L22" s="783">
        <v>1732619</v>
      </c>
      <c r="M22" s="783">
        <v>1183518</v>
      </c>
      <c r="N22" s="783">
        <v>1660989</v>
      </c>
      <c r="O22" s="783">
        <v>2646984</v>
      </c>
      <c r="P22" s="783">
        <v>2507521</v>
      </c>
      <c r="Q22" s="783">
        <v>1703639</v>
      </c>
      <c r="R22" s="783">
        <v>2104275</v>
      </c>
      <c r="S22" s="783">
        <v>1652216</v>
      </c>
      <c r="T22" s="784">
        <v>1974078</v>
      </c>
      <c r="U22" s="783">
        <v>1888769</v>
      </c>
      <c r="V22" s="783">
        <v>1667397</v>
      </c>
      <c r="W22" s="797">
        <v>2540908</v>
      </c>
      <c r="X22" s="4"/>
      <c r="Y22" s="4"/>
      <c r="Z22" s="4"/>
    </row>
    <row r="23" spans="1:26" ht="15.75" customHeight="1" x14ac:dyDescent="0.25">
      <c r="A23" s="4"/>
      <c r="B23" s="104" t="s">
        <v>712</v>
      </c>
      <c r="C23" s="783"/>
      <c r="D23" s="783"/>
      <c r="E23" s="783"/>
      <c r="F23" s="783"/>
      <c r="G23" s="783"/>
      <c r="H23" s="783"/>
      <c r="I23" s="783"/>
      <c r="J23" s="783"/>
      <c r="K23" s="783"/>
      <c r="L23" s="783"/>
      <c r="M23" s="783"/>
      <c r="N23" s="783"/>
      <c r="O23" s="783"/>
      <c r="P23" s="783"/>
      <c r="Q23" s="783"/>
      <c r="R23" s="783"/>
      <c r="S23" s="783"/>
      <c r="T23" s="784"/>
      <c r="U23" s="783"/>
      <c r="V23" s="783">
        <v>1494</v>
      </c>
      <c r="W23" s="797">
        <v>319254</v>
      </c>
      <c r="X23" s="4"/>
      <c r="Y23" s="4"/>
      <c r="Z23" s="4"/>
    </row>
    <row r="24" spans="1:26" ht="15.75" customHeight="1" x14ac:dyDescent="0.25">
      <c r="A24" s="4"/>
      <c r="B24" s="104" t="s">
        <v>713</v>
      </c>
      <c r="C24" s="783"/>
      <c r="D24" s="783"/>
      <c r="E24" s="783"/>
      <c r="F24" s="783"/>
      <c r="G24" s="783"/>
      <c r="H24" s="783"/>
      <c r="I24" s="783"/>
      <c r="J24" s="783"/>
      <c r="K24" s="783"/>
      <c r="L24" s="783"/>
      <c r="M24" s="783"/>
      <c r="N24" s="783"/>
      <c r="O24" s="783"/>
      <c r="P24" s="783"/>
      <c r="Q24" s="783"/>
      <c r="R24" s="783"/>
      <c r="S24" s="783"/>
      <c r="T24" s="784"/>
      <c r="U24" s="783"/>
      <c r="V24" s="783">
        <v>80</v>
      </c>
      <c r="W24" s="797">
        <v>2070</v>
      </c>
      <c r="X24" s="4"/>
      <c r="Y24" s="4"/>
      <c r="Z24" s="4"/>
    </row>
    <row r="25" spans="1:26" ht="15.75" customHeight="1" x14ac:dyDescent="0.25">
      <c r="A25" s="4"/>
      <c r="B25" s="104" t="s">
        <v>714</v>
      </c>
      <c r="C25" s="783">
        <v>160602</v>
      </c>
      <c r="D25" s="783">
        <v>174801</v>
      </c>
      <c r="E25" s="783">
        <v>175122</v>
      </c>
      <c r="F25" s="783">
        <v>168822</v>
      </c>
      <c r="G25" s="783">
        <v>175144</v>
      </c>
      <c r="H25" s="783">
        <v>167554</v>
      </c>
      <c r="I25" s="783">
        <v>155906</v>
      </c>
      <c r="J25" s="783">
        <v>155647</v>
      </c>
      <c r="K25" s="783">
        <v>171088</v>
      </c>
      <c r="L25" s="783">
        <v>179580</v>
      </c>
      <c r="M25" s="783">
        <v>11939</v>
      </c>
      <c r="N25" s="783">
        <v>182904</v>
      </c>
      <c r="O25" s="783">
        <v>225240</v>
      </c>
      <c r="P25" s="783">
        <v>192384</v>
      </c>
      <c r="Q25" s="783">
        <v>205985</v>
      </c>
      <c r="R25" s="783">
        <v>218066</v>
      </c>
      <c r="S25" s="783">
        <v>203097</v>
      </c>
      <c r="T25" s="784">
        <v>197704</v>
      </c>
      <c r="U25" s="783">
        <v>175058</v>
      </c>
      <c r="V25" s="783">
        <v>164688</v>
      </c>
      <c r="W25" s="797">
        <v>167437</v>
      </c>
      <c r="X25" s="4"/>
      <c r="Y25" s="4"/>
      <c r="Z25" s="4"/>
    </row>
    <row r="26" spans="1:26" ht="15.75" customHeight="1" x14ac:dyDescent="0.25">
      <c r="A26" s="4"/>
      <c r="B26" s="104" t="s">
        <v>715</v>
      </c>
      <c r="C26" s="783">
        <v>336551</v>
      </c>
      <c r="D26" s="783">
        <v>329854</v>
      </c>
      <c r="E26" s="783">
        <v>303818</v>
      </c>
      <c r="F26" s="783">
        <v>352064</v>
      </c>
      <c r="G26" s="783">
        <v>501192</v>
      </c>
      <c r="H26" s="783">
        <v>565838</v>
      </c>
      <c r="I26" s="783">
        <v>587592</v>
      </c>
      <c r="J26" s="783">
        <v>605046</v>
      </c>
      <c r="K26" s="783">
        <v>614474</v>
      </c>
      <c r="L26" s="783">
        <v>638830</v>
      </c>
      <c r="M26" s="783">
        <v>361076</v>
      </c>
      <c r="N26" s="783">
        <v>338727</v>
      </c>
      <c r="O26" s="783">
        <v>370811</v>
      </c>
      <c r="P26" s="783">
        <v>396824</v>
      </c>
      <c r="Q26" s="783">
        <v>417380</v>
      </c>
      <c r="R26" s="783">
        <v>408095</v>
      </c>
      <c r="S26" s="783">
        <v>400364</v>
      </c>
      <c r="T26" s="784">
        <v>414781</v>
      </c>
      <c r="U26" s="783">
        <v>375721</v>
      </c>
      <c r="V26" s="783">
        <v>407402</v>
      </c>
      <c r="W26" s="797">
        <v>420114</v>
      </c>
      <c r="X26" s="4"/>
      <c r="Y26" s="4"/>
      <c r="Z26" s="4"/>
    </row>
    <row r="27" spans="1:26" ht="15.75" customHeight="1" x14ac:dyDescent="0.25">
      <c r="A27" s="4"/>
      <c r="B27" s="798" t="s">
        <v>716</v>
      </c>
      <c r="C27" s="799"/>
      <c r="D27" s="799"/>
      <c r="E27" s="799"/>
      <c r="F27" s="799"/>
      <c r="G27" s="799"/>
      <c r="H27" s="799"/>
      <c r="I27" s="799"/>
      <c r="J27" s="799"/>
      <c r="K27" s="799"/>
      <c r="L27" s="799"/>
      <c r="M27" s="800">
        <v>247700</v>
      </c>
      <c r="N27" s="800">
        <v>255034</v>
      </c>
      <c r="O27" s="800">
        <v>278224</v>
      </c>
      <c r="P27" s="800">
        <v>288616</v>
      </c>
      <c r="Q27" s="800">
        <v>293561</v>
      </c>
      <c r="R27" s="800">
        <v>304635</v>
      </c>
      <c r="S27" s="800">
        <v>286550</v>
      </c>
      <c r="T27" s="801">
        <v>285645</v>
      </c>
      <c r="U27" s="783">
        <v>255893</v>
      </c>
      <c r="V27" s="783">
        <v>269907</v>
      </c>
      <c r="W27" s="797">
        <v>267727</v>
      </c>
      <c r="X27" s="4"/>
      <c r="Y27" s="4"/>
      <c r="Z27" s="4"/>
    </row>
    <row r="28" spans="1:26" ht="15.75" customHeight="1" x14ac:dyDescent="0.25">
      <c r="A28" s="4"/>
      <c r="B28" s="802" t="s">
        <v>222</v>
      </c>
      <c r="C28" s="803">
        <v>39850884</v>
      </c>
      <c r="D28" s="803">
        <v>41177359</v>
      </c>
      <c r="E28" s="803">
        <v>44977888</v>
      </c>
      <c r="F28" s="803">
        <v>45339618</v>
      </c>
      <c r="G28" s="803">
        <v>46365643</v>
      </c>
      <c r="H28" s="803">
        <v>46274617</v>
      </c>
      <c r="I28" s="804">
        <v>46707396</v>
      </c>
      <c r="J28" s="803">
        <v>50653017</v>
      </c>
      <c r="K28" s="803">
        <v>51685621</v>
      </c>
      <c r="L28" s="803">
        <v>51145380</v>
      </c>
      <c r="M28" s="803">
        <v>49062340</v>
      </c>
      <c r="N28" s="803">
        <v>48279088</v>
      </c>
      <c r="O28" s="803">
        <v>52244237</v>
      </c>
      <c r="P28" s="803">
        <v>52052770</v>
      </c>
      <c r="Q28" s="803">
        <v>52661600</v>
      </c>
      <c r="R28" s="803">
        <v>48956880</v>
      </c>
      <c r="S28" s="803">
        <v>50197924</v>
      </c>
      <c r="T28" s="805">
        <v>47360953</v>
      </c>
      <c r="U28" s="806">
        <f>SUM(U17:U27)</f>
        <v>43774832</v>
      </c>
      <c r="V28" s="807">
        <v>43607266</v>
      </c>
      <c r="W28" s="808">
        <f>SUM(W17:W27)</f>
        <v>41913287</v>
      </c>
      <c r="X28" s="4"/>
      <c r="Y28" s="4"/>
      <c r="Z28" s="4"/>
    </row>
    <row r="29" spans="1:26" ht="15.75" customHeight="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5">
      <c r="A30" s="4"/>
      <c r="B30" s="4"/>
      <c r="C30" s="772" t="s">
        <v>717</v>
      </c>
      <c r="D30" s="773"/>
      <c r="E30" s="773"/>
      <c r="F30" s="773"/>
      <c r="G30" s="774"/>
      <c r="H30" s="265"/>
      <c r="I30" s="265"/>
      <c r="J30" s="4"/>
      <c r="K30" s="4"/>
      <c r="L30" s="4"/>
      <c r="M30" s="4"/>
      <c r="N30" s="4"/>
      <c r="O30" s="4"/>
      <c r="P30" s="4"/>
      <c r="Q30" s="4"/>
      <c r="R30" s="4"/>
      <c r="S30" s="4"/>
      <c r="T30" s="4"/>
      <c r="U30" s="4"/>
      <c r="V30" s="809"/>
      <c r="W30" s="4"/>
      <c r="X30" s="4"/>
      <c r="Y30" s="4"/>
      <c r="Z30" s="4"/>
    </row>
    <row r="31" spans="1:26" ht="15.75" customHeight="1" x14ac:dyDescent="0.25">
      <c r="A31" s="4"/>
      <c r="B31" s="4"/>
      <c r="C31" s="810"/>
      <c r="D31" s="265"/>
      <c r="E31" s="265"/>
      <c r="F31" s="265"/>
      <c r="G31" s="265"/>
      <c r="H31" s="265"/>
      <c r="I31" s="265"/>
      <c r="J31" s="4"/>
      <c r="K31" s="4"/>
      <c r="L31" s="4"/>
      <c r="M31" s="4"/>
      <c r="N31" s="4"/>
      <c r="O31" s="4"/>
      <c r="P31" s="4"/>
      <c r="Q31" s="4"/>
      <c r="R31" s="4"/>
      <c r="S31" s="4"/>
      <c r="T31" s="4"/>
      <c r="U31" s="4"/>
      <c r="V31" s="4"/>
      <c r="W31" s="4"/>
      <c r="X31" s="4"/>
      <c r="Y31" s="4"/>
      <c r="Z31" s="4"/>
    </row>
    <row r="32" spans="1:26" ht="15.75" customHeight="1" x14ac:dyDescent="0.25">
      <c r="A32" s="4"/>
      <c r="B32" s="811"/>
      <c r="C32" s="775">
        <v>1991</v>
      </c>
      <c r="D32" s="775">
        <v>1992</v>
      </c>
      <c r="E32" s="775">
        <v>1993</v>
      </c>
      <c r="F32" s="775">
        <v>1994</v>
      </c>
      <c r="G32" s="775">
        <v>1995</v>
      </c>
      <c r="H32" s="775">
        <v>1996</v>
      </c>
      <c r="I32" s="775">
        <v>1997</v>
      </c>
      <c r="J32" s="775">
        <v>1998</v>
      </c>
      <c r="K32" s="776">
        <v>1999</v>
      </c>
      <c r="L32" s="777">
        <v>2000</v>
      </c>
      <c r="M32" s="777">
        <v>2001</v>
      </c>
      <c r="N32" s="777">
        <v>2002</v>
      </c>
      <c r="O32" s="777">
        <v>2003</v>
      </c>
      <c r="P32" s="777">
        <v>2004</v>
      </c>
      <c r="Q32" s="777">
        <v>2005</v>
      </c>
      <c r="R32" s="777">
        <v>2006</v>
      </c>
      <c r="S32" s="777">
        <v>2007</v>
      </c>
      <c r="T32" s="812">
        <v>2008</v>
      </c>
      <c r="U32" s="775">
        <v>2009</v>
      </c>
      <c r="V32" s="775">
        <v>2010</v>
      </c>
      <c r="W32" s="778">
        <v>2011</v>
      </c>
      <c r="X32" s="4"/>
      <c r="Y32" s="4"/>
      <c r="Z32" s="4"/>
    </row>
    <row r="33" spans="1:26" ht="15.75" customHeight="1" x14ac:dyDescent="0.25">
      <c r="A33" s="4"/>
      <c r="B33" s="813" t="s">
        <v>718</v>
      </c>
      <c r="C33" s="814">
        <f t="shared" ref="C33:W33" si="0">C28*0.0625</f>
        <v>2490680.25</v>
      </c>
      <c r="D33" s="814">
        <f t="shared" si="0"/>
        <v>2573584.9375</v>
      </c>
      <c r="E33" s="814">
        <f t="shared" si="0"/>
        <v>2811118</v>
      </c>
      <c r="F33" s="814">
        <f t="shared" si="0"/>
        <v>2833726.125</v>
      </c>
      <c r="G33" s="814">
        <f t="shared" si="0"/>
        <v>2897852.6875</v>
      </c>
      <c r="H33" s="814">
        <f t="shared" si="0"/>
        <v>2892163.5625</v>
      </c>
      <c r="I33" s="814">
        <f t="shared" si="0"/>
        <v>2919212.25</v>
      </c>
      <c r="J33" s="814">
        <f t="shared" si="0"/>
        <v>3165813.5625</v>
      </c>
      <c r="K33" s="814">
        <f t="shared" si="0"/>
        <v>3230351.3125</v>
      </c>
      <c r="L33" s="814">
        <f t="shared" si="0"/>
        <v>3196586.25</v>
      </c>
      <c r="M33" s="814">
        <f t="shared" si="0"/>
        <v>3066396.25</v>
      </c>
      <c r="N33" s="814">
        <f t="shared" si="0"/>
        <v>3017443</v>
      </c>
      <c r="O33" s="814">
        <f t="shared" si="0"/>
        <v>3265264.8125</v>
      </c>
      <c r="P33" s="814">
        <f t="shared" si="0"/>
        <v>3253298.125</v>
      </c>
      <c r="Q33" s="814">
        <f t="shared" si="0"/>
        <v>3291350</v>
      </c>
      <c r="R33" s="814">
        <f t="shared" si="0"/>
        <v>3059805</v>
      </c>
      <c r="S33" s="814">
        <f t="shared" si="0"/>
        <v>3137370.25</v>
      </c>
      <c r="T33" s="814">
        <f t="shared" si="0"/>
        <v>2960059.5625</v>
      </c>
      <c r="U33" s="814">
        <f t="shared" si="0"/>
        <v>2735927</v>
      </c>
      <c r="V33" s="814">
        <f t="shared" si="0"/>
        <v>2725454.125</v>
      </c>
      <c r="W33" s="814">
        <f t="shared" si="0"/>
        <v>2619580.4375</v>
      </c>
      <c r="X33" s="4"/>
      <c r="Y33" s="4"/>
      <c r="Z33" s="4"/>
    </row>
    <row r="34" spans="1:26" ht="15.75" customHeight="1" x14ac:dyDescent="0.25">
      <c r="A34" s="4"/>
      <c r="B34" s="4"/>
      <c r="C34" s="810"/>
      <c r="D34" s="265"/>
      <c r="E34" s="265"/>
      <c r="F34" s="265"/>
      <c r="G34" s="265"/>
      <c r="H34" s="265"/>
      <c r="I34" s="265"/>
      <c r="J34" s="4"/>
      <c r="K34" s="4"/>
      <c r="L34" s="4"/>
      <c r="M34" s="4"/>
      <c r="N34" s="4"/>
      <c r="O34" s="4"/>
      <c r="P34" s="4"/>
      <c r="Q34" s="4"/>
      <c r="R34" s="4"/>
      <c r="S34" s="4"/>
      <c r="T34" s="4"/>
      <c r="U34" s="4"/>
      <c r="V34" s="4"/>
      <c r="W34" s="4"/>
      <c r="X34" s="4"/>
      <c r="Y34" s="4"/>
      <c r="Z34" s="4"/>
    </row>
    <row r="35" spans="1:26"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5">
      <c r="A36" s="4"/>
      <c r="B36" s="4"/>
      <c r="C36" s="772" t="s">
        <v>719</v>
      </c>
      <c r="D36" s="815"/>
      <c r="E36" s="815"/>
      <c r="F36" s="815"/>
      <c r="G36" s="815"/>
      <c r="H36" s="796"/>
      <c r="I36" s="4"/>
      <c r="J36" s="4"/>
      <c r="K36" s="4"/>
      <c r="L36" s="4"/>
      <c r="M36" s="4"/>
      <c r="N36" s="4"/>
      <c r="O36" s="4"/>
      <c r="P36" s="4"/>
      <c r="Q36" s="4"/>
      <c r="R36" s="4"/>
      <c r="S36" s="4"/>
      <c r="T36" s="4"/>
      <c r="U36" s="4"/>
      <c r="V36" s="4"/>
      <c r="W36" s="4"/>
      <c r="X36" s="4"/>
      <c r="Y36" s="4"/>
      <c r="Z36" s="4"/>
    </row>
    <row r="37" spans="1:26" ht="15.75" customHeight="1" x14ac:dyDescent="0.25">
      <c r="A37" s="4"/>
      <c r="B37" s="4"/>
      <c r="C37" s="1"/>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99"/>
      <c r="C39" s="775">
        <v>1991</v>
      </c>
      <c r="D39" s="775">
        <v>1992</v>
      </c>
      <c r="E39" s="775">
        <v>1993</v>
      </c>
      <c r="F39" s="775">
        <v>1994</v>
      </c>
      <c r="G39" s="775">
        <v>1995</v>
      </c>
      <c r="H39" s="775">
        <v>1996</v>
      </c>
      <c r="I39" s="775">
        <v>1997</v>
      </c>
      <c r="J39" s="775">
        <v>1998</v>
      </c>
      <c r="K39" s="776">
        <v>1999</v>
      </c>
      <c r="L39" s="777">
        <v>2000</v>
      </c>
      <c r="M39" s="777">
        <v>2001</v>
      </c>
      <c r="N39" s="777">
        <v>2002</v>
      </c>
      <c r="O39" s="777">
        <v>2003</v>
      </c>
      <c r="P39" s="777">
        <v>2004</v>
      </c>
      <c r="Q39" s="777">
        <v>2005</v>
      </c>
      <c r="R39" s="777">
        <v>2006</v>
      </c>
      <c r="S39" s="777">
        <v>2007</v>
      </c>
      <c r="T39" s="812">
        <v>2008</v>
      </c>
      <c r="U39" s="775">
        <v>2009</v>
      </c>
      <c r="V39" s="775">
        <v>2010</v>
      </c>
      <c r="W39" s="778">
        <v>2011</v>
      </c>
      <c r="X39" s="4"/>
      <c r="Y39" s="4"/>
      <c r="Z39" s="4"/>
    </row>
    <row r="40" spans="1:26" ht="15.75" customHeight="1" x14ac:dyDescent="0.25">
      <c r="A40" s="4"/>
      <c r="B40" s="816" t="s">
        <v>720</v>
      </c>
      <c r="C40" s="817">
        <f t="shared" ref="C40:W40" si="1">C28-C33</f>
        <v>37360203.75</v>
      </c>
      <c r="D40" s="817">
        <f t="shared" si="1"/>
        <v>38603774.0625</v>
      </c>
      <c r="E40" s="817">
        <f t="shared" si="1"/>
        <v>42166770</v>
      </c>
      <c r="F40" s="817">
        <f t="shared" si="1"/>
        <v>42505891.875</v>
      </c>
      <c r="G40" s="817">
        <f t="shared" si="1"/>
        <v>43467790.3125</v>
      </c>
      <c r="H40" s="817">
        <f t="shared" si="1"/>
        <v>43382453.4375</v>
      </c>
      <c r="I40" s="817">
        <f t="shared" si="1"/>
        <v>43788183.75</v>
      </c>
      <c r="J40" s="817">
        <f t="shared" si="1"/>
        <v>47487203.4375</v>
      </c>
      <c r="K40" s="817">
        <f t="shared" si="1"/>
        <v>48455269.6875</v>
      </c>
      <c r="L40" s="817">
        <f t="shared" si="1"/>
        <v>47948793.75</v>
      </c>
      <c r="M40" s="817">
        <f t="shared" si="1"/>
        <v>45995943.75</v>
      </c>
      <c r="N40" s="817">
        <f t="shared" si="1"/>
        <v>45261645</v>
      </c>
      <c r="O40" s="817">
        <f t="shared" si="1"/>
        <v>48978972.1875</v>
      </c>
      <c r="P40" s="817">
        <f t="shared" si="1"/>
        <v>48799471.875</v>
      </c>
      <c r="Q40" s="817">
        <f t="shared" si="1"/>
        <v>49370250</v>
      </c>
      <c r="R40" s="817">
        <f t="shared" si="1"/>
        <v>45897075</v>
      </c>
      <c r="S40" s="817">
        <f t="shared" si="1"/>
        <v>47060553.75</v>
      </c>
      <c r="T40" s="817">
        <f t="shared" si="1"/>
        <v>44400893.4375</v>
      </c>
      <c r="U40" s="817">
        <f t="shared" si="1"/>
        <v>41038905</v>
      </c>
      <c r="V40" s="817">
        <f t="shared" si="1"/>
        <v>40881811.875</v>
      </c>
      <c r="W40" s="817">
        <f t="shared" si="1"/>
        <v>39293706.5625</v>
      </c>
      <c r="X40" s="4"/>
      <c r="Y40" s="4"/>
      <c r="Z40" s="4"/>
    </row>
    <row r="41" spans="1:26"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65"/>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772" t="s">
        <v>721</v>
      </c>
      <c r="D43" s="815"/>
      <c r="E43" s="818"/>
      <c r="F43" s="819"/>
      <c r="G43" s="819"/>
      <c r="H43" s="819"/>
      <c r="I43" s="819"/>
      <c r="J43" s="4"/>
      <c r="K43" s="4"/>
      <c r="L43" s="4"/>
      <c r="M43" s="4"/>
      <c r="N43" s="4"/>
      <c r="O43" s="4"/>
      <c r="P43" s="4"/>
      <c r="Q43" s="4"/>
      <c r="R43" s="4"/>
      <c r="S43" s="4"/>
      <c r="T43" s="4"/>
      <c r="U43" s="4"/>
      <c r="V43" s="4"/>
      <c r="W43" s="4"/>
      <c r="X43" s="4"/>
      <c r="Y43" s="4"/>
      <c r="Z43" s="4"/>
    </row>
    <row r="44" spans="1:26"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99"/>
      <c r="C45" s="775">
        <v>1991</v>
      </c>
      <c r="D45" s="775">
        <v>1992</v>
      </c>
      <c r="E45" s="775">
        <v>1993</v>
      </c>
      <c r="F45" s="775">
        <v>1994</v>
      </c>
      <c r="G45" s="775">
        <v>1995</v>
      </c>
      <c r="H45" s="775">
        <v>1996</v>
      </c>
      <c r="I45" s="775">
        <v>1997</v>
      </c>
      <c r="J45" s="775">
        <v>1998</v>
      </c>
      <c r="K45" s="775">
        <v>1999</v>
      </c>
      <c r="L45" s="775">
        <v>2000</v>
      </c>
      <c r="M45" s="775">
        <v>2001</v>
      </c>
      <c r="N45" s="775">
        <v>2002</v>
      </c>
      <c r="O45" s="775">
        <v>2003</v>
      </c>
      <c r="P45" s="775">
        <v>2004</v>
      </c>
      <c r="Q45" s="775">
        <v>2005</v>
      </c>
      <c r="R45" s="775">
        <v>2006</v>
      </c>
      <c r="S45" s="775">
        <v>2007</v>
      </c>
      <c r="T45" s="776">
        <v>2008</v>
      </c>
      <c r="U45" s="775">
        <v>2009</v>
      </c>
      <c r="V45" s="775">
        <v>2010</v>
      </c>
      <c r="W45" s="778">
        <v>2011</v>
      </c>
      <c r="X45" s="4"/>
      <c r="Y45" s="4"/>
      <c r="Z45" s="4"/>
    </row>
    <row r="46" spans="1:26" ht="15.75" customHeight="1" x14ac:dyDescent="0.25">
      <c r="A46" s="4"/>
      <c r="B46" s="104" t="s">
        <v>722</v>
      </c>
      <c r="C46" s="232">
        <v>20295448</v>
      </c>
      <c r="D46" s="820">
        <v>19762032</v>
      </c>
      <c r="E46" s="820">
        <v>21546122</v>
      </c>
      <c r="F46" s="820">
        <v>21666119</v>
      </c>
      <c r="G46" s="820">
        <v>22233807</v>
      </c>
      <c r="H46" s="820">
        <v>22985772</v>
      </c>
      <c r="I46" s="820">
        <v>21936662</v>
      </c>
      <c r="J46" s="820">
        <v>22406855</v>
      </c>
      <c r="K46" s="820">
        <v>23342423</v>
      </c>
      <c r="L46" s="232">
        <v>24294096</v>
      </c>
      <c r="M46" s="232">
        <v>25489053</v>
      </c>
      <c r="N46" s="232">
        <v>26671274</v>
      </c>
      <c r="O46" s="232">
        <v>27951978</v>
      </c>
      <c r="P46" s="232">
        <v>28439645</v>
      </c>
      <c r="Q46" s="232">
        <v>26905386</v>
      </c>
      <c r="R46" s="232">
        <v>28194802</v>
      </c>
      <c r="S46" s="783">
        <v>27144255</v>
      </c>
      <c r="T46" s="784">
        <v>26839241</v>
      </c>
      <c r="U46" s="232">
        <v>26944566</v>
      </c>
      <c r="V46" s="232">
        <v>28934074</v>
      </c>
      <c r="W46" s="787">
        <v>27296000</v>
      </c>
      <c r="X46" s="4"/>
      <c r="Y46" s="4"/>
      <c r="Z46" s="4"/>
    </row>
    <row r="47" spans="1:26" ht="15.75" customHeight="1" x14ac:dyDescent="0.25">
      <c r="A47" s="4"/>
      <c r="B47" s="104" t="s">
        <v>723</v>
      </c>
      <c r="C47" s="232">
        <v>10667414</v>
      </c>
      <c r="D47" s="232">
        <v>10769686</v>
      </c>
      <c r="E47" s="232">
        <v>11316964</v>
      </c>
      <c r="F47" s="232">
        <v>13253588</v>
      </c>
      <c r="G47" s="232">
        <v>23096405</v>
      </c>
      <c r="H47" s="232">
        <v>23126094</v>
      </c>
      <c r="I47" s="232">
        <v>23418552</v>
      </c>
      <c r="J47" s="232">
        <v>24284167</v>
      </c>
      <c r="K47" s="232">
        <v>24988489</v>
      </c>
      <c r="L47" s="232">
        <v>26243614</v>
      </c>
      <c r="M47" s="232">
        <v>21044289</v>
      </c>
      <c r="N47" s="232">
        <v>16950347</v>
      </c>
      <c r="O47" s="232">
        <v>17264135</v>
      </c>
      <c r="P47" s="232">
        <v>17931771</v>
      </c>
      <c r="Q47" s="232">
        <v>29729030</v>
      </c>
      <c r="R47" s="232">
        <v>30691159</v>
      </c>
      <c r="S47" s="783">
        <v>30002993</v>
      </c>
      <c r="T47" s="784">
        <v>29755144</v>
      </c>
      <c r="U47" s="232">
        <v>29806001</v>
      </c>
      <c r="V47" s="232">
        <v>30771317</v>
      </c>
      <c r="W47" s="787">
        <v>30750000</v>
      </c>
      <c r="X47" s="4"/>
      <c r="Y47" s="4"/>
      <c r="Z47" s="4"/>
    </row>
    <row r="48" spans="1:26" ht="15.75" customHeight="1" x14ac:dyDescent="0.25">
      <c r="A48" s="4"/>
      <c r="B48" s="104" t="s">
        <v>724</v>
      </c>
      <c r="C48" s="232">
        <v>19448114</v>
      </c>
      <c r="D48" s="232">
        <v>19768026</v>
      </c>
      <c r="E48" s="232">
        <v>20200630</v>
      </c>
      <c r="F48" s="232">
        <v>19037490</v>
      </c>
      <c r="G48" s="232">
        <v>10057219</v>
      </c>
      <c r="H48" s="232">
        <v>10098447</v>
      </c>
      <c r="I48" s="232">
        <v>10127852</v>
      </c>
      <c r="J48" s="232">
        <v>10343675</v>
      </c>
      <c r="K48" s="232">
        <v>9936115</v>
      </c>
      <c r="L48" s="232">
        <v>10176724</v>
      </c>
      <c r="M48" s="232">
        <v>20874507</v>
      </c>
      <c r="N48" s="232">
        <v>27175526</v>
      </c>
      <c r="O48" s="232">
        <v>21194572</v>
      </c>
      <c r="P48" s="232">
        <v>21516638</v>
      </c>
      <c r="Q48" s="232">
        <v>6057030</v>
      </c>
      <c r="R48" s="232">
        <v>5980358</v>
      </c>
      <c r="S48" s="783">
        <v>5649943</v>
      </c>
      <c r="T48" s="784">
        <v>5255976</v>
      </c>
      <c r="U48" s="232">
        <v>5285833</v>
      </c>
      <c r="V48" s="232">
        <v>5083115</v>
      </c>
      <c r="W48" s="787">
        <v>5007000</v>
      </c>
      <c r="X48" s="4"/>
      <c r="Y48" s="4"/>
      <c r="Z48" s="4"/>
    </row>
    <row r="49" spans="1:26" ht="15.75" customHeight="1" x14ac:dyDescent="0.25">
      <c r="A49" s="4"/>
      <c r="B49" s="104" t="s">
        <v>725</v>
      </c>
      <c r="C49" s="232">
        <v>0</v>
      </c>
      <c r="D49" s="232">
        <v>0</v>
      </c>
      <c r="E49" s="232">
        <v>0</v>
      </c>
      <c r="F49" s="232">
        <v>0</v>
      </c>
      <c r="G49" s="232">
        <v>0</v>
      </c>
      <c r="H49" s="232">
        <v>0</v>
      </c>
      <c r="I49" s="232">
        <v>0</v>
      </c>
      <c r="J49" s="232">
        <v>0</v>
      </c>
      <c r="K49" s="232">
        <v>0</v>
      </c>
      <c r="L49" s="232">
        <v>0</v>
      </c>
      <c r="M49" s="232">
        <v>0</v>
      </c>
      <c r="N49" s="232">
        <v>461436</v>
      </c>
      <c r="O49" s="232">
        <v>481015</v>
      </c>
      <c r="P49" s="232">
        <v>477331</v>
      </c>
      <c r="Q49" s="232">
        <v>481697</v>
      </c>
      <c r="R49" s="232">
        <v>524341</v>
      </c>
      <c r="S49" s="783">
        <v>528586</v>
      </c>
      <c r="T49" s="784">
        <v>552743</v>
      </c>
      <c r="U49" s="652">
        <v>552743</v>
      </c>
      <c r="V49" s="232">
        <v>546992</v>
      </c>
      <c r="W49" s="787">
        <v>547000</v>
      </c>
      <c r="X49" s="4"/>
      <c r="Y49" s="4"/>
      <c r="Z49" s="4"/>
    </row>
    <row r="50" spans="1:26" ht="15.75" customHeight="1" x14ac:dyDescent="0.25">
      <c r="A50" s="4"/>
      <c r="B50" s="798" t="s">
        <v>726</v>
      </c>
      <c r="C50" s="821">
        <v>696831</v>
      </c>
      <c r="D50" s="821">
        <v>689042</v>
      </c>
      <c r="E50" s="821">
        <v>808686</v>
      </c>
      <c r="F50" s="821">
        <v>794428</v>
      </c>
      <c r="G50" s="821">
        <v>770615</v>
      </c>
      <c r="H50" s="821">
        <v>787207</v>
      </c>
      <c r="I50" s="821">
        <v>781420</v>
      </c>
      <c r="J50" s="821">
        <v>798935</v>
      </c>
      <c r="K50" s="821">
        <v>819198</v>
      </c>
      <c r="L50" s="821">
        <v>925586</v>
      </c>
      <c r="M50" s="821">
        <v>972057</v>
      </c>
      <c r="N50" s="821">
        <v>0</v>
      </c>
      <c r="O50" s="821">
        <v>0</v>
      </c>
      <c r="P50" s="821">
        <v>0</v>
      </c>
      <c r="Q50" s="821">
        <v>0</v>
      </c>
      <c r="R50" s="821">
        <v>0</v>
      </c>
      <c r="S50" s="800">
        <v>0</v>
      </c>
      <c r="T50" s="801">
        <v>0</v>
      </c>
      <c r="U50" s="652">
        <v>0</v>
      </c>
      <c r="V50" s="652">
        <v>0</v>
      </c>
      <c r="W50" s="787">
        <v>0</v>
      </c>
      <c r="X50" s="4"/>
      <c r="Y50" s="4"/>
      <c r="Z50" s="4"/>
    </row>
    <row r="51" spans="1:26" ht="15.75" customHeight="1" x14ac:dyDescent="0.25">
      <c r="A51" s="4"/>
      <c r="B51" s="822" t="s">
        <v>727</v>
      </c>
      <c r="C51" s="823">
        <v>51107809</v>
      </c>
      <c r="D51" s="824">
        <v>50988788</v>
      </c>
      <c r="E51" s="824">
        <v>53872404</v>
      </c>
      <c r="F51" s="824">
        <v>54751623</v>
      </c>
      <c r="G51" s="824">
        <v>56158046</v>
      </c>
      <c r="H51" s="824">
        <v>56997520</v>
      </c>
      <c r="I51" s="824">
        <v>56264486</v>
      </c>
      <c r="J51" s="824">
        <v>57833638</v>
      </c>
      <c r="K51" s="824">
        <v>59086225</v>
      </c>
      <c r="L51" s="823">
        <v>60677801</v>
      </c>
      <c r="M51" s="823">
        <v>61640020</v>
      </c>
      <c r="N51" s="823">
        <v>68379906</v>
      </c>
      <c r="O51" s="823">
        <v>71258583</v>
      </c>
      <c r="P51" s="823">
        <v>66891700</v>
      </c>
      <c r="Q51" s="823">
        <v>68365385</v>
      </c>
      <c r="R51" s="823">
        <v>63173143</v>
      </c>
      <c r="S51" s="825">
        <v>65390660</v>
      </c>
      <c r="T51" s="826">
        <v>63325777</v>
      </c>
      <c r="U51" s="827">
        <f t="shared" ref="U51:V51" si="2">SUM(U46:U50)</f>
        <v>62589143</v>
      </c>
      <c r="V51" s="827">
        <f t="shared" si="2"/>
        <v>65335498</v>
      </c>
      <c r="W51" s="828">
        <v>63600000</v>
      </c>
      <c r="X51" s="4"/>
      <c r="Y51" s="4"/>
      <c r="Z51" s="4"/>
    </row>
    <row r="52" spans="1:26" ht="15.75" customHeight="1" x14ac:dyDescent="0.25">
      <c r="A52" s="4"/>
      <c r="B52" s="829" t="s">
        <v>728</v>
      </c>
      <c r="C52" s="830">
        <f t="shared" ref="C52:W52" si="3">C51*1.0625</f>
        <v>54302047.0625</v>
      </c>
      <c r="D52" s="830">
        <f t="shared" si="3"/>
        <v>54175587.25</v>
      </c>
      <c r="E52" s="830">
        <f t="shared" si="3"/>
        <v>57239429.25</v>
      </c>
      <c r="F52" s="830">
        <f t="shared" si="3"/>
        <v>58173599.4375</v>
      </c>
      <c r="G52" s="830">
        <f t="shared" si="3"/>
        <v>59667923.875</v>
      </c>
      <c r="H52" s="830">
        <f t="shared" si="3"/>
        <v>60559865</v>
      </c>
      <c r="I52" s="830">
        <f t="shared" si="3"/>
        <v>59781016.375</v>
      </c>
      <c r="J52" s="830">
        <f t="shared" si="3"/>
        <v>61448240.375</v>
      </c>
      <c r="K52" s="830">
        <f t="shared" si="3"/>
        <v>62779114.0625</v>
      </c>
      <c r="L52" s="830">
        <f t="shared" si="3"/>
        <v>64470163.5625</v>
      </c>
      <c r="M52" s="830">
        <f t="shared" si="3"/>
        <v>65492521.25</v>
      </c>
      <c r="N52" s="830">
        <f t="shared" si="3"/>
        <v>72653650.125</v>
      </c>
      <c r="O52" s="830">
        <f t="shared" si="3"/>
        <v>75712244.4375</v>
      </c>
      <c r="P52" s="830">
        <f t="shared" si="3"/>
        <v>71072431.25</v>
      </c>
      <c r="Q52" s="830">
        <f t="shared" si="3"/>
        <v>72638221.5625</v>
      </c>
      <c r="R52" s="830">
        <f t="shared" si="3"/>
        <v>67121464.4375</v>
      </c>
      <c r="S52" s="830">
        <f t="shared" si="3"/>
        <v>69477576.25</v>
      </c>
      <c r="T52" s="830">
        <f t="shared" si="3"/>
        <v>67283638.0625</v>
      </c>
      <c r="U52" s="830">
        <f t="shared" si="3"/>
        <v>66500964.4375</v>
      </c>
      <c r="V52" s="830">
        <f t="shared" si="3"/>
        <v>69418966.625</v>
      </c>
      <c r="W52" s="831">
        <f t="shared" si="3"/>
        <v>67575000</v>
      </c>
      <c r="X52" s="4"/>
      <c r="Y52" s="4"/>
      <c r="Z52" s="4"/>
    </row>
    <row r="53" spans="1:2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772" t="s">
        <v>729</v>
      </c>
      <c r="D56" s="815"/>
      <c r="E56" s="815"/>
      <c r="F56" s="796"/>
      <c r="G56" s="77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99"/>
      <c r="C58" s="775">
        <v>1991</v>
      </c>
      <c r="D58" s="775">
        <v>1992</v>
      </c>
      <c r="E58" s="775">
        <v>1993</v>
      </c>
      <c r="F58" s="775">
        <v>1994</v>
      </c>
      <c r="G58" s="775">
        <v>1995</v>
      </c>
      <c r="H58" s="775">
        <v>1996</v>
      </c>
      <c r="I58" s="775">
        <v>1997</v>
      </c>
      <c r="J58" s="775">
        <v>1998</v>
      </c>
      <c r="K58" s="775">
        <v>1999</v>
      </c>
      <c r="L58" s="775">
        <v>2000</v>
      </c>
      <c r="M58" s="775">
        <v>2001</v>
      </c>
      <c r="N58" s="775">
        <v>2002</v>
      </c>
      <c r="O58" s="775">
        <v>2003</v>
      </c>
      <c r="P58" s="775">
        <v>2004</v>
      </c>
      <c r="Q58" s="775">
        <v>2005</v>
      </c>
      <c r="R58" s="775">
        <v>2006</v>
      </c>
      <c r="S58" s="775">
        <v>2007</v>
      </c>
      <c r="T58" s="778">
        <v>2008</v>
      </c>
      <c r="U58" s="775">
        <v>2009</v>
      </c>
      <c r="V58" s="775">
        <v>2010</v>
      </c>
      <c r="W58" s="832">
        <v>2011</v>
      </c>
      <c r="X58" s="4"/>
      <c r="Y58" s="4"/>
      <c r="Z58" s="4"/>
    </row>
    <row r="59" spans="1:26" ht="30" customHeight="1" x14ac:dyDescent="0.25">
      <c r="A59" s="4"/>
      <c r="B59" s="833" t="s">
        <v>730</v>
      </c>
      <c r="C59" s="834">
        <f t="shared" ref="C59:W59" si="4">C52-C28</f>
        <v>14451163.0625</v>
      </c>
      <c r="D59" s="834">
        <f t="shared" si="4"/>
        <v>12998228.25</v>
      </c>
      <c r="E59" s="834">
        <f t="shared" si="4"/>
        <v>12261541.25</v>
      </c>
      <c r="F59" s="834">
        <f t="shared" si="4"/>
        <v>12833981.4375</v>
      </c>
      <c r="G59" s="834">
        <f t="shared" si="4"/>
        <v>13302280.875</v>
      </c>
      <c r="H59" s="834">
        <f t="shared" si="4"/>
        <v>14285248</v>
      </c>
      <c r="I59" s="834">
        <f t="shared" si="4"/>
        <v>13073620.375</v>
      </c>
      <c r="J59" s="834">
        <f t="shared" si="4"/>
        <v>10795223.375</v>
      </c>
      <c r="K59" s="834">
        <f t="shared" si="4"/>
        <v>11093493.0625</v>
      </c>
      <c r="L59" s="834">
        <f t="shared" si="4"/>
        <v>13324783.5625</v>
      </c>
      <c r="M59" s="834">
        <f t="shared" si="4"/>
        <v>16430181.25</v>
      </c>
      <c r="N59" s="834">
        <f t="shared" si="4"/>
        <v>24374562.125</v>
      </c>
      <c r="O59" s="834">
        <f t="shared" si="4"/>
        <v>23468007.4375</v>
      </c>
      <c r="P59" s="834">
        <f t="shared" si="4"/>
        <v>19019661.25</v>
      </c>
      <c r="Q59" s="834">
        <f t="shared" si="4"/>
        <v>19976621.5625</v>
      </c>
      <c r="R59" s="834">
        <f t="shared" si="4"/>
        <v>18164584.4375</v>
      </c>
      <c r="S59" s="834">
        <f t="shared" si="4"/>
        <v>19279652.25</v>
      </c>
      <c r="T59" s="834">
        <f t="shared" si="4"/>
        <v>19922685.0625</v>
      </c>
      <c r="U59" s="834">
        <f t="shared" si="4"/>
        <v>22726132.4375</v>
      </c>
      <c r="V59" s="834">
        <f t="shared" si="4"/>
        <v>25811700.625</v>
      </c>
      <c r="W59" s="835">
        <f t="shared" si="4"/>
        <v>25661713</v>
      </c>
      <c r="X59" s="4"/>
      <c r="Y59" s="4"/>
      <c r="Z59" s="4"/>
    </row>
    <row r="60" spans="1:2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98"/>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836" t="s">
        <v>731</v>
      </c>
      <c r="F62" s="752"/>
      <c r="G62" s="752"/>
      <c r="H62" s="4"/>
      <c r="I62" s="4" t="s">
        <v>732</v>
      </c>
      <c r="J62" s="4"/>
      <c r="K62" s="4"/>
      <c r="L62" s="4"/>
      <c r="M62" s="4"/>
      <c r="N62" s="4"/>
      <c r="O62" s="4"/>
      <c r="P62" s="4"/>
      <c r="Q62" s="4"/>
      <c r="R62" s="4"/>
      <c r="S62" s="4"/>
      <c r="T62" s="4"/>
      <c r="U62" s="4"/>
      <c r="V62" s="4"/>
      <c r="W62" s="4"/>
      <c r="X62" s="4"/>
      <c r="Y62" s="4"/>
      <c r="Z62" s="4"/>
    </row>
    <row r="63" spans="1:26" ht="15.75" customHeight="1" x14ac:dyDescent="0.25">
      <c r="A63" s="4"/>
      <c r="B63" s="4"/>
      <c r="C63" s="4"/>
      <c r="D63" s="4"/>
      <c r="E63" s="1"/>
      <c r="F63" s="4"/>
      <c r="G63" s="4"/>
      <c r="H63" s="4"/>
      <c r="I63" s="4" t="s">
        <v>189</v>
      </c>
      <c r="J63" s="4"/>
      <c r="K63" s="4"/>
      <c r="L63" s="4"/>
      <c r="M63" s="4"/>
      <c r="N63" s="4"/>
      <c r="O63" s="4"/>
      <c r="P63" s="4"/>
      <c r="Q63" s="4"/>
      <c r="R63" s="4"/>
      <c r="S63" s="4"/>
      <c r="T63" s="4"/>
      <c r="U63" s="4"/>
      <c r="V63" s="4"/>
      <c r="W63" s="4"/>
      <c r="X63" s="4"/>
      <c r="Y63" s="4"/>
      <c r="Z63" s="4"/>
    </row>
    <row r="64" spans="1:26" ht="15.75" customHeight="1" x14ac:dyDescent="0.25">
      <c r="A64" s="4"/>
      <c r="B64" s="1" t="s">
        <v>733</v>
      </c>
      <c r="C64" s="4"/>
      <c r="D64" s="4"/>
      <c r="E64" s="1"/>
      <c r="F64" s="4"/>
      <c r="G64" s="4"/>
      <c r="H64" s="4"/>
      <c r="I64" s="98">
        <f>(B66*R59)/2000</f>
        <v>10408306.8826875</v>
      </c>
      <c r="J64" s="4"/>
      <c r="K64" s="4"/>
      <c r="L64" s="4"/>
      <c r="M64" s="4"/>
      <c r="N64" s="4"/>
      <c r="O64" s="4"/>
      <c r="P64" s="4"/>
      <c r="Q64" s="4"/>
      <c r="R64" s="4"/>
      <c r="S64" s="4"/>
      <c r="T64" s="4"/>
      <c r="U64" s="4"/>
      <c r="V64" s="4"/>
      <c r="W64" s="4"/>
      <c r="X64" s="4"/>
      <c r="Y64" s="4"/>
      <c r="Z64" s="4"/>
    </row>
    <row r="65" spans="1:26" ht="15.75" customHeight="1" x14ac:dyDescent="0.25">
      <c r="A65" s="4"/>
      <c r="B65" s="4" t="s">
        <v>734</v>
      </c>
      <c r="C65" s="4"/>
      <c r="D65" s="4"/>
      <c r="E65" s="1"/>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837">
        <v>1146</v>
      </c>
      <c r="C66" s="4"/>
      <c r="D66" s="4"/>
      <c r="E66" s="1"/>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838" t="s">
        <v>277</v>
      </c>
      <c r="C68" s="839" t="s">
        <v>219</v>
      </c>
      <c r="D68" s="839" t="s">
        <v>710</v>
      </c>
      <c r="E68" s="839" t="s">
        <v>221</v>
      </c>
      <c r="F68" s="839" t="s">
        <v>424</v>
      </c>
      <c r="G68" s="839" t="s">
        <v>735</v>
      </c>
      <c r="H68" s="839" t="s">
        <v>736</v>
      </c>
      <c r="I68" s="839" t="s">
        <v>712</v>
      </c>
      <c r="J68" s="840" t="s">
        <v>737</v>
      </c>
      <c r="K68" s="841" t="s">
        <v>238</v>
      </c>
      <c r="L68" s="841" t="s">
        <v>738</v>
      </c>
      <c r="M68" s="841" t="s">
        <v>739</v>
      </c>
      <c r="N68" s="842" t="s">
        <v>740</v>
      </c>
      <c r="O68" s="4"/>
      <c r="P68" s="4"/>
      <c r="Q68" s="4"/>
      <c r="R68" s="4"/>
      <c r="S68" s="4"/>
      <c r="T68" s="4"/>
      <c r="U68" s="4"/>
      <c r="V68" s="4"/>
      <c r="W68" s="4"/>
      <c r="X68" s="4"/>
      <c r="Y68" s="4"/>
      <c r="Z68" s="4"/>
    </row>
    <row r="69" spans="1:26" ht="15.75" customHeight="1" x14ac:dyDescent="0.25">
      <c r="A69" s="4"/>
      <c r="B69" s="104"/>
      <c r="C69" s="107"/>
      <c r="D69" s="107"/>
      <c r="E69" s="107"/>
      <c r="F69" s="107"/>
      <c r="G69" s="107"/>
      <c r="H69" s="107"/>
      <c r="I69" s="107"/>
      <c r="J69" s="779"/>
      <c r="K69" s="107"/>
      <c r="L69" s="107"/>
      <c r="M69" s="107"/>
      <c r="N69" s="172"/>
      <c r="O69" s="4"/>
      <c r="P69" s="4"/>
      <c r="Q69" s="4"/>
      <c r="R69" s="4"/>
      <c r="S69" s="4"/>
      <c r="T69" s="4"/>
      <c r="U69" s="4"/>
      <c r="V69" s="4"/>
      <c r="W69" s="4"/>
      <c r="X69" s="4"/>
      <c r="Y69" s="4"/>
      <c r="Z69" s="4"/>
    </row>
    <row r="70" spans="1:26" ht="30" customHeight="1" x14ac:dyDescent="0.25">
      <c r="A70" s="4"/>
      <c r="B70" s="843" t="s">
        <v>741</v>
      </c>
      <c r="C70" s="844">
        <v>47.437899999999999</v>
      </c>
      <c r="D70" s="844">
        <v>34.840200000000003</v>
      </c>
      <c r="E70" s="844">
        <v>13.847899999999999</v>
      </c>
      <c r="F70" s="844">
        <v>0.38390000000000002</v>
      </c>
      <c r="G70" s="844">
        <v>1.0929</v>
      </c>
      <c r="H70" s="844">
        <v>0.53310000000000002</v>
      </c>
      <c r="I70" s="844">
        <v>1.4626999999999999</v>
      </c>
      <c r="J70" s="845">
        <v>0.25669999999999998</v>
      </c>
      <c r="K70" s="105">
        <v>2.0000000000000001E-4</v>
      </c>
      <c r="L70" s="105">
        <v>7.9000000000000008E-3</v>
      </c>
      <c r="M70" s="105">
        <v>0.13650000000000001</v>
      </c>
      <c r="N70" s="846">
        <f>SUM(C70:M70)</f>
        <v>99.999899999999997</v>
      </c>
      <c r="O70" s="4"/>
      <c r="P70" s="4"/>
      <c r="Q70" s="4"/>
      <c r="R70" s="4"/>
      <c r="S70" s="4"/>
      <c r="T70" s="4"/>
      <c r="U70" s="4"/>
      <c r="V70" s="4"/>
      <c r="W70" s="4"/>
      <c r="X70" s="4"/>
      <c r="Y70" s="4"/>
      <c r="Z70" s="4"/>
    </row>
    <row r="71" spans="1:26" ht="15.75" customHeight="1" x14ac:dyDescent="0.25">
      <c r="A71" s="4"/>
      <c r="B71" s="104"/>
      <c r="C71" s="107"/>
      <c r="D71" s="107"/>
      <c r="E71" s="107"/>
      <c r="F71" s="107"/>
      <c r="G71" s="107"/>
      <c r="H71" s="107"/>
      <c r="I71" s="107"/>
      <c r="J71" s="779"/>
      <c r="K71" s="278"/>
      <c r="L71" s="278"/>
      <c r="M71" s="278"/>
      <c r="N71" s="847"/>
      <c r="O71" s="4"/>
      <c r="P71" s="4"/>
      <c r="Q71" s="4"/>
      <c r="R71" s="4"/>
      <c r="S71" s="4"/>
      <c r="T71" s="4"/>
      <c r="U71" s="4"/>
      <c r="V71" s="4"/>
      <c r="W71" s="4"/>
      <c r="X71" s="4"/>
      <c r="Y71" s="4"/>
      <c r="Z71" s="4"/>
    </row>
    <row r="72" spans="1:26" ht="15.75" customHeight="1" x14ac:dyDescent="0.25">
      <c r="A72" s="4"/>
      <c r="B72" s="104" t="s">
        <v>742</v>
      </c>
      <c r="C72" s="232">
        <f t="shared" ref="C72:N72" si="5">(C70/100)*$W$59</f>
        <v>12173377.751227001</v>
      </c>
      <c r="D72" s="232">
        <f t="shared" si="5"/>
        <v>8940592.1326260008</v>
      </c>
      <c r="E72" s="232">
        <f t="shared" si="5"/>
        <v>3553608.3545269999</v>
      </c>
      <c r="F72" s="232">
        <f t="shared" si="5"/>
        <v>98515.316207000011</v>
      </c>
      <c r="G72" s="232">
        <f t="shared" si="5"/>
        <v>280456.86137699999</v>
      </c>
      <c r="H72" s="232">
        <f t="shared" si="5"/>
        <v>136802.592003</v>
      </c>
      <c r="I72" s="232">
        <f t="shared" si="5"/>
        <v>375353.87605099997</v>
      </c>
      <c r="J72" s="232">
        <f t="shared" si="5"/>
        <v>65873.617270999996</v>
      </c>
      <c r="K72" s="232">
        <f t="shared" si="5"/>
        <v>51.323425999999998</v>
      </c>
      <c r="L72" s="232">
        <f t="shared" si="5"/>
        <v>2027.2753270000003</v>
      </c>
      <c r="M72" s="232">
        <f t="shared" si="5"/>
        <v>35028.238245</v>
      </c>
      <c r="N72" s="232">
        <f t="shared" si="5"/>
        <v>25661687.338287</v>
      </c>
      <c r="O72" s="4"/>
      <c r="P72" s="4"/>
      <c r="Q72" s="4"/>
      <c r="R72" s="4"/>
      <c r="S72" s="4"/>
      <c r="T72" s="4"/>
      <c r="U72" s="4"/>
      <c r="V72" s="4"/>
      <c r="W72" s="4"/>
      <c r="X72" s="4"/>
      <c r="Y72" s="4"/>
      <c r="Z72" s="4"/>
    </row>
    <row r="73" spans="1:26" ht="15.75" customHeight="1" x14ac:dyDescent="0.25">
      <c r="A73" s="4"/>
      <c r="B73" s="104"/>
      <c r="C73" s="107"/>
      <c r="D73" s="107"/>
      <c r="E73" s="107"/>
      <c r="F73" s="107"/>
      <c r="G73" s="107"/>
      <c r="H73" s="107"/>
      <c r="I73" s="107"/>
      <c r="J73" s="779"/>
      <c r="K73" s="278"/>
      <c r="L73" s="278"/>
      <c r="M73" s="278"/>
      <c r="N73" s="172"/>
      <c r="O73" s="4"/>
      <c r="P73" s="4"/>
      <c r="Q73" s="4"/>
      <c r="R73" s="4"/>
      <c r="S73" s="4"/>
      <c r="T73" s="4"/>
      <c r="U73" s="4"/>
      <c r="V73" s="4"/>
      <c r="W73" s="4"/>
      <c r="X73" s="4"/>
      <c r="Y73" s="4"/>
      <c r="Z73" s="4"/>
    </row>
    <row r="74" spans="1:26" ht="15.75" customHeight="1" x14ac:dyDescent="0.25">
      <c r="A74" s="4"/>
      <c r="B74" s="104" t="s">
        <v>743</v>
      </c>
      <c r="C74" s="848">
        <v>0.94</v>
      </c>
      <c r="D74" s="849"/>
      <c r="E74" s="850">
        <v>0.44</v>
      </c>
      <c r="F74" s="850">
        <v>0.88599531833454104</v>
      </c>
      <c r="G74" s="849"/>
      <c r="H74" s="850">
        <v>1.52</v>
      </c>
      <c r="I74" s="849"/>
      <c r="J74" s="851">
        <v>0.11</v>
      </c>
      <c r="K74" s="852"/>
      <c r="L74" s="852"/>
      <c r="M74" s="852"/>
      <c r="N74" s="172"/>
      <c r="O74" s="4"/>
      <c r="P74" s="4"/>
      <c r="Q74" s="4"/>
      <c r="R74" s="4"/>
      <c r="S74" s="4"/>
      <c r="T74" s="4"/>
      <c r="U74" s="4"/>
      <c r="V74" s="4"/>
      <c r="W74" s="4"/>
      <c r="X74" s="4"/>
      <c r="Y74" s="4"/>
      <c r="Z74" s="4"/>
    </row>
    <row r="75" spans="1:26" ht="15.75" customHeight="1" x14ac:dyDescent="0.25">
      <c r="A75" s="4"/>
      <c r="B75" s="104"/>
      <c r="C75" s="107"/>
      <c r="D75" s="107"/>
      <c r="E75" s="107"/>
      <c r="F75" s="107"/>
      <c r="G75" s="107"/>
      <c r="H75" s="107"/>
      <c r="I75" s="107"/>
      <c r="J75" s="779"/>
      <c r="K75" s="278"/>
      <c r="L75" s="278"/>
      <c r="M75" s="278"/>
      <c r="N75" s="172"/>
      <c r="O75" s="4"/>
      <c r="P75" s="4"/>
      <c r="Q75" s="4"/>
      <c r="R75" s="4"/>
      <c r="S75" s="4"/>
      <c r="T75" s="4"/>
      <c r="U75" s="4"/>
      <c r="V75" s="4"/>
      <c r="W75" s="4"/>
      <c r="X75" s="4"/>
      <c r="Y75" s="4"/>
      <c r="Z75" s="4"/>
    </row>
    <row r="76" spans="1:26" ht="15.75" customHeight="1" x14ac:dyDescent="0.25">
      <c r="A76" s="4"/>
      <c r="B76" s="104" t="s">
        <v>744</v>
      </c>
      <c r="C76" s="232">
        <f>C72*C74</f>
        <v>11442975.086153381</v>
      </c>
      <c r="D76" s="849"/>
      <c r="E76" s="232">
        <f t="shared" ref="E76:F76" si="6">E72*E74</f>
        <v>1563587.67599188</v>
      </c>
      <c r="F76" s="232">
        <f t="shared" si="6"/>
        <v>87284.108943648942</v>
      </c>
      <c r="G76" s="849"/>
      <c r="H76" s="232">
        <f>H72*H74</f>
        <v>207939.93984455999</v>
      </c>
      <c r="I76" s="849"/>
      <c r="J76" s="853">
        <f>J72*J74</f>
        <v>7246.0978998099999</v>
      </c>
      <c r="K76" s="852"/>
      <c r="L76" s="852"/>
      <c r="M76" s="852"/>
      <c r="N76" s="854">
        <f>SUM(C76:M76)</f>
        <v>13309032.908833278</v>
      </c>
      <c r="O76" s="4"/>
      <c r="P76" s="4"/>
      <c r="Q76" s="4"/>
      <c r="R76" s="4"/>
      <c r="S76" s="4"/>
      <c r="T76" s="4"/>
      <c r="U76" s="4"/>
      <c r="V76" s="4"/>
      <c r="W76" s="4"/>
      <c r="X76" s="4"/>
      <c r="Y76" s="4"/>
      <c r="Z76" s="4"/>
    </row>
    <row r="77" spans="1:26" ht="15.75" customHeight="1" x14ac:dyDescent="0.25">
      <c r="A77" s="4"/>
      <c r="B77" s="104"/>
      <c r="C77" s="107"/>
      <c r="D77" s="107"/>
      <c r="E77" s="107"/>
      <c r="F77" s="107"/>
      <c r="G77" s="107"/>
      <c r="H77" s="107"/>
      <c r="I77" s="107"/>
      <c r="J77" s="779"/>
      <c r="K77" s="278"/>
      <c r="L77" s="278"/>
      <c r="M77" s="278"/>
      <c r="N77" s="172"/>
      <c r="O77" s="4"/>
      <c r="P77" s="4"/>
      <c r="Q77" s="4"/>
      <c r="R77" s="4"/>
      <c r="S77" s="4"/>
      <c r="T77" s="4"/>
      <c r="U77" s="4"/>
      <c r="V77" s="4"/>
      <c r="W77" s="4"/>
      <c r="X77" s="4"/>
      <c r="Y77" s="4"/>
      <c r="Z77" s="4"/>
    </row>
    <row r="78" spans="1:26" ht="15.75" customHeight="1" x14ac:dyDescent="0.25">
      <c r="A78" s="4"/>
      <c r="B78" s="798" t="s">
        <v>745</v>
      </c>
      <c r="C78" s="855">
        <f>C76/1000000</f>
        <v>11.44297508615338</v>
      </c>
      <c r="D78" s="856"/>
      <c r="E78" s="855">
        <f t="shared" ref="E78:F78" si="7">E76/1000000</f>
        <v>1.5635876759918801</v>
      </c>
      <c r="F78" s="855">
        <f t="shared" si="7"/>
        <v>8.7284108943648936E-2</v>
      </c>
      <c r="G78" s="856"/>
      <c r="H78" s="855">
        <f>H76/1000000</f>
        <v>0.20793993984456</v>
      </c>
      <c r="I78" s="856"/>
      <c r="J78" s="857">
        <f>J76/1000000</f>
        <v>7.2460978998099999E-3</v>
      </c>
      <c r="K78" s="852"/>
      <c r="L78" s="852"/>
      <c r="M78" s="852"/>
      <c r="N78" s="858">
        <f>SUM(C78:M78)</f>
        <v>13.309032908833277</v>
      </c>
      <c r="O78" s="4"/>
      <c r="P78" s="4"/>
      <c r="Q78" s="4"/>
      <c r="R78" s="4"/>
      <c r="S78" s="4"/>
      <c r="T78" s="4"/>
      <c r="U78" s="4"/>
      <c r="V78" s="4"/>
      <c r="W78" s="4"/>
      <c r="X78" s="4"/>
      <c r="Y78" s="4"/>
      <c r="Z78" s="4"/>
    </row>
    <row r="79" spans="1:26" ht="15.75" customHeight="1" x14ac:dyDescent="0.25">
      <c r="A79" s="4"/>
      <c r="B79" s="173"/>
      <c r="C79" s="39"/>
      <c r="D79" s="39"/>
      <c r="E79" s="39"/>
      <c r="F79" s="39"/>
      <c r="G79" s="39"/>
      <c r="H79" s="39"/>
      <c r="I79" s="39"/>
      <c r="J79" s="39"/>
      <c r="K79" s="298"/>
      <c r="L79" s="298"/>
      <c r="M79" s="298"/>
      <c r="N79" s="17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2152" t="s">
        <v>746</v>
      </c>
      <c r="F83" s="2149"/>
      <c r="G83" s="2149"/>
      <c r="H83" s="2149"/>
      <c r="I83" s="2149"/>
      <c r="J83" s="2149"/>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99"/>
      <c r="C85" s="775">
        <v>1991</v>
      </c>
      <c r="D85" s="775">
        <v>1992</v>
      </c>
      <c r="E85" s="775">
        <v>1993</v>
      </c>
      <c r="F85" s="775">
        <v>1994</v>
      </c>
      <c r="G85" s="775">
        <v>1995</v>
      </c>
      <c r="H85" s="775">
        <v>1996</v>
      </c>
      <c r="I85" s="775">
        <v>1997</v>
      </c>
      <c r="J85" s="775">
        <v>1998</v>
      </c>
      <c r="K85" s="775">
        <v>1999</v>
      </c>
      <c r="L85" s="775">
        <v>2000</v>
      </c>
      <c r="M85" s="775">
        <v>2001</v>
      </c>
      <c r="N85" s="775">
        <v>2002</v>
      </c>
      <c r="O85" s="775">
        <v>2003</v>
      </c>
      <c r="P85" s="775">
        <v>2004</v>
      </c>
      <c r="Q85" s="775">
        <v>2005</v>
      </c>
      <c r="R85" s="775">
        <v>2006</v>
      </c>
      <c r="S85" s="775">
        <v>2007</v>
      </c>
      <c r="T85" s="778">
        <v>2008</v>
      </c>
      <c r="U85" s="775">
        <v>2009</v>
      </c>
      <c r="V85" s="775">
        <v>2010</v>
      </c>
      <c r="W85" s="832">
        <v>2011</v>
      </c>
      <c r="X85" s="4"/>
      <c r="Y85" s="4"/>
      <c r="Z85" s="4"/>
    </row>
    <row r="86" spans="1:26" ht="30" customHeight="1" x14ac:dyDescent="0.25">
      <c r="A86" s="4"/>
      <c r="B86" s="859" t="s">
        <v>730</v>
      </c>
      <c r="C86" s="860">
        <f t="shared" ref="C86:W86" si="8">(C59*$B$66/2204.62)/1000000</f>
        <v>7.5119670825924647</v>
      </c>
      <c r="D86" s="860">
        <f t="shared" si="8"/>
        <v>6.756706178162224</v>
      </c>
      <c r="E86" s="860">
        <f t="shared" si="8"/>
        <v>6.3737634025364915</v>
      </c>
      <c r="F86" s="860">
        <f t="shared" si="8"/>
        <v>6.6713278149408968</v>
      </c>
      <c r="G86" s="860">
        <f t="shared" si="8"/>
        <v>6.9147580457176296</v>
      </c>
      <c r="H86" s="860">
        <f t="shared" si="8"/>
        <v>7.4257215338697824</v>
      </c>
      <c r="I86" s="860">
        <f t="shared" si="8"/>
        <v>6.7958963221552917</v>
      </c>
      <c r="J86" s="860">
        <f t="shared" si="8"/>
        <v>5.6115457483602622</v>
      </c>
      <c r="K86" s="860">
        <f t="shared" si="8"/>
        <v>5.7665915439508852</v>
      </c>
      <c r="L86" s="860">
        <f t="shared" si="8"/>
        <v>6.9264553358968897</v>
      </c>
      <c r="M86" s="860">
        <f t="shared" si="8"/>
        <v>8.5406953182407861</v>
      </c>
      <c r="N86" s="860">
        <f t="shared" si="8"/>
        <v>12.670323318871279</v>
      </c>
      <c r="O86" s="860">
        <f t="shared" si="8"/>
        <v>12.199080350978853</v>
      </c>
      <c r="P86" s="860">
        <f t="shared" si="8"/>
        <v>9.8867522713664933</v>
      </c>
      <c r="Q86" s="860">
        <f t="shared" si="8"/>
        <v>10.384196963932562</v>
      </c>
      <c r="R86" s="861">
        <f t="shared" si="8"/>
        <v>9.4422684024344328</v>
      </c>
      <c r="S86" s="860">
        <f t="shared" si="8"/>
        <v>10.021900136304669</v>
      </c>
      <c r="T86" s="860">
        <f t="shared" si="8"/>
        <v>10.356159828734659</v>
      </c>
      <c r="U86" s="861">
        <f t="shared" si="8"/>
        <v>11.813440762296905</v>
      </c>
      <c r="V86" s="860">
        <f t="shared" si="8"/>
        <v>13.417373024035889</v>
      </c>
      <c r="W86" s="862">
        <f t="shared" si="8"/>
        <v>13.339406835645146</v>
      </c>
      <c r="X86" s="4"/>
      <c r="Y86" s="4"/>
      <c r="Z86" s="4"/>
    </row>
    <row r="87" spans="1:26" ht="15.75" customHeight="1" x14ac:dyDescent="0.25">
      <c r="A87" s="4"/>
      <c r="B87" s="4"/>
      <c r="C87" s="4"/>
      <c r="D87" s="4"/>
      <c r="E87" s="4"/>
      <c r="F87" s="4"/>
      <c r="G87" s="4"/>
      <c r="H87" s="4"/>
      <c r="I87" s="4"/>
      <c r="J87" s="4"/>
      <c r="K87" s="4"/>
      <c r="L87" s="4"/>
      <c r="M87" s="4"/>
      <c r="N87" s="4"/>
      <c r="O87" s="4"/>
      <c r="P87" s="4"/>
      <c r="Q87" s="4"/>
      <c r="R87" s="863">
        <f>N78</f>
        <v>13.309032908833277</v>
      </c>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sDL+/zSJXmM1vxq1un0wyVhmBRLvBwmdglM4NU1QQjMyybkFTz/EOcflO129Izs8mxjIQ7FV5snZBRqKTkY9KQ==" saltValue="em/xx0Bm91rtAN2JdbPcXw==" spinCount="100000" sheet="1" objects="1" scenarios="1"/>
  <mergeCells count="1">
    <mergeCell ref="E83:J83"/>
  </mergeCell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1000"/>
  <sheetViews>
    <sheetView workbookViewId="0"/>
  </sheetViews>
  <sheetFormatPr defaultColWidth="16.83203125" defaultRowHeight="15" customHeight="1" x14ac:dyDescent="0.2"/>
  <cols>
    <col min="1" max="1" width="4.6640625" customWidth="1"/>
    <col min="2" max="2" width="54.6640625" customWidth="1"/>
    <col min="3" max="3" width="24.6640625" customWidth="1"/>
    <col min="4" max="4" width="5.5" customWidth="1"/>
    <col min="5" max="5" width="30.83203125" customWidth="1"/>
    <col min="6" max="6" width="5.5" customWidth="1"/>
    <col min="7" max="7" width="20" customWidth="1"/>
    <col min="8" max="8" width="5.5" customWidth="1"/>
    <col min="9" max="9" width="18.5" customWidth="1"/>
    <col min="10" max="10" width="7" customWidth="1"/>
    <col min="11" max="11" width="26.1640625" customWidth="1"/>
    <col min="12" max="12" width="5.5" customWidth="1"/>
    <col min="13" max="13" width="19.33203125" customWidth="1"/>
    <col min="14" max="14" width="5.5" customWidth="1"/>
    <col min="15" max="15" width="17.83203125" customWidth="1"/>
    <col min="16" max="16" width="10.1640625" customWidth="1"/>
    <col min="17" max="17" width="16" customWidth="1"/>
    <col min="18" max="18" width="12.1640625" customWidth="1"/>
    <col min="19" max="19" width="18" customWidth="1"/>
    <col min="20" max="20" width="17.1640625" customWidth="1"/>
    <col min="21" max="21" width="13.6640625" customWidth="1"/>
    <col min="22" max="22" width="14.5" customWidth="1"/>
    <col min="23" max="23" width="4.33203125" customWidth="1"/>
    <col min="24" max="24" width="14.5" customWidth="1"/>
    <col min="25" max="25" width="10.1640625" customWidth="1"/>
    <col min="26" max="26" width="14.83203125" customWidth="1"/>
    <col min="27" max="27" width="15.83203125" customWidth="1"/>
    <col min="28" max="28" width="4.33203125" customWidth="1"/>
    <col min="30" max="30" width="4.33203125" customWidth="1"/>
    <col min="31" max="31" width="17" customWidth="1"/>
    <col min="32" max="32" width="9.33203125" customWidth="1"/>
    <col min="33" max="33" width="21.6640625" customWidth="1"/>
    <col min="34" max="34" width="9.33203125" customWidth="1"/>
  </cols>
  <sheetData>
    <row r="1" spans="1:34" ht="33" customHeight="1" x14ac:dyDescent="0.25">
      <c r="A1" s="4" t="s">
        <v>747</v>
      </c>
      <c r="B1" s="4"/>
      <c r="C1" s="261"/>
      <c r="D1" s="261"/>
      <c r="E1" s="3" t="s">
        <v>268</v>
      </c>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row>
    <row r="2" spans="1:34" ht="81" customHeight="1" x14ac:dyDescent="0.25">
      <c r="A2" s="2153"/>
      <c r="B2" s="2149"/>
      <c r="C2" s="2149"/>
      <c r="D2" s="2149"/>
      <c r="E2" s="2149"/>
      <c r="F2" s="2149"/>
      <c r="G2" s="2149"/>
      <c r="H2" s="2149"/>
      <c r="I2" s="2149"/>
      <c r="J2" s="2149"/>
      <c r="K2" s="2149"/>
      <c r="L2" s="261"/>
      <c r="M2" s="261"/>
      <c r="N2" s="261"/>
      <c r="O2" s="261"/>
      <c r="P2" s="261"/>
      <c r="Q2" s="261"/>
      <c r="R2" s="261"/>
      <c r="S2" s="261"/>
      <c r="T2" s="261"/>
      <c r="U2" s="261"/>
      <c r="V2" s="261"/>
      <c r="W2" s="261"/>
      <c r="X2" s="261"/>
      <c r="Y2" s="261"/>
      <c r="Z2" s="261"/>
      <c r="AA2" s="261"/>
      <c r="AB2" s="261"/>
      <c r="AC2" s="261"/>
      <c r="AD2" s="261"/>
      <c r="AE2" s="261"/>
      <c r="AF2" s="261"/>
      <c r="AG2" s="261"/>
      <c r="AH2" s="261"/>
    </row>
    <row r="3" spans="1:34" x14ac:dyDescent="0.25">
      <c r="A3" s="4"/>
      <c r="B3" s="4" t="s">
        <v>748</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row>
    <row r="4" spans="1:34" x14ac:dyDescent="0.25">
      <c r="A4" s="4"/>
      <c r="B4" s="864" t="s">
        <v>749</v>
      </c>
      <c r="C4" s="865" t="s">
        <v>750</v>
      </c>
      <c r="D4" s="4"/>
      <c r="E4" s="865" t="s">
        <v>751</v>
      </c>
      <c r="F4" s="4"/>
      <c r="G4" s="866" t="s">
        <v>630</v>
      </c>
      <c r="H4" s="4"/>
      <c r="I4" s="4"/>
      <c r="J4" s="4"/>
      <c r="K4" s="4"/>
      <c r="L4" s="4"/>
      <c r="M4" s="4"/>
      <c r="N4" s="4"/>
      <c r="O4" s="4"/>
      <c r="P4" s="4"/>
      <c r="Q4" s="4"/>
      <c r="R4" s="4"/>
      <c r="S4" s="4"/>
      <c r="T4" s="4"/>
      <c r="U4" s="4"/>
      <c r="V4" s="4"/>
      <c r="W4" s="4"/>
      <c r="X4" s="4"/>
      <c r="Y4" s="4"/>
      <c r="Z4" s="4"/>
      <c r="AA4" s="4"/>
      <c r="AB4" s="4"/>
      <c r="AC4" s="4"/>
      <c r="AD4" s="4"/>
      <c r="AE4" s="4"/>
      <c r="AF4" s="4"/>
      <c r="AG4" s="4"/>
      <c r="AH4" s="4"/>
    </row>
    <row r="5" spans="1:34" x14ac:dyDescent="0.25">
      <c r="A5" s="4"/>
      <c r="B5" s="107" t="s">
        <v>752</v>
      </c>
      <c r="C5" s="232">
        <v>42</v>
      </c>
      <c r="D5" s="4"/>
      <c r="E5" s="232">
        <f t="shared" ref="E5:E6" si="0">C5*42*1000</f>
        <v>1764000</v>
      </c>
      <c r="F5" s="4"/>
      <c r="G5" s="867">
        <v>210</v>
      </c>
      <c r="H5" s="4"/>
      <c r="I5" s="868"/>
      <c r="J5" s="4"/>
      <c r="K5" s="4"/>
      <c r="L5" s="4"/>
      <c r="M5" s="4"/>
      <c r="N5" s="4"/>
      <c r="O5" s="4"/>
      <c r="P5" s="4"/>
      <c r="Q5" s="4"/>
      <c r="R5" s="4"/>
      <c r="S5" s="4"/>
      <c r="T5" s="4"/>
      <c r="U5" s="4"/>
      <c r="V5" s="4"/>
      <c r="W5" s="4"/>
      <c r="X5" s="4"/>
      <c r="Y5" s="4"/>
      <c r="Z5" s="4"/>
      <c r="AA5" s="4"/>
      <c r="AB5" s="4"/>
      <c r="AC5" s="4"/>
      <c r="AD5" s="4"/>
      <c r="AE5" s="4"/>
      <c r="AF5" s="4"/>
      <c r="AG5" s="4"/>
      <c r="AH5" s="4"/>
    </row>
    <row r="6" spans="1:34" x14ac:dyDescent="0.25">
      <c r="A6" s="4"/>
      <c r="B6" s="107" t="s">
        <v>753</v>
      </c>
      <c r="C6" s="232">
        <v>13581</v>
      </c>
      <c r="D6" s="4"/>
      <c r="E6" s="232">
        <f t="shared" si="0"/>
        <v>570402000</v>
      </c>
      <c r="F6" s="4"/>
      <c r="G6" s="232">
        <v>80358</v>
      </c>
      <c r="H6" s="4"/>
      <c r="I6" s="868"/>
      <c r="J6" s="4"/>
      <c r="K6" s="4"/>
      <c r="L6" s="4"/>
      <c r="M6" s="4"/>
      <c r="N6" s="4"/>
      <c r="O6" s="2146" t="s">
        <v>0</v>
      </c>
      <c r="P6" s="2147"/>
      <c r="Q6" s="4"/>
      <c r="R6" s="4"/>
      <c r="S6" s="4"/>
      <c r="T6" s="4"/>
      <c r="U6" s="4"/>
      <c r="V6" s="4"/>
      <c r="W6" s="4"/>
      <c r="X6" s="4"/>
      <c r="Y6" s="4"/>
      <c r="Z6" s="4"/>
      <c r="AA6" s="4"/>
      <c r="AB6" s="4"/>
      <c r="AC6" s="4"/>
      <c r="AD6" s="4"/>
      <c r="AE6" s="4"/>
      <c r="AF6" s="4"/>
      <c r="AG6" s="4"/>
      <c r="AH6" s="4"/>
    </row>
    <row r="7" spans="1:34" x14ac:dyDescent="0.25">
      <c r="A7" s="4"/>
      <c r="B7" s="107" t="s">
        <v>754</v>
      </c>
      <c r="C7" s="331">
        <v>0</v>
      </c>
      <c r="D7" s="4"/>
      <c r="E7" s="331"/>
      <c r="F7" s="4"/>
      <c r="G7" s="331">
        <v>0</v>
      </c>
      <c r="H7" s="4"/>
      <c r="I7" s="868"/>
      <c r="J7" s="4"/>
      <c r="K7" s="4"/>
      <c r="L7" s="4"/>
      <c r="M7" s="4"/>
      <c r="N7" s="4"/>
      <c r="O7" s="120"/>
      <c r="P7" s="120"/>
      <c r="Q7" s="4"/>
      <c r="R7" s="4"/>
      <c r="S7" s="4"/>
      <c r="T7" s="4"/>
      <c r="U7" s="4"/>
      <c r="V7" s="4"/>
      <c r="W7" s="4"/>
      <c r="X7" s="4"/>
      <c r="Y7" s="4"/>
      <c r="Z7" s="4"/>
      <c r="AA7" s="4"/>
      <c r="AB7" s="4"/>
      <c r="AC7" s="4"/>
      <c r="AD7" s="4"/>
      <c r="AE7" s="4"/>
      <c r="AF7" s="4"/>
      <c r="AG7" s="4"/>
      <c r="AH7" s="4"/>
    </row>
    <row r="8" spans="1:34" x14ac:dyDescent="0.25">
      <c r="A8" s="4"/>
      <c r="B8" s="107" t="s">
        <v>755</v>
      </c>
      <c r="C8" s="232">
        <v>2705</v>
      </c>
      <c r="D8" s="4"/>
      <c r="E8" s="232">
        <f t="shared" ref="E8:E10" si="1">C8*42*1000</f>
        <v>113610000</v>
      </c>
      <c r="F8" s="4"/>
      <c r="G8" s="232">
        <v>15339</v>
      </c>
      <c r="H8" s="4"/>
      <c r="I8" s="868"/>
      <c r="J8" s="4"/>
      <c r="K8" s="331"/>
      <c r="L8" s="4"/>
      <c r="M8" s="4"/>
      <c r="N8" s="4"/>
      <c r="O8" s="124" t="s">
        <v>4</v>
      </c>
      <c r="P8" s="125">
        <f>'Summ GHG Rpt Expanded'!G4</f>
        <v>1</v>
      </c>
      <c r="Q8" s="4"/>
      <c r="R8" s="4"/>
      <c r="S8" s="4"/>
      <c r="T8" s="4"/>
      <c r="U8" s="4"/>
      <c r="V8" s="4"/>
      <c r="W8" s="4"/>
      <c r="X8" s="4"/>
      <c r="Y8" s="4"/>
      <c r="Z8" s="4"/>
      <c r="AA8" s="4"/>
      <c r="AB8" s="4"/>
      <c r="AC8" s="4"/>
      <c r="AD8" s="4"/>
      <c r="AE8" s="4"/>
      <c r="AF8" s="4"/>
      <c r="AG8" s="4"/>
      <c r="AH8" s="4"/>
    </row>
    <row r="9" spans="1:34" x14ac:dyDescent="0.25">
      <c r="A9" s="4"/>
      <c r="B9" s="107" t="s">
        <v>756</v>
      </c>
      <c r="C9" s="232">
        <v>76</v>
      </c>
      <c r="D9" s="4"/>
      <c r="E9" s="232">
        <f t="shared" si="1"/>
        <v>3192000</v>
      </c>
      <c r="F9" s="4"/>
      <c r="G9" s="232">
        <v>293</v>
      </c>
      <c r="H9" s="4"/>
      <c r="I9" s="868"/>
      <c r="J9" s="4"/>
      <c r="K9" s="4"/>
      <c r="L9" s="4"/>
      <c r="M9" s="4"/>
      <c r="N9" s="4"/>
      <c r="O9" s="124" t="s">
        <v>5</v>
      </c>
      <c r="P9" s="125">
        <f>'Summ GHG Rpt Expanded'!G5</f>
        <v>28</v>
      </c>
      <c r="Q9" s="4"/>
      <c r="R9" s="4"/>
      <c r="S9" s="4"/>
      <c r="T9" s="4"/>
      <c r="U9" s="4"/>
      <c r="V9" s="4"/>
      <c r="W9" s="4"/>
      <c r="X9" s="4"/>
      <c r="Y9" s="4"/>
      <c r="Z9" s="4"/>
      <c r="AA9" s="4"/>
      <c r="AB9" s="4"/>
      <c r="AC9" s="4"/>
      <c r="AD9" s="4"/>
      <c r="AE9" s="4"/>
      <c r="AF9" s="4"/>
      <c r="AG9" s="4"/>
      <c r="AH9" s="4"/>
    </row>
    <row r="10" spans="1:34" x14ac:dyDescent="0.25">
      <c r="A10" s="4"/>
      <c r="B10" s="107" t="s">
        <v>757</v>
      </c>
      <c r="C10" s="232">
        <v>242</v>
      </c>
      <c r="D10" s="4"/>
      <c r="E10" s="232">
        <f t="shared" si="1"/>
        <v>10164000</v>
      </c>
      <c r="F10" s="4"/>
      <c r="G10" s="232">
        <v>1466</v>
      </c>
      <c r="H10" s="4"/>
      <c r="I10" s="868"/>
      <c r="J10" s="4"/>
      <c r="K10" s="4"/>
      <c r="L10" s="4"/>
      <c r="M10" s="4"/>
      <c r="N10" s="4"/>
      <c r="O10" s="124" t="s">
        <v>6</v>
      </c>
      <c r="P10" s="125">
        <f>'Summ GHG Rpt Expanded'!G6</f>
        <v>265</v>
      </c>
      <c r="Q10" s="4"/>
      <c r="R10" s="4"/>
      <c r="S10" s="4"/>
      <c r="T10" s="4"/>
      <c r="U10" s="4"/>
      <c r="V10" s="4"/>
      <c r="W10" s="4"/>
      <c r="X10" s="4"/>
      <c r="Y10" s="4"/>
      <c r="Z10" s="4"/>
      <c r="AA10" s="4"/>
      <c r="AB10" s="4"/>
      <c r="AC10" s="4"/>
      <c r="AD10" s="4"/>
      <c r="AE10" s="4"/>
      <c r="AF10" s="4"/>
      <c r="AG10" s="4"/>
      <c r="AH10" s="4"/>
    </row>
    <row r="11" spans="1:34" x14ac:dyDescent="0.25">
      <c r="A11" s="4"/>
      <c r="B11" s="869" t="s">
        <v>758</v>
      </c>
      <c r="C11" s="232">
        <f>E11/(42*1000)</f>
        <v>63427.314619047618</v>
      </c>
      <c r="D11" s="4"/>
      <c r="E11" s="424">
        <f>2663947214</f>
        <v>2663947214</v>
      </c>
      <c r="F11" s="4"/>
      <c r="G11" s="870">
        <f>E11*C47/1000000000</f>
        <v>330963.47397293203</v>
      </c>
      <c r="H11" s="4"/>
      <c r="I11" s="868"/>
      <c r="J11" s="4"/>
      <c r="K11" s="4"/>
      <c r="L11" s="4"/>
      <c r="M11" s="4"/>
      <c r="N11" s="4"/>
      <c r="O11" s="124" t="s">
        <v>7</v>
      </c>
      <c r="P11" s="129">
        <f>'Summ GHG Rpt Expanded'!G7</f>
        <v>23500</v>
      </c>
      <c r="Q11" s="4"/>
      <c r="R11" s="4"/>
      <c r="S11" s="4"/>
      <c r="T11" s="4"/>
      <c r="U11" s="4"/>
      <c r="V11" s="4"/>
      <c r="W11" s="4"/>
      <c r="X11" s="4"/>
      <c r="Y11" s="4"/>
      <c r="Z11" s="4"/>
      <c r="AA11" s="4"/>
      <c r="AB11" s="4"/>
      <c r="AC11" s="4"/>
      <c r="AD11" s="4"/>
      <c r="AE11" s="4"/>
      <c r="AF11" s="4"/>
      <c r="AG11" s="4"/>
      <c r="AH11" s="4"/>
    </row>
    <row r="12" spans="1:34" x14ac:dyDescent="0.25">
      <c r="A12" s="4"/>
      <c r="B12" s="107" t="s">
        <v>759</v>
      </c>
      <c r="C12" s="232">
        <v>5639</v>
      </c>
      <c r="D12" s="4"/>
      <c r="E12" s="232">
        <f t="shared" ref="E12:E14" si="2">C12*42*1000</f>
        <v>236838000</v>
      </c>
      <c r="F12" s="4"/>
      <c r="G12" s="232">
        <v>19558</v>
      </c>
      <c r="H12" s="4"/>
      <c r="I12" s="868"/>
      <c r="J12" s="4"/>
      <c r="K12" s="4"/>
      <c r="L12" s="4"/>
      <c r="M12" s="4"/>
      <c r="N12" s="4"/>
      <c r="O12" s="124" t="s">
        <v>8</v>
      </c>
      <c r="P12" s="129">
        <f>'Summ GHG Rpt Expanded'!G8</f>
        <v>11100</v>
      </c>
      <c r="Q12" s="4"/>
      <c r="R12" s="4"/>
      <c r="S12" s="4"/>
      <c r="T12" s="4"/>
      <c r="U12" s="4"/>
      <c r="V12" s="4"/>
      <c r="W12" s="4"/>
      <c r="X12" s="4"/>
      <c r="Y12" s="4"/>
      <c r="Z12" s="4"/>
      <c r="AA12" s="4"/>
      <c r="AB12" s="4"/>
      <c r="AC12" s="4"/>
      <c r="AD12" s="4"/>
      <c r="AE12" s="4"/>
      <c r="AF12" s="4"/>
      <c r="AG12" s="4"/>
      <c r="AH12" s="4"/>
    </row>
    <row r="13" spans="1:34" x14ac:dyDescent="0.25">
      <c r="A13" s="4"/>
      <c r="B13" s="107" t="s">
        <v>760</v>
      </c>
      <c r="C13" s="232">
        <v>6235</v>
      </c>
      <c r="D13" s="4"/>
      <c r="E13" s="232">
        <f t="shared" si="2"/>
        <v>261870000</v>
      </c>
      <c r="F13" s="4"/>
      <c r="G13" s="232">
        <v>6408</v>
      </c>
      <c r="H13" s="4"/>
      <c r="I13" s="868"/>
      <c r="J13" s="4"/>
      <c r="K13" s="4"/>
      <c r="L13" s="4"/>
      <c r="M13" s="4"/>
      <c r="N13" s="4"/>
      <c r="O13" s="4"/>
      <c r="P13" s="4"/>
      <c r="Q13" s="4"/>
      <c r="R13" s="4"/>
      <c r="S13" s="4"/>
      <c r="T13" s="4"/>
      <c r="U13" s="4"/>
      <c r="V13" s="4"/>
      <c r="W13" s="4"/>
      <c r="X13" s="4"/>
      <c r="Y13" s="4"/>
      <c r="Z13" s="4"/>
      <c r="AA13" s="4"/>
      <c r="AB13" s="4"/>
      <c r="AC13" s="4"/>
      <c r="AD13" s="4"/>
      <c r="AE13" s="4"/>
      <c r="AF13" s="4"/>
      <c r="AG13" s="4"/>
      <c r="AH13" s="4"/>
    </row>
    <row r="14" spans="1:34" x14ac:dyDescent="0.25">
      <c r="A14" s="4"/>
      <c r="B14" s="107" t="s">
        <v>761</v>
      </c>
      <c r="C14" s="232">
        <v>255</v>
      </c>
      <c r="D14" s="4"/>
      <c r="E14" s="232">
        <f t="shared" si="2"/>
        <v>10710000</v>
      </c>
      <c r="F14" s="4"/>
      <c r="G14" s="232">
        <v>1603</v>
      </c>
      <c r="H14" s="4"/>
      <c r="I14" s="868"/>
      <c r="J14" s="4"/>
      <c r="K14" s="4"/>
      <c r="L14" s="4"/>
      <c r="M14" s="4"/>
      <c r="N14" s="4"/>
      <c r="O14" s="4"/>
      <c r="P14" s="4"/>
      <c r="Q14" s="4"/>
      <c r="R14" s="4"/>
      <c r="S14" s="4"/>
      <c r="T14" s="4"/>
      <c r="U14" s="4"/>
      <c r="V14" s="4"/>
      <c r="W14" s="4"/>
      <c r="X14" s="4"/>
      <c r="Y14" s="4"/>
      <c r="Z14" s="4"/>
      <c r="AA14" s="4"/>
      <c r="AB14" s="4"/>
      <c r="AC14" s="4"/>
      <c r="AD14" s="4"/>
      <c r="AE14" s="4"/>
      <c r="AF14" s="4"/>
      <c r="AG14" s="4"/>
      <c r="AH14" s="4"/>
    </row>
    <row r="15" spans="1:34" x14ac:dyDescent="0.25">
      <c r="A15" s="4"/>
      <c r="B15" s="4"/>
      <c r="C15" s="4"/>
      <c r="D15" s="4"/>
      <c r="E15" s="98"/>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row>
    <row r="16" spans="1:34"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row>
    <row r="17" spans="1:34" x14ac:dyDescent="0.25">
      <c r="A17" s="4"/>
      <c r="B17" s="871" t="s">
        <v>762</v>
      </c>
      <c r="C17" s="872"/>
      <c r="D17" s="872"/>
      <c r="E17" s="873"/>
      <c r="F17" s="872"/>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row>
    <row r="18" spans="1:34" ht="30" customHeight="1" x14ac:dyDescent="0.25">
      <c r="A18" s="4"/>
      <c r="B18" s="874" t="s">
        <v>763</v>
      </c>
      <c r="C18" s="875" t="s">
        <v>764</v>
      </c>
      <c r="D18" s="2154" t="s">
        <v>765</v>
      </c>
      <c r="E18" s="2155"/>
      <c r="F18" s="2156" t="s">
        <v>766</v>
      </c>
      <c r="G18" s="2155"/>
      <c r="H18" s="4"/>
      <c r="I18" s="876" t="s">
        <v>767</v>
      </c>
      <c r="J18" s="4"/>
      <c r="K18" s="877" t="s">
        <v>768</v>
      </c>
      <c r="L18" s="4"/>
      <c r="M18" s="878" t="s">
        <v>769</v>
      </c>
      <c r="N18" s="879"/>
      <c r="O18" s="879"/>
      <c r="P18" s="879"/>
      <c r="Q18" s="879"/>
      <c r="R18" s="879"/>
      <c r="S18" s="879"/>
      <c r="T18" s="4"/>
      <c r="U18" s="879"/>
      <c r="V18" s="879"/>
      <c r="W18" s="879"/>
      <c r="X18" s="4"/>
      <c r="Y18" s="4"/>
      <c r="Z18" s="4"/>
      <c r="AA18" s="4"/>
      <c r="AB18" s="4"/>
      <c r="AC18" s="4"/>
      <c r="AD18" s="4"/>
      <c r="AE18" s="4"/>
      <c r="AF18" s="4"/>
      <c r="AG18" s="4"/>
      <c r="AH18" s="4"/>
    </row>
    <row r="19" spans="1:34" x14ac:dyDescent="0.25">
      <c r="A19" s="4"/>
      <c r="B19" s="449" t="s">
        <v>770</v>
      </c>
      <c r="C19" s="880">
        <v>2011</v>
      </c>
      <c r="D19" s="2157" t="s">
        <v>771</v>
      </c>
      <c r="E19" s="2158"/>
      <c r="F19" s="2159" t="s">
        <v>772</v>
      </c>
      <c r="G19" s="2158"/>
      <c r="H19" s="4"/>
      <c r="I19" s="451">
        <v>9437000</v>
      </c>
      <c r="J19" s="4"/>
      <c r="K19" s="881">
        <f t="shared" ref="K19:K26" si="3">I19/$I$24</f>
        <v>3.5358968281343352E-3</v>
      </c>
      <c r="L19" s="4"/>
      <c r="M19" s="882">
        <f t="shared" ref="M19:M23" si="4">I19/SUM($I$19:$I$23)</f>
        <v>0.12499239575509029</v>
      </c>
      <c r="N19" s="98"/>
      <c r="O19" s="98"/>
      <c r="P19" s="98"/>
      <c r="Q19" s="98"/>
      <c r="R19" s="98"/>
      <c r="S19" s="98"/>
      <c r="T19" s="4"/>
      <c r="U19" s="98">
        <v>9702000</v>
      </c>
      <c r="V19" s="98"/>
      <c r="W19" s="98"/>
      <c r="X19" s="4"/>
      <c r="Y19" s="4"/>
      <c r="Z19" s="4"/>
      <c r="AA19" s="4"/>
      <c r="AB19" s="4"/>
      <c r="AC19" s="4"/>
      <c r="AD19" s="4"/>
      <c r="AE19" s="4"/>
      <c r="AF19" s="4"/>
      <c r="AG19" s="4"/>
      <c r="AH19" s="4"/>
    </row>
    <row r="20" spans="1:34" x14ac:dyDescent="0.25">
      <c r="A20" s="4"/>
      <c r="B20" s="86" t="s">
        <v>770</v>
      </c>
      <c r="C20" s="883">
        <v>2011</v>
      </c>
      <c r="D20" s="2157" t="s">
        <v>773</v>
      </c>
      <c r="E20" s="2158"/>
      <c r="F20" s="2159" t="s">
        <v>774</v>
      </c>
      <c r="G20" s="2158"/>
      <c r="H20" s="4"/>
      <c r="I20" s="206">
        <v>13677000</v>
      </c>
      <c r="J20" s="4"/>
      <c r="K20" s="881">
        <f t="shared" si="3"/>
        <v>5.1245587494323725E-3</v>
      </c>
      <c r="L20" s="4"/>
      <c r="M20" s="218">
        <f t="shared" si="4"/>
        <v>0.1811508950664798</v>
      </c>
      <c r="N20" s="98"/>
      <c r="O20" s="98"/>
      <c r="P20" s="98"/>
      <c r="Q20" s="98"/>
      <c r="R20" s="98"/>
      <c r="S20" s="98"/>
      <c r="T20" s="4"/>
      <c r="U20" s="98">
        <v>8297000</v>
      </c>
      <c r="V20" s="98"/>
      <c r="W20" s="98"/>
      <c r="X20" s="4"/>
      <c r="Y20" s="4"/>
      <c r="Z20" s="4"/>
      <c r="AA20" s="4"/>
      <c r="AB20" s="4"/>
      <c r="AC20" s="4"/>
      <c r="AD20" s="4"/>
      <c r="AE20" s="4"/>
      <c r="AF20" s="4"/>
      <c r="AG20" s="4"/>
      <c r="AH20" s="4"/>
    </row>
    <row r="21" spans="1:34" ht="15.75" customHeight="1" x14ac:dyDescent="0.25">
      <c r="A21" s="4"/>
      <c r="B21" s="86" t="s">
        <v>770</v>
      </c>
      <c r="C21" s="883">
        <v>2011</v>
      </c>
      <c r="D21" s="2157" t="s">
        <v>775</v>
      </c>
      <c r="E21" s="2158"/>
      <c r="F21" s="2159" t="s">
        <v>776</v>
      </c>
      <c r="G21" s="2158"/>
      <c r="H21" s="4"/>
      <c r="I21" s="206">
        <v>10338000</v>
      </c>
      <c r="J21" s="4"/>
      <c r="K21" s="881">
        <f t="shared" si="3"/>
        <v>3.8734874864101683E-3</v>
      </c>
      <c r="L21" s="4"/>
      <c r="M21" s="218">
        <f t="shared" si="4"/>
        <v>0.13692607685876057</v>
      </c>
      <c r="N21" s="98"/>
      <c r="O21" s="98"/>
      <c r="P21" s="98"/>
      <c r="Q21" s="98"/>
      <c r="R21" s="98"/>
      <c r="S21" s="98"/>
      <c r="T21" s="4"/>
      <c r="U21" s="98">
        <v>24818000</v>
      </c>
      <c r="V21" s="98"/>
      <c r="W21" s="98"/>
      <c r="X21" s="4"/>
      <c r="Y21" s="4"/>
      <c r="Z21" s="4"/>
      <c r="AA21" s="4"/>
      <c r="AB21" s="4"/>
      <c r="AC21" s="4"/>
      <c r="AD21" s="4"/>
      <c r="AE21" s="4"/>
      <c r="AF21" s="4"/>
      <c r="AG21" s="4"/>
      <c r="AH21" s="4"/>
    </row>
    <row r="22" spans="1:34" ht="15.75" customHeight="1" x14ac:dyDescent="0.25">
      <c r="A22" s="4"/>
      <c r="B22" s="86" t="s">
        <v>777</v>
      </c>
      <c r="C22" s="883">
        <v>2011</v>
      </c>
      <c r="D22" s="2157" t="s">
        <v>775</v>
      </c>
      <c r="E22" s="2158"/>
      <c r="F22" s="2159" t="s">
        <v>778</v>
      </c>
      <c r="G22" s="2158"/>
      <c r="H22" s="4"/>
      <c r="I22" s="206">
        <v>21138593</v>
      </c>
      <c r="J22" s="4"/>
      <c r="K22" s="881">
        <f t="shared" si="3"/>
        <v>7.9203013605936914E-3</v>
      </c>
      <c r="L22" s="4"/>
      <c r="M22" s="218">
        <f t="shared" si="4"/>
        <v>0.27997916519675548</v>
      </c>
      <c r="N22" s="98"/>
      <c r="O22" s="98"/>
      <c r="P22" s="98"/>
      <c r="Q22" s="98"/>
      <c r="R22" s="98"/>
      <c r="S22" s="98"/>
      <c r="T22" s="4"/>
      <c r="U22" s="98">
        <v>16130243.465111727</v>
      </c>
      <c r="V22" s="98"/>
      <c r="W22" s="98"/>
      <c r="X22" s="4"/>
      <c r="Y22" s="4"/>
      <c r="Z22" s="4"/>
      <c r="AA22" s="4"/>
      <c r="AB22" s="4"/>
      <c r="AC22" s="4"/>
      <c r="AD22" s="4"/>
      <c r="AE22" s="4"/>
      <c r="AF22" s="4"/>
      <c r="AG22" s="4"/>
      <c r="AH22" s="4"/>
    </row>
    <row r="23" spans="1:34" ht="15.75" customHeight="1" x14ac:dyDescent="0.25">
      <c r="A23" s="4"/>
      <c r="B23" s="86" t="s">
        <v>770</v>
      </c>
      <c r="C23" s="884">
        <v>2011</v>
      </c>
      <c r="D23" s="2160" t="s">
        <v>779</v>
      </c>
      <c r="E23" s="2161"/>
      <c r="F23" s="2162" t="s">
        <v>780</v>
      </c>
      <c r="G23" s="2161"/>
      <c r="H23" s="4"/>
      <c r="I23" s="192">
        <v>20910000</v>
      </c>
      <c r="J23" s="4"/>
      <c r="K23" s="885">
        <f t="shared" si="3"/>
        <v>7.8346511260240486E-3</v>
      </c>
      <c r="L23" s="4"/>
      <c r="M23" s="886">
        <f t="shared" si="4"/>
        <v>0.27695146712291385</v>
      </c>
      <c r="N23" s="98"/>
      <c r="O23" s="98"/>
      <c r="P23" s="98"/>
      <c r="Q23" s="98"/>
      <c r="R23" s="98"/>
      <c r="S23" s="98"/>
      <c r="T23" s="4"/>
      <c r="U23" s="98">
        <v>24070000</v>
      </c>
      <c r="V23" s="98"/>
      <c r="W23" s="98"/>
      <c r="X23" s="4"/>
      <c r="Y23" s="4"/>
      <c r="Z23" s="4"/>
      <c r="AA23" s="4"/>
      <c r="AB23" s="4"/>
      <c r="AC23" s="4"/>
      <c r="AD23" s="4"/>
      <c r="AE23" s="4"/>
      <c r="AF23" s="4"/>
      <c r="AG23" s="4"/>
      <c r="AH23" s="4"/>
    </row>
    <row r="24" spans="1:34" ht="15.75" customHeight="1" x14ac:dyDescent="0.25">
      <c r="A24" s="4"/>
      <c r="B24" s="887" t="s">
        <v>781</v>
      </c>
      <c r="C24" s="888">
        <v>2011</v>
      </c>
      <c r="D24" s="2163" t="s">
        <v>782</v>
      </c>
      <c r="E24" s="2164"/>
      <c r="F24" s="2165" t="s">
        <v>783</v>
      </c>
      <c r="G24" s="2155"/>
      <c r="H24" s="265"/>
      <c r="I24" s="441">
        <v>2668912714</v>
      </c>
      <c r="J24" s="4"/>
      <c r="K24" s="889">
        <f t="shared" si="3"/>
        <v>1</v>
      </c>
      <c r="L24" s="4"/>
      <c r="M24" s="358"/>
      <c r="N24" s="98"/>
      <c r="O24" s="98"/>
      <c r="P24" s="98"/>
      <c r="Q24" s="98"/>
      <c r="R24" s="98"/>
      <c r="S24" s="98"/>
      <c r="T24" s="4"/>
      <c r="U24" s="98"/>
      <c r="V24" s="98"/>
      <c r="W24" s="98"/>
      <c r="X24" s="4"/>
      <c r="Y24" s="4"/>
      <c r="Z24" s="4"/>
      <c r="AA24" s="4"/>
      <c r="AB24" s="4"/>
      <c r="AC24" s="4"/>
      <c r="AD24" s="4"/>
      <c r="AE24" s="4"/>
      <c r="AF24" s="4"/>
      <c r="AG24" s="4"/>
      <c r="AH24" s="4"/>
    </row>
    <row r="25" spans="1:34" ht="15.75" customHeight="1" x14ac:dyDescent="0.25">
      <c r="A25" s="4"/>
      <c r="B25" s="890" t="s">
        <v>784</v>
      </c>
      <c r="C25" s="883">
        <v>2011</v>
      </c>
      <c r="D25" s="2157" t="s">
        <v>785</v>
      </c>
      <c r="E25" s="2158"/>
      <c r="F25" s="2159" t="s">
        <v>783</v>
      </c>
      <c r="G25" s="2158"/>
      <c r="H25" s="4"/>
      <c r="I25" s="424">
        <v>2405394000</v>
      </c>
      <c r="J25" s="4"/>
      <c r="K25" s="881">
        <f t="shared" si="3"/>
        <v>0.90126364469782361</v>
      </c>
      <c r="L25" s="4"/>
      <c r="M25" s="86"/>
      <c r="N25" s="98"/>
      <c r="O25" s="98"/>
      <c r="P25" s="98"/>
      <c r="Q25" s="98"/>
      <c r="R25" s="98"/>
      <c r="S25" s="98"/>
      <c r="T25" s="4"/>
      <c r="U25" s="98"/>
      <c r="V25" s="98"/>
      <c r="W25" s="98"/>
      <c r="X25" s="4"/>
      <c r="Y25" s="4"/>
      <c r="Z25" s="4"/>
      <c r="AA25" s="4"/>
      <c r="AB25" s="4"/>
      <c r="AC25" s="4"/>
      <c r="AD25" s="4"/>
      <c r="AE25" s="4"/>
      <c r="AF25" s="4"/>
      <c r="AG25" s="4"/>
      <c r="AH25" s="4"/>
    </row>
    <row r="26" spans="1:34" ht="15.75" customHeight="1" x14ac:dyDescent="0.25">
      <c r="A26" s="4"/>
      <c r="B26" s="358" t="s">
        <v>356</v>
      </c>
      <c r="C26" s="891">
        <v>2011</v>
      </c>
      <c r="D26" s="2166" t="s">
        <v>786</v>
      </c>
      <c r="E26" s="2167"/>
      <c r="F26" s="2168" t="s">
        <v>783</v>
      </c>
      <c r="G26" s="2167"/>
      <c r="H26" s="86"/>
      <c r="I26" s="500">
        <f>I24-I25</f>
        <v>263518714</v>
      </c>
      <c r="J26" s="86"/>
      <c r="K26" s="892">
        <f t="shared" si="3"/>
        <v>9.8736355302176435E-2</v>
      </c>
      <c r="L26" s="86"/>
      <c r="M26" s="893">
        <f>SUM(M19:M23)</f>
        <v>1</v>
      </c>
      <c r="N26" s="98"/>
      <c r="O26" s="98"/>
      <c r="P26" s="98"/>
      <c r="Q26" s="98"/>
      <c r="R26" s="98"/>
      <c r="S26" s="98"/>
      <c r="T26" s="4"/>
      <c r="U26" s="98"/>
      <c r="V26" s="98"/>
      <c r="W26" s="98"/>
      <c r="X26" s="4"/>
      <c r="Y26" s="4"/>
      <c r="Z26" s="4"/>
      <c r="AA26" s="4"/>
      <c r="AB26" s="4"/>
      <c r="AC26" s="4"/>
      <c r="AD26" s="4"/>
      <c r="AE26" s="4"/>
      <c r="AF26" s="4"/>
      <c r="AG26" s="4"/>
      <c r="AH26" s="4"/>
    </row>
    <row r="27" spans="1:34" ht="15.7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row>
    <row r="28" spans="1:34" ht="15.75" customHeight="1" x14ac:dyDescent="0.25">
      <c r="A28" s="4"/>
      <c r="B28" s="4"/>
      <c r="C28" s="4"/>
      <c r="D28" s="4"/>
      <c r="E28" s="4"/>
      <c r="F28" s="4"/>
      <c r="G28" s="4"/>
      <c r="H28" s="4"/>
      <c r="I28" s="98">
        <f>I21+I22</f>
        <v>31476593</v>
      </c>
      <c r="J28" s="4"/>
      <c r="K28" s="4"/>
      <c r="L28" s="4"/>
      <c r="M28" s="4"/>
      <c r="N28" s="4"/>
      <c r="O28" s="4"/>
      <c r="P28" s="4"/>
      <c r="Q28" s="4"/>
      <c r="R28" s="4"/>
      <c r="S28" s="4"/>
      <c r="T28" s="4"/>
      <c r="U28" s="4"/>
      <c r="V28" s="4"/>
      <c r="W28" s="4"/>
      <c r="X28" s="4"/>
      <c r="Y28" s="4"/>
      <c r="Z28" s="4"/>
      <c r="AA28" s="4"/>
      <c r="AB28" s="4"/>
      <c r="AC28" s="4"/>
      <c r="AD28" s="4"/>
      <c r="AE28" s="4"/>
      <c r="AF28" s="4"/>
      <c r="AG28" s="4"/>
      <c r="AH28" s="4"/>
    </row>
    <row r="29" spans="1:34" ht="15.75" customHeight="1" x14ac:dyDescent="0.25">
      <c r="A29" s="4"/>
      <c r="B29" s="2169" t="s">
        <v>787</v>
      </c>
      <c r="C29" s="2170"/>
      <c r="D29" s="2170"/>
      <c r="E29" s="2170"/>
      <c r="F29" s="2170"/>
      <c r="G29" s="98"/>
      <c r="H29" s="4"/>
      <c r="I29" s="4"/>
      <c r="J29" s="4"/>
      <c r="K29" s="4"/>
      <c r="L29" s="879"/>
      <c r="M29" s="4"/>
      <c r="N29" s="4"/>
      <c r="O29" s="4"/>
      <c r="P29" s="4"/>
      <c r="Q29" s="4"/>
      <c r="R29" s="4"/>
      <c r="S29" s="4"/>
      <c r="T29" s="4"/>
      <c r="U29" s="4"/>
      <c r="V29" s="4"/>
      <c r="W29" s="4"/>
      <c r="X29" s="4"/>
      <c r="Y29" s="4"/>
      <c r="Z29" s="4"/>
      <c r="AA29" s="4"/>
      <c r="AB29" s="4"/>
      <c r="AC29" s="4"/>
      <c r="AD29" s="4"/>
      <c r="AE29" s="4"/>
      <c r="AF29" s="4"/>
      <c r="AG29" s="4"/>
      <c r="AH29" s="4"/>
    </row>
    <row r="30" spans="1:34" ht="15.75" customHeight="1" x14ac:dyDescent="0.25">
      <c r="A30" s="4"/>
      <c r="B30" s="4"/>
      <c r="C30" s="4"/>
      <c r="D30" s="39"/>
      <c r="E30" s="39"/>
      <c r="F30" s="39"/>
      <c r="G30" s="39"/>
      <c r="H30" s="4"/>
      <c r="I30" s="4"/>
      <c r="J30" s="4"/>
      <c r="K30" s="4"/>
      <c r="L30" s="4"/>
      <c r="M30" s="879"/>
      <c r="N30" s="879"/>
      <c r="O30" s="879"/>
      <c r="P30" s="879"/>
      <c r="Q30" s="879"/>
      <c r="R30" s="879"/>
      <c r="S30" s="879"/>
      <c r="T30" s="4"/>
      <c r="U30" s="879"/>
      <c r="V30" s="879"/>
      <c r="W30" s="879"/>
      <c r="X30" s="4"/>
      <c r="Y30" s="4"/>
      <c r="Z30" s="4"/>
      <c r="AA30" s="4"/>
      <c r="AB30" s="4"/>
      <c r="AC30" s="4"/>
      <c r="AD30" s="4"/>
      <c r="AE30" s="4"/>
      <c r="AF30" s="4"/>
      <c r="AG30" s="4"/>
      <c r="AH30" s="4"/>
    </row>
    <row r="31" spans="1:34" ht="30" customHeight="1" x14ac:dyDescent="0.25">
      <c r="A31" s="4"/>
      <c r="B31" s="874" t="s">
        <v>763</v>
      </c>
      <c r="C31" s="875" t="s">
        <v>764</v>
      </c>
      <c r="D31" s="2154" t="s">
        <v>765</v>
      </c>
      <c r="E31" s="2155"/>
      <c r="F31" s="2156" t="s">
        <v>766</v>
      </c>
      <c r="G31" s="2155"/>
      <c r="H31" s="4"/>
      <c r="I31" s="876" t="s">
        <v>767</v>
      </c>
      <c r="J31" s="4"/>
      <c r="K31" s="877" t="s">
        <v>768</v>
      </c>
      <c r="L31" s="4"/>
      <c r="M31" s="878" t="s">
        <v>788</v>
      </c>
      <c r="N31" s="4"/>
      <c r="O31" s="4"/>
      <c r="P31" s="4"/>
      <c r="Q31" s="4"/>
      <c r="R31" s="4"/>
      <c r="S31" s="4"/>
      <c r="T31" s="4"/>
      <c r="U31" s="4"/>
      <c r="V31" s="4"/>
      <c r="W31" s="4"/>
      <c r="X31" s="4"/>
      <c r="Y31" s="4"/>
      <c r="Z31" s="4"/>
      <c r="AA31" s="4"/>
      <c r="AB31" s="4"/>
      <c r="AC31" s="4"/>
      <c r="AD31" s="4"/>
      <c r="AE31" s="4"/>
      <c r="AF31" s="4"/>
      <c r="AG31" s="4"/>
      <c r="AH31" s="4"/>
    </row>
    <row r="32" spans="1:34" ht="15.75" customHeight="1" x14ac:dyDescent="0.25">
      <c r="A32" s="4"/>
      <c r="B32" s="86" t="s">
        <v>789</v>
      </c>
      <c r="C32" s="622">
        <v>2011</v>
      </c>
      <c r="D32" s="2173" t="s">
        <v>771</v>
      </c>
      <c r="E32" s="2174"/>
      <c r="F32" s="2175" t="s">
        <v>790</v>
      </c>
      <c r="G32" s="2174"/>
      <c r="H32" s="4"/>
      <c r="I32" s="451">
        <v>11621000</v>
      </c>
      <c r="J32" s="4"/>
      <c r="K32" s="894">
        <f t="shared" ref="K32:K39" si="5">I32/$I$37</f>
        <v>2.0373350724576703E-2</v>
      </c>
      <c r="L32" s="4"/>
      <c r="M32" s="882">
        <f t="shared" ref="M32:M36" si="6">I32/SUM($I$32:$I$36)</f>
        <v>5.0390451394771378E-2</v>
      </c>
      <c r="N32" s="4"/>
      <c r="O32" s="4"/>
      <c r="P32" s="4"/>
      <c r="Q32" s="4"/>
      <c r="R32" s="4"/>
      <c r="S32" s="4"/>
      <c r="T32" s="4"/>
      <c r="U32" s="4"/>
      <c r="V32" s="4"/>
      <c r="W32" s="4"/>
      <c r="X32" s="4"/>
      <c r="Y32" s="4"/>
      <c r="Z32" s="4"/>
      <c r="AA32" s="4"/>
      <c r="AB32" s="4"/>
      <c r="AC32" s="4"/>
      <c r="AD32" s="4"/>
      <c r="AE32" s="4"/>
      <c r="AF32" s="4"/>
      <c r="AG32" s="4"/>
      <c r="AH32" s="4"/>
    </row>
    <row r="33" spans="1:34" ht="15.75" customHeight="1" x14ac:dyDescent="0.25">
      <c r="A33" s="4"/>
      <c r="B33" s="86" t="s">
        <v>789</v>
      </c>
      <c r="C33" s="436">
        <v>2011</v>
      </c>
      <c r="D33" s="2157" t="s">
        <v>773</v>
      </c>
      <c r="E33" s="2158"/>
      <c r="F33" s="2159" t="s">
        <v>791</v>
      </c>
      <c r="G33" s="2158"/>
      <c r="H33" s="4"/>
      <c r="I33" s="895">
        <v>189703064.09999999</v>
      </c>
      <c r="J33" s="4"/>
      <c r="K33" s="881">
        <f t="shared" si="5"/>
        <v>0.33257783826143666</v>
      </c>
      <c r="L33" s="4"/>
      <c r="M33" s="218">
        <f t="shared" si="6"/>
        <v>0.82258179424922551</v>
      </c>
      <c r="N33" s="4"/>
      <c r="O33" s="4"/>
      <c r="P33" s="4"/>
      <c r="Q33" s="4"/>
      <c r="R33" s="4"/>
      <c r="S33" s="4"/>
      <c r="T33" s="4"/>
      <c r="U33" s="4"/>
      <c r="V33" s="4"/>
      <c r="W33" s="4"/>
      <c r="X33" s="4"/>
      <c r="Y33" s="4"/>
      <c r="Z33" s="4"/>
      <c r="AA33" s="4"/>
      <c r="AB33" s="4"/>
      <c r="AC33" s="4"/>
      <c r="AD33" s="4"/>
      <c r="AE33" s="4"/>
      <c r="AF33" s="4"/>
      <c r="AG33" s="4"/>
      <c r="AH33" s="4"/>
    </row>
    <row r="34" spans="1:34" ht="15.75" customHeight="1" x14ac:dyDescent="0.25">
      <c r="A34" s="4"/>
      <c r="B34" s="86" t="s">
        <v>789</v>
      </c>
      <c r="C34" s="436">
        <v>2011</v>
      </c>
      <c r="D34" s="2157" t="s">
        <v>775</v>
      </c>
      <c r="E34" s="2158"/>
      <c r="F34" s="2159" t="s">
        <v>792</v>
      </c>
      <c r="G34" s="2158"/>
      <c r="H34" s="4"/>
      <c r="I34" s="206">
        <v>6818999</v>
      </c>
      <c r="J34" s="4"/>
      <c r="K34" s="881">
        <f t="shared" si="5"/>
        <v>1.1954724913306755E-2</v>
      </c>
      <c r="L34" s="4"/>
      <c r="M34" s="218">
        <f t="shared" si="6"/>
        <v>2.9568233170165617E-2</v>
      </c>
      <c r="N34" s="4"/>
      <c r="O34" s="4"/>
      <c r="P34" s="4"/>
      <c r="Q34" s="4"/>
      <c r="R34" s="4"/>
      <c r="S34" s="4"/>
      <c r="T34" s="4"/>
      <c r="U34" s="4"/>
      <c r="V34" s="4"/>
      <c r="W34" s="4"/>
      <c r="X34" s="4"/>
      <c r="Y34" s="4"/>
      <c r="Z34" s="4"/>
      <c r="AA34" s="4"/>
      <c r="AB34" s="4"/>
      <c r="AC34" s="4"/>
      <c r="AD34" s="4"/>
      <c r="AE34" s="4"/>
      <c r="AF34" s="4"/>
      <c r="AG34" s="4"/>
      <c r="AH34" s="4"/>
    </row>
    <row r="35" spans="1:34" ht="15.75" customHeight="1" x14ac:dyDescent="0.25">
      <c r="A35" s="4"/>
      <c r="B35" s="896" t="s">
        <v>793</v>
      </c>
      <c r="C35" s="436">
        <v>2011</v>
      </c>
      <c r="D35" s="2157" t="s">
        <v>794</v>
      </c>
      <c r="E35" s="2158"/>
      <c r="F35" s="2159" t="s">
        <v>795</v>
      </c>
      <c r="G35" s="2158"/>
      <c r="H35" s="4"/>
      <c r="I35" s="897">
        <v>18081260</v>
      </c>
      <c r="J35" s="4"/>
      <c r="K35" s="881">
        <f t="shared" si="5"/>
        <v>3.1699152527515685E-2</v>
      </c>
      <c r="L35" s="4"/>
      <c r="M35" s="218">
        <f t="shared" si="6"/>
        <v>7.8403136837296619E-2</v>
      </c>
      <c r="N35" s="4"/>
      <c r="O35" s="4"/>
      <c r="P35" s="4"/>
      <c r="Q35" s="4"/>
      <c r="R35" s="4"/>
      <c r="S35" s="4"/>
      <c r="T35" s="4"/>
      <c r="U35" s="4"/>
      <c r="V35" s="4"/>
      <c r="W35" s="4"/>
      <c r="X35" s="4"/>
      <c r="Y35" s="4"/>
      <c r="Z35" s="4"/>
      <c r="AA35" s="4"/>
      <c r="AB35" s="4"/>
      <c r="AC35" s="4"/>
      <c r="AD35" s="4"/>
      <c r="AE35" s="4"/>
      <c r="AF35" s="4"/>
      <c r="AG35" s="4"/>
      <c r="AH35" s="4"/>
    </row>
    <row r="36" spans="1:34" ht="15.75" customHeight="1" x14ac:dyDescent="0.25">
      <c r="A36" s="4"/>
      <c r="B36" s="86" t="s">
        <v>789</v>
      </c>
      <c r="C36" s="884">
        <v>2011</v>
      </c>
      <c r="D36" s="2160" t="s">
        <v>796</v>
      </c>
      <c r="E36" s="2161"/>
      <c r="F36" s="2162" t="s">
        <v>797</v>
      </c>
      <c r="G36" s="2161"/>
      <c r="H36" s="4"/>
      <c r="I36" s="192">
        <v>4394766</v>
      </c>
      <c r="J36" s="4"/>
      <c r="K36" s="885">
        <f t="shared" si="5"/>
        <v>7.7046819611431934E-3</v>
      </c>
      <c r="L36" s="4"/>
      <c r="M36" s="886">
        <f t="shared" si="6"/>
        <v>1.9056384348540904E-2</v>
      </c>
      <c r="N36" s="4"/>
      <c r="O36" s="4"/>
      <c r="P36" s="4"/>
      <c r="Q36" s="4"/>
      <c r="R36" s="4"/>
      <c r="S36" s="4"/>
      <c r="T36" s="4"/>
      <c r="U36" s="4"/>
      <c r="V36" s="4"/>
      <c r="W36" s="4"/>
      <c r="X36" s="4"/>
      <c r="Y36" s="4"/>
      <c r="Z36" s="4"/>
      <c r="AA36" s="4"/>
      <c r="AB36" s="4"/>
      <c r="AC36" s="4"/>
      <c r="AD36" s="4"/>
      <c r="AE36" s="4"/>
      <c r="AF36" s="4"/>
      <c r="AG36" s="4"/>
      <c r="AH36" s="4"/>
    </row>
    <row r="37" spans="1:34" ht="15.75" customHeight="1" x14ac:dyDescent="0.25">
      <c r="A37" s="4"/>
      <c r="B37" s="68" t="s">
        <v>798</v>
      </c>
      <c r="C37" s="883">
        <v>2011</v>
      </c>
      <c r="D37" s="2183" t="s">
        <v>799</v>
      </c>
      <c r="E37" s="2181"/>
      <c r="F37" s="2178" t="s">
        <v>783</v>
      </c>
      <c r="G37" s="2158"/>
      <c r="H37" s="4"/>
      <c r="I37" s="202">
        <f>C6*42*1000</f>
        <v>570402000</v>
      </c>
      <c r="J37" s="4"/>
      <c r="K37" s="881">
        <f t="shared" si="5"/>
        <v>1</v>
      </c>
      <c r="L37" s="4"/>
      <c r="M37" s="86"/>
      <c r="N37" s="4"/>
      <c r="O37" s="4"/>
      <c r="P37" s="4"/>
      <c r="Q37" s="4"/>
      <c r="R37" s="4"/>
      <c r="S37" s="4"/>
      <c r="T37" s="4"/>
      <c r="U37" s="4"/>
      <c r="V37" s="4"/>
      <c r="W37" s="4"/>
      <c r="X37" s="4"/>
      <c r="Y37" s="4"/>
      <c r="Z37" s="4"/>
      <c r="AA37" s="4"/>
      <c r="AB37" s="4"/>
      <c r="AC37" s="4"/>
      <c r="AD37" s="4"/>
      <c r="AE37" s="4"/>
      <c r="AF37" s="4"/>
      <c r="AG37" s="4"/>
      <c r="AH37" s="4"/>
    </row>
    <row r="38" spans="1:34" ht="15.75" customHeight="1" x14ac:dyDescent="0.25">
      <c r="A38" s="4"/>
      <c r="B38" s="890" t="s">
        <v>784</v>
      </c>
      <c r="C38" s="499">
        <v>2011</v>
      </c>
      <c r="D38" s="2166" t="s">
        <v>800</v>
      </c>
      <c r="E38" s="2167"/>
      <c r="F38" s="2179" t="s">
        <v>783</v>
      </c>
      <c r="G38" s="2167"/>
      <c r="H38" s="4"/>
      <c r="I38" s="898">
        <v>528232000</v>
      </c>
      <c r="J38" s="4"/>
      <c r="K38" s="889">
        <f t="shared" si="5"/>
        <v>0.92606968418764313</v>
      </c>
      <c r="L38" s="4"/>
      <c r="M38" s="358"/>
      <c r="N38" s="4"/>
      <c r="O38" s="4"/>
      <c r="P38" s="4"/>
      <c r="Q38" s="4"/>
      <c r="R38" s="4"/>
      <c r="S38" s="4"/>
      <c r="T38" s="4"/>
      <c r="U38" s="4"/>
      <c r="V38" s="4"/>
      <c r="W38" s="4"/>
      <c r="X38" s="4"/>
      <c r="Y38" s="4"/>
      <c r="Z38" s="4"/>
      <c r="AA38" s="4"/>
      <c r="AB38" s="4"/>
      <c r="AC38" s="4"/>
      <c r="AD38" s="4"/>
      <c r="AE38" s="4"/>
      <c r="AF38" s="4"/>
      <c r="AG38" s="4"/>
      <c r="AH38" s="4"/>
    </row>
    <row r="39" spans="1:34" ht="15.75" customHeight="1" x14ac:dyDescent="0.25">
      <c r="A39" s="4"/>
      <c r="B39" s="498" t="s">
        <v>801</v>
      </c>
      <c r="C39" s="891">
        <v>2011</v>
      </c>
      <c r="D39" s="2166" t="s">
        <v>802</v>
      </c>
      <c r="E39" s="2167"/>
      <c r="F39" s="2179" t="s">
        <v>783</v>
      </c>
      <c r="G39" s="2167"/>
      <c r="H39" s="86"/>
      <c r="I39" s="500">
        <f>I37-I38</f>
        <v>42170000</v>
      </c>
      <c r="J39" s="86"/>
      <c r="K39" s="892">
        <f t="shared" si="5"/>
        <v>7.39303158123569E-2</v>
      </c>
      <c r="L39" s="86"/>
      <c r="M39" s="893">
        <f>SUM(M32:M36)</f>
        <v>1</v>
      </c>
      <c r="N39" s="4"/>
      <c r="O39" s="4"/>
      <c r="P39" s="4"/>
      <c r="Q39" s="4"/>
      <c r="R39" s="4"/>
      <c r="S39" s="4"/>
      <c r="T39" s="4"/>
      <c r="U39" s="4"/>
      <c r="V39" s="4"/>
      <c r="W39" s="4"/>
      <c r="X39" s="4"/>
      <c r="Y39" s="4"/>
      <c r="Z39" s="4"/>
      <c r="AA39" s="4"/>
      <c r="AB39" s="4"/>
      <c r="AC39" s="4"/>
      <c r="AD39" s="4"/>
      <c r="AE39" s="4"/>
      <c r="AF39" s="4"/>
      <c r="AG39" s="4"/>
      <c r="AH39" s="4"/>
    </row>
    <row r="40" spans="1:34" ht="15.75" customHeight="1" x14ac:dyDescent="0.25">
      <c r="A40" s="4"/>
      <c r="B40" s="4"/>
      <c r="C40" s="4"/>
      <c r="D40" s="4"/>
      <c r="E40" s="4"/>
      <c r="F40" s="4"/>
      <c r="G40" s="4"/>
      <c r="H40" s="4"/>
      <c r="I40" s="98"/>
      <c r="J40" s="4"/>
      <c r="K40" s="65"/>
      <c r="L40" s="4"/>
      <c r="M40" s="4"/>
      <c r="N40" s="4"/>
      <c r="O40" s="4"/>
      <c r="P40" s="4"/>
      <c r="Q40" s="4"/>
      <c r="R40" s="4"/>
      <c r="S40" s="4"/>
      <c r="T40" s="4"/>
      <c r="U40" s="4"/>
      <c r="V40" s="4"/>
      <c r="W40" s="4"/>
      <c r="X40" s="4"/>
      <c r="Y40" s="4"/>
      <c r="Z40" s="4"/>
      <c r="AA40" s="4"/>
      <c r="AB40" s="4"/>
      <c r="AC40" s="4"/>
      <c r="AD40" s="4"/>
      <c r="AE40" s="4"/>
      <c r="AF40" s="4"/>
      <c r="AG40" s="4"/>
      <c r="AH40" s="4"/>
    </row>
    <row r="41" spans="1:34"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row>
    <row r="42" spans="1:34" ht="15.75" customHeight="1" x14ac:dyDescent="0.25">
      <c r="A42" s="4"/>
      <c r="B42" s="4"/>
      <c r="C42" s="883">
        <v>2011</v>
      </c>
      <c r="D42" s="2184" t="s">
        <v>803</v>
      </c>
      <c r="E42" s="2158"/>
      <c r="F42" s="2180" t="s">
        <v>222</v>
      </c>
      <c r="G42" s="2170"/>
      <c r="H42" s="2181"/>
      <c r="I42" s="899">
        <f>SUM(I32:I35)</f>
        <v>226224323.09999999</v>
      </c>
      <c r="J42" s="4"/>
      <c r="K42" s="98"/>
      <c r="L42" s="4"/>
      <c r="M42" s="4"/>
      <c r="N42" s="4"/>
      <c r="O42" s="4"/>
      <c r="P42" s="4"/>
      <c r="Q42" s="4"/>
      <c r="R42" s="4"/>
      <c r="S42" s="4"/>
      <c r="T42" s="4"/>
      <c r="U42" s="4"/>
      <c r="V42" s="4"/>
      <c r="W42" s="4"/>
      <c r="X42" s="4"/>
      <c r="Y42" s="4"/>
      <c r="Z42" s="4"/>
      <c r="AA42" s="4"/>
      <c r="AB42" s="4"/>
      <c r="AC42" s="4"/>
      <c r="AD42" s="4"/>
      <c r="AE42" s="4"/>
      <c r="AF42" s="4"/>
      <c r="AG42" s="4"/>
      <c r="AH42" s="4"/>
    </row>
    <row r="43" spans="1:34" ht="15.75" customHeight="1" x14ac:dyDescent="0.25">
      <c r="A43" s="4"/>
      <c r="B43" s="4"/>
      <c r="C43" s="883">
        <v>2011</v>
      </c>
      <c r="D43" s="2176" t="s">
        <v>794</v>
      </c>
      <c r="E43" s="2158"/>
      <c r="F43" s="2159" t="s">
        <v>761</v>
      </c>
      <c r="G43" s="2149"/>
      <c r="H43" s="2158"/>
      <c r="I43" s="900">
        <v>0</v>
      </c>
      <c r="J43" s="901"/>
      <c r="K43" s="4"/>
      <c r="L43" s="4"/>
      <c r="M43" s="4"/>
      <c r="N43" s="4"/>
      <c r="O43" s="4"/>
      <c r="P43" s="4"/>
      <c r="Q43" s="4"/>
      <c r="R43" s="4"/>
      <c r="S43" s="4"/>
      <c r="T43" s="4"/>
      <c r="U43" s="4"/>
      <c r="V43" s="4"/>
      <c r="W43" s="4"/>
      <c r="X43" s="4"/>
      <c r="Y43" s="4"/>
      <c r="Z43" s="4"/>
      <c r="AA43" s="4"/>
      <c r="AB43" s="4"/>
      <c r="AC43" s="4"/>
      <c r="AD43" s="4"/>
      <c r="AE43" s="4"/>
      <c r="AF43" s="4"/>
      <c r="AG43" s="4"/>
      <c r="AH43" s="4"/>
    </row>
    <row r="44" spans="1:34" ht="15.75" customHeight="1" x14ac:dyDescent="0.25">
      <c r="A44" s="4"/>
      <c r="B44" s="498" t="s">
        <v>798</v>
      </c>
      <c r="C44" s="883">
        <v>2011</v>
      </c>
      <c r="D44" s="2176" t="s">
        <v>796</v>
      </c>
      <c r="E44" s="2158"/>
      <c r="F44" s="902" t="s">
        <v>804</v>
      </c>
      <c r="G44" s="4"/>
      <c r="H44" s="4"/>
      <c r="I44" s="903">
        <f>C14*42*1000</f>
        <v>10710000</v>
      </c>
      <c r="J44" s="98"/>
      <c r="K44" s="98"/>
      <c r="L44" s="4"/>
      <c r="M44" s="4"/>
      <c r="N44" s="4"/>
      <c r="O44" s="4"/>
      <c r="P44" s="4"/>
      <c r="Q44" s="4"/>
      <c r="R44" s="4"/>
      <c r="S44" s="4"/>
      <c r="T44" s="4"/>
      <c r="U44" s="4"/>
      <c r="V44" s="4"/>
      <c r="W44" s="4"/>
      <c r="X44" s="4"/>
      <c r="Y44" s="4"/>
      <c r="Z44" s="4"/>
      <c r="AA44" s="4"/>
      <c r="AB44" s="4"/>
      <c r="AC44" s="4"/>
      <c r="AD44" s="4"/>
      <c r="AE44" s="4"/>
      <c r="AF44" s="4"/>
      <c r="AG44" s="4"/>
      <c r="AH44" s="4"/>
    </row>
    <row r="45" spans="1:34" ht="15.75" customHeight="1" x14ac:dyDescent="0.25">
      <c r="A45" s="39"/>
      <c r="B45" s="39"/>
      <c r="C45" s="39"/>
      <c r="D45" s="2177" t="s">
        <v>805</v>
      </c>
      <c r="E45" s="2155"/>
      <c r="F45" s="2171" t="s">
        <v>222</v>
      </c>
      <c r="G45" s="2172"/>
      <c r="H45" s="2164"/>
      <c r="I45" s="904">
        <f>SUM(I43:I44)</f>
        <v>10710000</v>
      </c>
      <c r="J45" s="905"/>
      <c r="K45" s="39"/>
      <c r="L45" s="39"/>
      <c r="M45" s="39"/>
      <c r="N45" s="4"/>
      <c r="O45" s="4"/>
      <c r="P45" s="4"/>
      <c r="Q45" s="4"/>
      <c r="R45" s="4"/>
      <c r="S45" s="4"/>
      <c r="T45" s="4"/>
      <c r="U45" s="4"/>
      <c r="V45" s="4"/>
      <c r="W45" s="4"/>
      <c r="X45" s="4"/>
      <c r="Y45" s="4"/>
      <c r="Z45" s="4"/>
      <c r="AA45" s="4"/>
      <c r="AB45" s="4"/>
      <c r="AC45" s="4"/>
      <c r="AD45" s="4"/>
      <c r="AE45" s="4"/>
      <c r="AF45" s="4"/>
      <c r="AG45" s="4"/>
      <c r="AH45" s="4"/>
    </row>
    <row r="46" spans="1:34" ht="15.75" customHeight="1" x14ac:dyDescent="0.25">
      <c r="A46" s="4"/>
      <c r="B46" s="752" t="s">
        <v>806</v>
      </c>
      <c r="C46" s="4"/>
      <c r="D46" s="4"/>
      <c r="E46" s="4"/>
      <c r="F46" s="4"/>
      <c r="G46" s="4"/>
      <c r="H46" s="4"/>
      <c r="I46" s="4"/>
      <c r="J46" s="98"/>
      <c r="K46" s="4"/>
      <c r="L46" s="4"/>
      <c r="M46" s="4"/>
      <c r="N46" s="4"/>
      <c r="O46" s="4"/>
      <c r="P46" s="4"/>
      <c r="Q46" s="4"/>
      <c r="R46" s="4"/>
      <c r="S46" s="4"/>
      <c r="T46" s="4"/>
      <c r="U46" s="4"/>
      <c r="V46" s="4"/>
      <c r="W46" s="4"/>
      <c r="X46" s="4"/>
      <c r="Y46" s="4"/>
      <c r="Z46" s="4"/>
      <c r="AA46" s="4"/>
      <c r="AB46" s="4"/>
      <c r="AC46" s="4"/>
      <c r="AD46" s="4"/>
      <c r="AE46" s="4"/>
      <c r="AF46" s="4"/>
      <c r="AG46" s="4"/>
      <c r="AH46" s="4"/>
    </row>
    <row r="47" spans="1:34" ht="15.75" customHeight="1" x14ac:dyDescent="0.25">
      <c r="A47" s="4"/>
      <c r="B47" s="906" t="s">
        <v>780</v>
      </c>
      <c r="C47" s="837">
        <v>124238</v>
      </c>
      <c r="D47" s="4" t="s">
        <v>807</v>
      </c>
      <c r="E47" s="4"/>
      <c r="F47" s="4"/>
      <c r="G47" s="4"/>
      <c r="H47" s="4"/>
      <c r="I47" s="4"/>
      <c r="J47" s="98"/>
      <c r="K47" s="4"/>
      <c r="L47" s="4"/>
      <c r="M47" s="4"/>
      <c r="N47" s="4"/>
      <c r="O47" s="4"/>
      <c r="P47" s="4"/>
      <c r="Q47" s="4"/>
      <c r="R47" s="4"/>
      <c r="S47" s="4"/>
      <c r="T47" s="4"/>
      <c r="U47" s="4"/>
      <c r="V47" s="4"/>
      <c r="W47" s="4"/>
      <c r="X47" s="4"/>
      <c r="Y47" s="4"/>
      <c r="Z47" s="4"/>
      <c r="AA47" s="4"/>
      <c r="AB47" s="4"/>
      <c r="AC47" s="4"/>
      <c r="AD47" s="4"/>
      <c r="AE47" s="4"/>
      <c r="AF47" s="4"/>
      <c r="AG47" s="4"/>
      <c r="AH47" s="4"/>
    </row>
    <row r="48" spans="1:34" ht="15.75" customHeight="1" x14ac:dyDescent="0.25">
      <c r="A48" s="4"/>
      <c r="B48" s="906" t="s">
        <v>353</v>
      </c>
      <c r="C48" s="837">
        <v>138690</v>
      </c>
      <c r="D48" s="4" t="s">
        <v>807</v>
      </c>
      <c r="E48" s="4"/>
      <c r="F48" s="4"/>
      <c r="G48" s="4"/>
      <c r="H48" s="4"/>
      <c r="I48" s="98"/>
      <c r="J48" s="98"/>
      <c r="K48" s="4"/>
      <c r="L48" s="4"/>
      <c r="M48" s="4"/>
      <c r="N48" s="4"/>
      <c r="O48" s="4"/>
      <c r="P48" s="4"/>
      <c r="Q48" s="4"/>
      <c r="R48" s="4"/>
      <c r="S48" s="4"/>
      <c r="T48" s="4"/>
      <c r="U48" s="4"/>
      <c r="V48" s="4"/>
      <c r="W48" s="4"/>
      <c r="X48" s="4"/>
      <c r="Y48" s="4"/>
      <c r="Z48" s="4"/>
      <c r="AA48" s="4"/>
      <c r="AB48" s="4"/>
      <c r="AC48" s="4"/>
      <c r="AD48" s="4"/>
      <c r="AE48" s="4"/>
      <c r="AF48" s="4"/>
      <c r="AG48" s="4"/>
      <c r="AH48" s="4"/>
    </row>
    <row r="49" spans="1:34" ht="15.75" customHeight="1" x14ac:dyDescent="0.25">
      <c r="A49" s="39"/>
      <c r="B49" s="39"/>
      <c r="C49" s="39"/>
      <c r="D49" s="2154"/>
      <c r="E49" s="2182"/>
      <c r="F49" s="39"/>
      <c r="G49" s="39"/>
      <c r="H49" s="39"/>
      <c r="I49" s="39"/>
      <c r="J49" s="39"/>
      <c r="K49" s="39"/>
      <c r="L49" s="39"/>
      <c r="M49" s="39"/>
      <c r="N49" s="4"/>
      <c r="O49" s="4"/>
      <c r="P49" s="4"/>
      <c r="Q49" s="4"/>
      <c r="R49" s="4"/>
      <c r="S49" s="4"/>
      <c r="T49" s="4"/>
      <c r="U49" s="4"/>
      <c r="V49" s="4"/>
      <c r="W49" s="4"/>
      <c r="X49" s="4"/>
      <c r="Y49" s="4"/>
      <c r="Z49" s="4"/>
      <c r="AA49" s="4"/>
      <c r="AB49" s="4"/>
      <c r="AC49" s="4"/>
      <c r="AD49" s="4"/>
      <c r="AE49" s="4"/>
      <c r="AF49" s="4"/>
      <c r="AG49" s="4"/>
      <c r="AH49" s="4"/>
    </row>
    <row r="50" spans="1:34"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row>
    <row r="51" spans="1:34"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row>
    <row r="52" spans="1:34" ht="21" customHeight="1" x14ac:dyDescent="0.4">
      <c r="A52" s="4"/>
      <c r="B52" s="907" t="s">
        <v>808</v>
      </c>
      <c r="C52" s="908"/>
      <c r="D52" s="908"/>
      <c r="E52" s="908"/>
      <c r="F52" s="908"/>
      <c r="G52" s="908"/>
      <c r="H52" s="908"/>
      <c r="I52" s="908"/>
      <c r="J52" s="908"/>
      <c r="K52" s="908"/>
      <c r="L52" s="908"/>
      <c r="M52" s="908"/>
      <c r="N52" s="908"/>
      <c r="O52" s="908"/>
      <c r="P52" s="908"/>
      <c r="Q52" s="908"/>
      <c r="R52" s="908"/>
      <c r="S52" s="908"/>
      <c r="T52" s="908"/>
      <c r="U52" s="908"/>
      <c r="V52" s="908"/>
      <c r="W52" s="908"/>
      <c r="X52" s="908"/>
      <c r="Y52" s="908"/>
      <c r="Z52" s="908"/>
      <c r="AA52" s="908"/>
      <c r="AB52" s="908"/>
      <c r="AC52" s="908"/>
      <c r="AD52" s="908"/>
      <c r="AE52" s="908"/>
      <c r="AF52" s="908"/>
      <c r="AG52" s="908"/>
      <c r="AH52" s="909"/>
    </row>
    <row r="53" spans="1:34" ht="15.75" customHeight="1" x14ac:dyDescent="0.25">
      <c r="A53" s="4"/>
      <c r="B53" s="910" t="s">
        <v>809</v>
      </c>
      <c r="C53" s="911"/>
      <c r="D53" s="911"/>
      <c r="E53" s="911"/>
      <c r="F53" s="911"/>
      <c r="G53" s="911"/>
      <c r="H53" s="911"/>
      <c r="I53" s="911"/>
      <c r="J53" s="911"/>
      <c r="K53" s="911"/>
      <c r="L53" s="911"/>
      <c r="M53" s="911"/>
      <c r="N53" s="911"/>
      <c r="O53" s="911"/>
      <c r="P53" s="4"/>
      <c r="Q53" s="4"/>
      <c r="R53" s="4"/>
      <c r="S53" s="4"/>
      <c r="T53" s="4"/>
      <c r="U53" s="4"/>
      <c r="V53" s="4"/>
      <c r="W53" s="4"/>
      <c r="X53" s="4"/>
      <c r="Y53" s="4"/>
      <c r="Z53" s="4"/>
      <c r="AA53" s="4"/>
      <c r="AB53" s="4"/>
      <c r="AC53" s="4"/>
      <c r="AD53" s="4"/>
      <c r="AE53" s="4"/>
      <c r="AF53" s="4"/>
      <c r="AG53" s="4"/>
      <c r="AH53" s="912"/>
    </row>
    <row r="54" spans="1:34" ht="15.75" customHeight="1" x14ac:dyDescent="0.25">
      <c r="A54" s="4"/>
      <c r="B54" s="913"/>
      <c r="C54" s="4"/>
      <c r="D54" s="4"/>
      <c r="E54" s="261"/>
      <c r="F54" s="261"/>
      <c r="G54" s="261"/>
      <c r="H54" s="261"/>
      <c r="I54" s="261"/>
      <c r="J54" s="261"/>
      <c r="K54" s="914"/>
      <c r="L54" s="915"/>
      <c r="M54" s="916" t="s">
        <v>810</v>
      </c>
      <c r="N54" s="915"/>
      <c r="O54" s="917"/>
      <c r="P54" s="261"/>
      <c r="Q54" s="914"/>
      <c r="R54" s="915"/>
      <c r="S54" s="915"/>
      <c r="T54" s="916" t="s">
        <v>811</v>
      </c>
      <c r="U54" s="918"/>
      <c r="V54" s="918"/>
      <c r="W54" s="918"/>
      <c r="X54" s="919"/>
      <c r="Y54" s="4"/>
      <c r="Z54" s="920"/>
      <c r="AA54" s="921" t="s">
        <v>812</v>
      </c>
      <c r="AB54" s="916"/>
      <c r="AC54" s="916"/>
      <c r="AD54" s="916"/>
      <c r="AE54" s="919"/>
      <c r="AF54" s="4"/>
      <c r="AG54" s="922" t="s">
        <v>813</v>
      </c>
      <c r="AH54" s="912"/>
    </row>
    <row r="55" spans="1:34" ht="15.75" customHeight="1" x14ac:dyDescent="0.25">
      <c r="A55" s="4"/>
      <c r="B55" s="913"/>
      <c r="C55" s="923" t="s">
        <v>627</v>
      </c>
      <c r="D55" s="4"/>
      <c r="E55" s="923" t="s">
        <v>627</v>
      </c>
      <c r="F55" s="923"/>
      <c r="G55" s="923" t="s">
        <v>814</v>
      </c>
      <c r="H55" s="261"/>
      <c r="I55" s="923" t="s">
        <v>815</v>
      </c>
      <c r="J55" s="261"/>
      <c r="K55" s="924" t="s">
        <v>628</v>
      </c>
      <c r="L55" s="261"/>
      <c r="M55" s="42" t="s">
        <v>628</v>
      </c>
      <c r="N55" s="261"/>
      <c r="O55" s="925" t="s">
        <v>628</v>
      </c>
      <c r="P55" s="261"/>
      <c r="Q55" s="926"/>
      <c r="R55" s="261"/>
      <c r="S55" s="261"/>
      <c r="T55" s="4"/>
      <c r="U55" s="4"/>
      <c r="V55" s="4"/>
      <c r="W55" s="4"/>
      <c r="X55" s="927"/>
      <c r="Y55" s="4"/>
      <c r="Z55" s="928"/>
      <c r="AA55" s="4"/>
      <c r="AB55" s="4"/>
      <c r="AC55" s="4"/>
      <c r="AD55" s="4"/>
      <c r="AE55" s="927"/>
      <c r="AF55" s="4"/>
      <c r="AG55" s="929" t="s">
        <v>816</v>
      </c>
      <c r="AH55" s="912"/>
    </row>
    <row r="56" spans="1:34" ht="45" customHeight="1" x14ac:dyDescent="0.25">
      <c r="A56" s="4"/>
      <c r="B56" s="930" t="s">
        <v>277</v>
      </c>
      <c r="C56" s="923" t="s">
        <v>817</v>
      </c>
      <c r="D56" s="4"/>
      <c r="E56" s="923" t="s">
        <v>630</v>
      </c>
      <c r="F56" s="261"/>
      <c r="G56" s="923" t="s">
        <v>818</v>
      </c>
      <c r="H56" s="261"/>
      <c r="I56" s="923" t="s">
        <v>819</v>
      </c>
      <c r="J56" s="261"/>
      <c r="K56" s="931" t="s">
        <v>820</v>
      </c>
      <c r="L56" s="923"/>
      <c r="M56" s="923" t="s">
        <v>821</v>
      </c>
      <c r="N56" s="261"/>
      <c r="O56" s="925" t="s">
        <v>822</v>
      </c>
      <c r="P56" s="261"/>
      <c r="Q56" s="932" t="s">
        <v>823</v>
      </c>
      <c r="R56" s="933" t="s">
        <v>824</v>
      </c>
      <c r="S56" s="933" t="s">
        <v>825</v>
      </c>
      <c r="T56" s="934" t="s">
        <v>826</v>
      </c>
      <c r="U56" s="4"/>
      <c r="V56" s="934" t="s">
        <v>827</v>
      </c>
      <c r="W56" s="4"/>
      <c r="X56" s="935" t="s">
        <v>828</v>
      </c>
      <c r="Y56" s="933"/>
      <c r="Z56" s="932" t="s">
        <v>829</v>
      </c>
      <c r="AA56" s="934" t="s">
        <v>830</v>
      </c>
      <c r="AB56" s="4"/>
      <c r="AC56" s="934" t="s">
        <v>831</v>
      </c>
      <c r="AD56" s="4"/>
      <c r="AE56" s="935" t="s">
        <v>832</v>
      </c>
      <c r="AF56" s="4"/>
      <c r="AG56" s="936" t="s">
        <v>833</v>
      </c>
      <c r="AH56" s="912"/>
    </row>
    <row r="57" spans="1:34" ht="15.75" customHeight="1" x14ac:dyDescent="0.25">
      <c r="A57" s="4"/>
      <c r="B57" s="913" t="s">
        <v>834</v>
      </c>
      <c r="C57" s="98">
        <f>E5</f>
        <v>1764000</v>
      </c>
      <c r="D57" s="4"/>
      <c r="E57" s="937">
        <f>G5</f>
        <v>210</v>
      </c>
      <c r="F57" s="938" t="s">
        <v>835</v>
      </c>
      <c r="G57" s="939">
        <v>41.53</v>
      </c>
      <c r="H57" s="938" t="s">
        <v>835</v>
      </c>
      <c r="I57" s="940">
        <v>1</v>
      </c>
      <c r="J57" s="938" t="s">
        <v>836</v>
      </c>
      <c r="K57" s="941">
        <f t="shared" ref="K57:K73" si="7">E57*1000*G57*I57/2000</f>
        <v>4360.6499999999996</v>
      </c>
      <c r="L57" s="938" t="s">
        <v>836</v>
      </c>
      <c r="M57" s="942">
        <f t="shared" ref="M57:M73" si="8">K57*0.90718474/1000000</f>
        <v>3.9559151364810001E-3</v>
      </c>
      <c r="N57" s="938" t="s">
        <v>836</v>
      </c>
      <c r="O57" s="943">
        <f t="shared" ref="O57:O73" si="9">M57*44/12</f>
        <v>1.4505022167097001E-2</v>
      </c>
      <c r="P57" s="261"/>
      <c r="Q57" s="944">
        <v>22.257999999999999</v>
      </c>
      <c r="R57" s="4"/>
      <c r="S57" s="945">
        <v>0.04</v>
      </c>
      <c r="T57" s="946">
        <f>E57*1000*Q57*S57/1000000000</f>
        <v>1.869672E-4</v>
      </c>
      <c r="U57" s="938" t="s">
        <v>836</v>
      </c>
      <c r="V57" s="947">
        <f t="shared" ref="V57:V63" si="10">T57*$P$10*12/44*1000</f>
        <v>13.512629454545454</v>
      </c>
      <c r="W57" s="938" t="s">
        <v>836</v>
      </c>
      <c r="X57" s="948">
        <f t="shared" ref="X57:X63" si="11">V57*44/12</f>
        <v>49.546308000000003</v>
      </c>
      <c r="Y57" s="949"/>
      <c r="Z57" s="950">
        <v>2.64</v>
      </c>
      <c r="AA57" s="951">
        <f>E57*1000*Q57*Z57/1000000000</f>
        <v>1.2339835200000001E-2</v>
      </c>
      <c r="AB57" s="938" t="s">
        <v>836</v>
      </c>
      <c r="AC57" s="949">
        <f t="shared" ref="AC57:AC63" si="12">AA57*$P$9*12/44*1000</f>
        <v>94.231468800000016</v>
      </c>
      <c r="AD57" s="938" t="s">
        <v>836</v>
      </c>
      <c r="AE57" s="952">
        <f t="shared" ref="AE57:AE63" si="13">AC57*44/12</f>
        <v>345.5153856</v>
      </c>
      <c r="AF57" s="4" t="s">
        <v>835</v>
      </c>
      <c r="AG57" s="953">
        <f t="shared" ref="AG57:AG63" si="14">X57+AE57</f>
        <v>395.06169360000001</v>
      </c>
      <c r="AH57" s="912"/>
    </row>
    <row r="58" spans="1:34" ht="15.75" customHeight="1" x14ac:dyDescent="0.25">
      <c r="A58" s="4"/>
      <c r="B58" s="913" t="s">
        <v>837</v>
      </c>
      <c r="C58" s="954">
        <f t="shared" ref="C58:C62" si="15">I32</f>
        <v>11621000</v>
      </c>
      <c r="D58" s="4"/>
      <c r="E58" s="937">
        <f t="shared" ref="E58:E62" si="16">C58*$C$48/1000000000</f>
        <v>1611.71649</v>
      </c>
      <c r="F58" s="938" t="s">
        <v>835</v>
      </c>
      <c r="G58" s="939">
        <v>44.43</v>
      </c>
      <c r="H58" s="938" t="s">
        <v>835</v>
      </c>
      <c r="I58" s="940">
        <v>1</v>
      </c>
      <c r="J58" s="938" t="s">
        <v>836</v>
      </c>
      <c r="K58" s="941">
        <f t="shared" si="7"/>
        <v>35804.281825350001</v>
      </c>
      <c r="L58" s="938" t="s">
        <v>836</v>
      </c>
      <c r="M58" s="942">
        <f t="shared" si="8"/>
        <v>3.2481098098616872E-2</v>
      </c>
      <c r="N58" s="938" t="s">
        <v>836</v>
      </c>
      <c r="O58" s="943">
        <f t="shared" si="9"/>
        <v>0.11909735969492853</v>
      </c>
      <c r="P58" s="261"/>
      <c r="Q58" s="928"/>
      <c r="R58" s="955">
        <v>3.1920000000000002</v>
      </c>
      <c r="S58" s="956">
        <v>0.08</v>
      </c>
      <c r="T58" s="946">
        <f t="shared" ref="T58:T62" si="17">C58*R58*S58/1000000000</f>
        <v>2.96753856E-3</v>
      </c>
      <c r="U58" s="938" t="s">
        <v>836</v>
      </c>
      <c r="V58" s="947">
        <f t="shared" si="10"/>
        <v>214.47210501818182</v>
      </c>
      <c r="W58" s="938" t="s">
        <v>836</v>
      </c>
      <c r="X58" s="948">
        <f t="shared" si="11"/>
        <v>786.39771840000003</v>
      </c>
      <c r="Y58" s="4"/>
      <c r="Z58" s="950">
        <v>0.45</v>
      </c>
      <c r="AA58" s="951">
        <f t="shared" ref="AA58:AA62" si="18">C58*R58*Z58/1000000000</f>
        <v>1.6692404399999999E-2</v>
      </c>
      <c r="AB58" s="938" t="s">
        <v>836</v>
      </c>
      <c r="AC58" s="949">
        <f t="shared" si="12"/>
        <v>127.46926996363636</v>
      </c>
      <c r="AD58" s="938" t="s">
        <v>836</v>
      </c>
      <c r="AE58" s="952">
        <f t="shared" si="13"/>
        <v>467.38732320000003</v>
      </c>
      <c r="AF58" s="4"/>
      <c r="AG58" s="953">
        <f t="shared" si="14"/>
        <v>1253.7850416000001</v>
      </c>
      <c r="AH58" s="912"/>
    </row>
    <row r="59" spans="1:34" ht="15.75" customHeight="1" x14ac:dyDescent="0.25">
      <c r="A59" s="4"/>
      <c r="B59" s="913" t="s">
        <v>838</v>
      </c>
      <c r="C59" s="954">
        <f t="shared" si="15"/>
        <v>189703064.09999999</v>
      </c>
      <c r="D59" s="4"/>
      <c r="E59" s="937">
        <f t="shared" si="16"/>
        <v>26309.917960029001</v>
      </c>
      <c r="F59" s="938" t="s">
        <v>835</v>
      </c>
      <c r="G59" s="939">
        <v>44.43</v>
      </c>
      <c r="H59" s="938" t="s">
        <v>835</v>
      </c>
      <c r="I59" s="940">
        <v>1</v>
      </c>
      <c r="J59" s="938" t="s">
        <v>836</v>
      </c>
      <c r="K59" s="941">
        <f t="shared" si="7"/>
        <v>584474.82748204435</v>
      </c>
      <c r="L59" s="938" t="s">
        <v>836</v>
      </c>
      <c r="M59" s="942">
        <f t="shared" si="8"/>
        <v>0.53022664440584322</v>
      </c>
      <c r="N59" s="938" t="s">
        <v>836</v>
      </c>
      <c r="O59" s="943">
        <f t="shared" si="9"/>
        <v>1.9441643628214251</v>
      </c>
      <c r="P59" s="261"/>
      <c r="Q59" s="928"/>
      <c r="R59" s="955">
        <v>3.1920000000000002</v>
      </c>
      <c r="S59" s="956">
        <v>0.08</v>
      </c>
      <c r="T59" s="946">
        <f t="shared" si="17"/>
        <v>4.8442574448576005E-2</v>
      </c>
      <c r="U59" s="938" t="s">
        <v>836</v>
      </c>
      <c r="V59" s="947">
        <f t="shared" si="10"/>
        <v>3501.0769715107208</v>
      </c>
      <c r="W59" s="938" t="s">
        <v>836</v>
      </c>
      <c r="X59" s="948">
        <f t="shared" si="11"/>
        <v>12837.282228872644</v>
      </c>
      <c r="Y59" s="4"/>
      <c r="Z59" s="950">
        <v>0.45</v>
      </c>
      <c r="AA59" s="951">
        <f t="shared" si="18"/>
        <v>0.27248948127324002</v>
      </c>
      <c r="AB59" s="938" t="s">
        <v>836</v>
      </c>
      <c r="AC59" s="949">
        <f t="shared" si="12"/>
        <v>2080.8287660865599</v>
      </c>
      <c r="AD59" s="938" t="s">
        <v>836</v>
      </c>
      <c r="AE59" s="952">
        <f t="shared" si="13"/>
        <v>7629.7054756507196</v>
      </c>
      <c r="AF59" s="4"/>
      <c r="AG59" s="953">
        <f t="shared" si="14"/>
        <v>20466.987704523362</v>
      </c>
      <c r="AH59" s="912"/>
    </row>
    <row r="60" spans="1:34" ht="15.75" customHeight="1" x14ac:dyDescent="0.25">
      <c r="A60" s="4"/>
      <c r="B60" s="913" t="s">
        <v>839</v>
      </c>
      <c r="C60" s="954">
        <f t="shared" si="15"/>
        <v>6818999</v>
      </c>
      <c r="D60" s="4"/>
      <c r="E60" s="937">
        <f t="shared" si="16"/>
        <v>945.72697130999995</v>
      </c>
      <c r="F60" s="938" t="s">
        <v>835</v>
      </c>
      <c r="G60" s="939">
        <v>44.43</v>
      </c>
      <c r="H60" s="938" t="s">
        <v>835</v>
      </c>
      <c r="I60" s="940">
        <v>1</v>
      </c>
      <c r="J60" s="938" t="s">
        <v>836</v>
      </c>
      <c r="K60" s="941">
        <f t="shared" si="7"/>
        <v>21009.32466765165</v>
      </c>
      <c r="L60" s="938" t="s">
        <v>836</v>
      </c>
      <c r="M60" s="942">
        <f t="shared" si="8"/>
        <v>1.9059338736199149E-2</v>
      </c>
      <c r="N60" s="938" t="s">
        <v>836</v>
      </c>
      <c r="O60" s="943">
        <f t="shared" si="9"/>
        <v>6.9884242032730207E-2</v>
      </c>
      <c r="P60" s="261"/>
      <c r="Q60" s="928"/>
      <c r="R60" s="955">
        <v>3.1920000000000002</v>
      </c>
      <c r="S60" s="956">
        <v>0.08</v>
      </c>
      <c r="T60" s="946">
        <f t="shared" si="17"/>
        <v>1.7412995846400002E-3</v>
      </c>
      <c r="U60" s="938" t="s">
        <v>836</v>
      </c>
      <c r="V60" s="947">
        <f t="shared" si="10"/>
        <v>125.84846998080002</v>
      </c>
      <c r="W60" s="938" t="s">
        <v>836</v>
      </c>
      <c r="X60" s="948">
        <f t="shared" si="11"/>
        <v>461.44438992960005</v>
      </c>
      <c r="Y60" s="4"/>
      <c r="Z60" s="950">
        <v>0.18</v>
      </c>
      <c r="AA60" s="951">
        <f t="shared" si="18"/>
        <v>3.9179240654400004E-3</v>
      </c>
      <c r="AB60" s="938" t="s">
        <v>836</v>
      </c>
      <c r="AC60" s="949">
        <f t="shared" si="12"/>
        <v>29.918692863360004</v>
      </c>
      <c r="AD60" s="938" t="s">
        <v>836</v>
      </c>
      <c r="AE60" s="952">
        <f t="shared" si="13"/>
        <v>109.70187383232002</v>
      </c>
      <c r="AF60" s="4"/>
      <c r="AG60" s="953">
        <f t="shared" si="14"/>
        <v>571.14626376192007</v>
      </c>
      <c r="AH60" s="912"/>
    </row>
    <row r="61" spans="1:34" ht="15.75" customHeight="1" x14ac:dyDescent="0.25">
      <c r="A61" s="4"/>
      <c r="B61" s="913" t="s">
        <v>840</v>
      </c>
      <c r="C61" s="954">
        <f t="shared" si="15"/>
        <v>18081260</v>
      </c>
      <c r="D61" s="4"/>
      <c r="E61" s="937">
        <f t="shared" si="16"/>
        <v>2507.6899493999999</v>
      </c>
      <c r="F61" s="938" t="s">
        <v>835</v>
      </c>
      <c r="G61" s="939">
        <v>44.43</v>
      </c>
      <c r="H61" s="938" t="s">
        <v>835</v>
      </c>
      <c r="I61" s="940">
        <v>1</v>
      </c>
      <c r="J61" s="938" t="s">
        <v>836</v>
      </c>
      <c r="K61" s="941">
        <f t="shared" si="7"/>
        <v>55708.332225920996</v>
      </c>
      <c r="L61" s="938" t="s">
        <v>836</v>
      </c>
      <c r="M61" s="942">
        <f t="shared" si="8"/>
        <v>5.0537748886205762E-2</v>
      </c>
      <c r="N61" s="938" t="s">
        <v>836</v>
      </c>
      <c r="O61" s="943">
        <f t="shared" si="9"/>
        <v>0.18530507924942111</v>
      </c>
      <c r="P61" s="261"/>
      <c r="Q61" s="928"/>
      <c r="R61" s="955">
        <v>3.1920000000000002</v>
      </c>
      <c r="S61" s="956">
        <v>0.08</v>
      </c>
      <c r="T61" s="946">
        <f t="shared" si="17"/>
        <v>4.6172305536E-3</v>
      </c>
      <c r="U61" s="938" t="s">
        <v>836</v>
      </c>
      <c r="V61" s="947">
        <f t="shared" si="10"/>
        <v>333.69984455563633</v>
      </c>
      <c r="W61" s="938" t="s">
        <v>836</v>
      </c>
      <c r="X61" s="948">
        <f t="shared" si="11"/>
        <v>1223.5660967039998</v>
      </c>
      <c r="Y61" s="4"/>
      <c r="Z61" s="950">
        <v>0.25</v>
      </c>
      <c r="AA61" s="951">
        <f t="shared" si="18"/>
        <v>1.4428845480000001E-2</v>
      </c>
      <c r="AB61" s="938" t="s">
        <v>836</v>
      </c>
      <c r="AC61" s="949">
        <f t="shared" si="12"/>
        <v>110.18391093818182</v>
      </c>
      <c r="AD61" s="938" t="s">
        <v>836</v>
      </c>
      <c r="AE61" s="952">
        <f t="shared" si="13"/>
        <v>404.00767344000002</v>
      </c>
      <c r="AF61" s="4"/>
      <c r="AG61" s="953">
        <f t="shared" si="14"/>
        <v>1627.5737701439998</v>
      </c>
      <c r="AH61" s="912"/>
    </row>
    <row r="62" spans="1:34" ht="15.75" customHeight="1" x14ac:dyDescent="0.25">
      <c r="A62" s="4"/>
      <c r="B62" s="913" t="s">
        <v>841</v>
      </c>
      <c r="C62" s="954">
        <f t="shared" si="15"/>
        <v>4394766</v>
      </c>
      <c r="D62" s="4"/>
      <c r="E62" s="937">
        <f t="shared" si="16"/>
        <v>609.51009653999995</v>
      </c>
      <c r="F62" s="938" t="s">
        <v>835</v>
      </c>
      <c r="G62" s="939">
        <v>44.43</v>
      </c>
      <c r="H62" s="938" t="s">
        <v>835</v>
      </c>
      <c r="I62" s="940">
        <v>1</v>
      </c>
      <c r="J62" s="938" t="s">
        <v>836</v>
      </c>
      <c r="K62" s="941">
        <f t="shared" si="7"/>
        <v>13540.266794636098</v>
      </c>
      <c r="L62" s="938" t="s">
        <v>836</v>
      </c>
      <c r="M62" s="942">
        <f t="shared" si="8"/>
        <v>1.2283523411622583E-2</v>
      </c>
      <c r="N62" s="938" t="s">
        <v>836</v>
      </c>
      <c r="O62" s="943">
        <f t="shared" si="9"/>
        <v>4.5039585842616137E-2</v>
      </c>
      <c r="P62" s="261"/>
      <c r="Q62" s="928"/>
      <c r="R62" s="955">
        <v>3.1920000000000002</v>
      </c>
      <c r="S62" s="956">
        <v>0.08</v>
      </c>
      <c r="T62" s="946">
        <f t="shared" si="17"/>
        <v>1.1222474457600001E-3</v>
      </c>
      <c r="U62" s="938" t="s">
        <v>836</v>
      </c>
      <c r="V62" s="947">
        <f t="shared" si="10"/>
        <v>81.107883579927275</v>
      </c>
      <c r="W62" s="938" t="s">
        <v>836</v>
      </c>
      <c r="X62" s="948">
        <f t="shared" si="11"/>
        <v>297.3955731264</v>
      </c>
      <c r="Y62" s="4"/>
      <c r="Z62" s="950">
        <v>0.23</v>
      </c>
      <c r="AA62" s="951">
        <f t="shared" si="18"/>
        <v>3.2264614065600004E-3</v>
      </c>
      <c r="AB62" s="938" t="s">
        <v>836</v>
      </c>
      <c r="AC62" s="949">
        <f t="shared" si="12"/>
        <v>24.63843255918546</v>
      </c>
      <c r="AD62" s="938" t="s">
        <v>836</v>
      </c>
      <c r="AE62" s="952">
        <f t="shared" si="13"/>
        <v>90.340919383680031</v>
      </c>
      <c r="AF62" s="4"/>
      <c r="AG62" s="953">
        <f t="shared" si="14"/>
        <v>387.73649251008004</v>
      </c>
      <c r="AH62" s="912"/>
    </row>
    <row r="63" spans="1:34" ht="15.75" customHeight="1" x14ac:dyDescent="0.25">
      <c r="A63" s="4"/>
      <c r="B63" s="913" t="s">
        <v>842</v>
      </c>
      <c r="C63" s="98">
        <f>C8</f>
        <v>2705</v>
      </c>
      <c r="D63" s="4"/>
      <c r="E63" s="937">
        <f>G8</f>
        <v>15339</v>
      </c>
      <c r="F63" s="938" t="s">
        <v>835</v>
      </c>
      <c r="G63" s="652">
        <v>43.431818181818173</v>
      </c>
      <c r="H63" s="938" t="s">
        <v>835</v>
      </c>
      <c r="I63" s="940">
        <v>1</v>
      </c>
      <c r="J63" s="938" t="s">
        <v>836</v>
      </c>
      <c r="K63" s="941">
        <f t="shared" si="7"/>
        <v>333100.32954545453</v>
      </c>
      <c r="L63" s="938" t="s">
        <v>836</v>
      </c>
      <c r="M63" s="942">
        <f t="shared" si="8"/>
        <v>0.30218353585260749</v>
      </c>
      <c r="N63" s="938" t="s">
        <v>836</v>
      </c>
      <c r="O63" s="943">
        <f t="shared" si="9"/>
        <v>1.1080062981262275</v>
      </c>
      <c r="P63" s="261"/>
      <c r="Q63" s="944">
        <v>22.24</v>
      </c>
      <c r="R63" s="4"/>
      <c r="S63" s="945">
        <v>0.1</v>
      </c>
      <c r="T63" s="946">
        <f>E63*1000*Q63*S63/1000000000</f>
        <v>3.4113935999999997E-2</v>
      </c>
      <c r="U63" s="938" t="s">
        <v>836</v>
      </c>
      <c r="V63" s="947">
        <f t="shared" si="10"/>
        <v>2465.5071927272729</v>
      </c>
      <c r="W63" s="938" t="s">
        <v>836</v>
      </c>
      <c r="X63" s="948">
        <f t="shared" si="11"/>
        <v>9040.1930400000001</v>
      </c>
      <c r="Y63" s="4"/>
      <c r="Z63" s="950">
        <v>8.7000000000000008E-2</v>
      </c>
      <c r="AA63" s="951">
        <f>E63*1000*Q63*Z63/1000000000</f>
        <v>2.9679124320000003E-2</v>
      </c>
      <c r="AB63" s="938" t="s">
        <v>836</v>
      </c>
      <c r="AC63" s="949">
        <f t="shared" si="12"/>
        <v>226.64058571636366</v>
      </c>
      <c r="AD63" s="938" t="s">
        <v>836</v>
      </c>
      <c r="AE63" s="952">
        <f t="shared" si="13"/>
        <v>831.01548095999999</v>
      </c>
      <c r="AF63" s="4" t="s">
        <v>835</v>
      </c>
      <c r="AG63" s="953">
        <f t="shared" si="14"/>
        <v>9871.2085209600009</v>
      </c>
      <c r="AH63" s="912"/>
    </row>
    <row r="64" spans="1:34" ht="15.75" customHeight="1" x14ac:dyDescent="0.25">
      <c r="A64" s="4"/>
      <c r="B64" s="913" t="s">
        <v>843</v>
      </c>
      <c r="C64" s="957">
        <v>0</v>
      </c>
      <c r="D64" s="4"/>
      <c r="E64" s="937">
        <v>0</v>
      </c>
      <c r="F64" s="938" t="s">
        <v>835</v>
      </c>
      <c r="G64" s="939">
        <v>43.39</v>
      </c>
      <c r="H64" s="938" t="s">
        <v>835</v>
      </c>
      <c r="I64" s="940">
        <v>1</v>
      </c>
      <c r="J64" s="938" t="s">
        <v>836</v>
      </c>
      <c r="K64" s="941">
        <f t="shared" si="7"/>
        <v>0</v>
      </c>
      <c r="L64" s="938" t="s">
        <v>836</v>
      </c>
      <c r="M64" s="942">
        <f t="shared" si="8"/>
        <v>0</v>
      </c>
      <c r="N64" s="938" t="s">
        <v>836</v>
      </c>
      <c r="O64" s="943">
        <f t="shared" si="9"/>
        <v>0</v>
      </c>
      <c r="P64" s="261"/>
      <c r="Q64" s="926"/>
      <c r="R64" s="261"/>
      <c r="S64" s="945">
        <v>0.1</v>
      </c>
      <c r="T64" s="4"/>
      <c r="U64" s="4"/>
      <c r="V64" s="947"/>
      <c r="W64" s="4"/>
      <c r="X64" s="948"/>
      <c r="Y64" s="4"/>
      <c r="Z64" s="950">
        <v>8.6999999999999994E-2</v>
      </c>
      <c r="AA64" s="951"/>
      <c r="AB64" s="4"/>
      <c r="AC64" s="4"/>
      <c r="AD64" s="4"/>
      <c r="AE64" s="927"/>
      <c r="AF64" s="4"/>
      <c r="AG64" s="958"/>
      <c r="AH64" s="912"/>
    </row>
    <row r="65" spans="1:34" ht="15.75" customHeight="1" x14ac:dyDescent="0.25">
      <c r="A65" s="4"/>
      <c r="B65" s="913" t="s">
        <v>844</v>
      </c>
      <c r="C65" s="98">
        <f>E9</f>
        <v>3192000</v>
      </c>
      <c r="D65" s="4"/>
      <c r="E65" s="937">
        <f>G9</f>
        <v>293</v>
      </c>
      <c r="F65" s="938" t="s">
        <v>835</v>
      </c>
      <c r="G65" s="652">
        <v>37.110283550140529</v>
      </c>
      <c r="H65" s="938" t="s">
        <v>835</v>
      </c>
      <c r="I65" s="940">
        <v>1</v>
      </c>
      <c r="J65" s="938" t="s">
        <v>836</v>
      </c>
      <c r="K65" s="941">
        <f t="shared" si="7"/>
        <v>5436.6565400955869</v>
      </c>
      <c r="L65" s="938" t="s">
        <v>836</v>
      </c>
      <c r="M65" s="942">
        <f t="shared" si="8"/>
        <v>4.9320518497959149E-3</v>
      </c>
      <c r="N65" s="938" t="s">
        <v>836</v>
      </c>
      <c r="O65" s="943">
        <f t="shared" si="9"/>
        <v>1.8084190115918355E-2</v>
      </c>
      <c r="P65" s="261"/>
      <c r="Q65" s="926"/>
      <c r="R65" s="261"/>
      <c r="S65" s="261"/>
      <c r="T65" s="4"/>
      <c r="U65" s="4"/>
      <c r="V65" s="947"/>
      <c r="W65" s="4"/>
      <c r="X65" s="948"/>
      <c r="Y65" s="4"/>
      <c r="Z65" s="928"/>
      <c r="AA65" s="951"/>
      <c r="AB65" s="4"/>
      <c r="AC65" s="4"/>
      <c r="AD65" s="4"/>
      <c r="AE65" s="927"/>
      <c r="AF65" s="4"/>
      <c r="AG65" s="958"/>
      <c r="AH65" s="912"/>
    </row>
    <row r="66" spans="1:34" ht="15.75" customHeight="1" x14ac:dyDescent="0.25">
      <c r="A66" s="4"/>
      <c r="B66" s="913" t="s">
        <v>845</v>
      </c>
      <c r="C66" s="954">
        <f t="shared" ref="C66:C70" si="19">I19</f>
        <v>9437000</v>
      </c>
      <c r="D66" s="4"/>
      <c r="E66" s="937">
        <f>K26*G11</f>
        <v>32678.127158234041</v>
      </c>
      <c r="F66" s="938" t="s">
        <v>835</v>
      </c>
      <c r="G66" s="652">
        <v>42.900741155457617</v>
      </c>
      <c r="H66" s="938" t="s">
        <v>835</v>
      </c>
      <c r="I66" s="940">
        <v>1</v>
      </c>
      <c r="J66" s="938" t="s">
        <v>836</v>
      </c>
      <c r="K66" s="941">
        <f t="shared" si="7"/>
        <v>700957.93733026425</v>
      </c>
      <c r="L66" s="938" t="s">
        <v>836</v>
      </c>
      <c r="M66" s="942">
        <f t="shared" si="8"/>
        <v>0.63589834412789203</v>
      </c>
      <c r="N66" s="938" t="s">
        <v>836</v>
      </c>
      <c r="O66" s="943">
        <f t="shared" si="9"/>
        <v>2.3316272618022711</v>
      </c>
      <c r="P66" s="261"/>
      <c r="Q66" s="926"/>
      <c r="R66" s="956">
        <v>2.8008999999999999</v>
      </c>
      <c r="S66" s="956">
        <v>0.08</v>
      </c>
      <c r="T66" s="946">
        <f t="shared" ref="T66:T71" si="20">C66*R66*S66/1000000000</f>
        <v>2.1145674640000002E-3</v>
      </c>
      <c r="U66" s="938" t="s">
        <v>836</v>
      </c>
      <c r="V66" s="947">
        <f t="shared" ref="V66:V71" si="21">T66*$P$10*12/44*1000</f>
        <v>152.82555762545456</v>
      </c>
      <c r="W66" s="938" t="s">
        <v>836</v>
      </c>
      <c r="X66" s="948">
        <f t="shared" ref="X66:X71" si="22">V66*44/12</f>
        <v>560.36037796000005</v>
      </c>
      <c r="Y66" s="4"/>
      <c r="Z66" s="950">
        <v>0.45</v>
      </c>
      <c r="AA66" s="951">
        <f t="shared" ref="AA66:AA71" si="23">C66*R66*Z66/1000000000</f>
        <v>1.1894441985000002E-2</v>
      </c>
      <c r="AB66" s="938" t="s">
        <v>836</v>
      </c>
      <c r="AC66" s="949">
        <f t="shared" ref="AC66:AC71" si="24">AA66*$P$9*12/44*1000</f>
        <v>90.830284249090909</v>
      </c>
      <c r="AD66" s="938" t="s">
        <v>836</v>
      </c>
      <c r="AE66" s="952">
        <f t="shared" ref="AE66:AE71" si="25">AC66*44/12</f>
        <v>333.04437558000001</v>
      </c>
      <c r="AF66" s="4"/>
      <c r="AG66" s="953">
        <f t="shared" ref="AG66:AG71" si="26">X66+AE66</f>
        <v>893.40475354</v>
      </c>
      <c r="AH66" s="912"/>
    </row>
    <row r="67" spans="1:34" ht="15.75" customHeight="1" x14ac:dyDescent="0.25">
      <c r="A67" s="4"/>
      <c r="B67" s="913" t="s">
        <v>846</v>
      </c>
      <c r="C67" s="954">
        <f t="shared" si="19"/>
        <v>13677000</v>
      </c>
      <c r="D67" s="4"/>
      <c r="E67" s="937">
        <f>C67*C47/1000000000</f>
        <v>1699.2031260000001</v>
      </c>
      <c r="F67" s="938" t="s">
        <v>835</v>
      </c>
      <c r="G67" s="652">
        <v>42.900741155457617</v>
      </c>
      <c r="H67" s="938" t="s">
        <v>835</v>
      </c>
      <c r="I67" s="940">
        <v>1</v>
      </c>
      <c r="J67" s="938" t="s">
        <v>836</v>
      </c>
      <c r="K67" s="941">
        <f t="shared" si="7"/>
        <v>36448.536739535222</v>
      </c>
      <c r="L67" s="938" t="s">
        <v>836</v>
      </c>
      <c r="M67" s="942">
        <f t="shared" si="8"/>
        <v>3.3065556325435709E-2</v>
      </c>
      <c r="N67" s="938" t="s">
        <v>836</v>
      </c>
      <c r="O67" s="943">
        <f t="shared" si="9"/>
        <v>0.12124037319326426</v>
      </c>
      <c r="P67" s="261"/>
      <c r="Q67" s="926"/>
      <c r="R67" s="956">
        <v>2.8008999999999999</v>
      </c>
      <c r="S67" s="956">
        <v>0.08</v>
      </c>
      <c r="T67" s="946">
        <f t="shared" si="20"/>
        <v>3.0646327439999999E-3</v>
      </c>
      <c r="U67" s="938" t="s">
        <v>836</v>
      </c>
      <c r="V67" s="947">
        <f t="shared" si="21"/>
        <v>221.48936649818182</v>
      </c>
      <c r="W67" s="938" t="s">
        <v>836</v>
      </c>
      <c r="X67" s="948">
        <f t="shared" si="22"/>
        <v>812.12767716000008</v>
      </c>
      <c r="Y67" s="4"/>
      <c r="Z67" s="950">
        <v>0.45</v>
      </c>
      <c r="AA67" s="951">
        <f t="shared" si="23"/>
        <v>1.7238559184999998E-2</v>
      </c>
      <c r="AB67" s="938" t="s">
        <v>836</v>
      </c>
      <c r="AC67" s="949">
        <f t="shared" si="24"/>
        <v>131.63990650363635</v>
      </c>
      <c r="AD67" s="938" t="s">
        <v>836</v>
      </c>
      <c r="AE67" s="952">
        <f t="shared" si="25"/>
        <v>482.67965717999999</v>
      </c>
      <c r="AF67" s="4"/>
      <c r="AG67" s="953">
        <f t="shared" si="26"/>
        <v>1294.8073343400001</v>
      </c>
      <c r="AH67" s="912"/>
    </row>
    <row r="68" spans="1:34" ht="15.75" customHeight="1" x14ac:dyDescent="0.25">
      <c r="A68" s="4"/>
      <c r="B68" s="913" t="s">
        <v>847</v>
      </c>
      <c r="C68" s="954">
        <f t="shared" si="19"/>
        <v>10338000</v>
      </c>
      <c r="D68" s="4"/>
      <c r="E68" s="937">
        <f>C68*C47/1000000000</f>
        <v>1284.3724440000001</v>
      </c>
      <c r="F68" s="938" t="s">
        <v>835</v>
      </c>
      <c r="G68" s="652">
        <v>42.900741155457617</v>
      </c>
      <c r="H68" s="938" t="s">
        <v>835</v>
      </c>
      <c r="I68" s="940">
        <v>1</v>
      </c>
      <c r="J68" s="938" t="s">
        <v>836</v>
      </c>
      <c r="K68" s="941">
        <f t="shared" si="7"/>
        <v>27550.264883623247</v>
      </c>
      <c r="L68" s="938" t="s">
        <v>836</v>
      </c>
      <c r="M68" s="942">
        <f t="shared" si="8"/>
        <v>2.4993179885380887E-2</v>
      </c>
      <c r="N68" s="938" t="s">
        <v>836</v>
      </c>
      <c r="O68" s="943">
        <f t="shared" si="9"/>
        <v>9.1641659579729917E-2</v>
      </c>
      <c r="P68" s="261"/>
      <c r="Q68" s="926"/>
      <c r="R68" s="955">
        <v>2.8008999999999999</v>
      </c>
      <c r="S68" s="956">
        <v>0.08</v>
      </c>
      <c r="T68" s="946">
        <f t="shared" si="20"/>
        <v>2.3164563360000001E-3</v>
      </c>
      <c r="U68" s="938" t="s">
        <v>836</v>
      </c>
      <c r="V68" s="947">
        <f t="shared" si="21"/>
        <v>167.41661701090911</v>
      </c>
      <c r="W68" s="938" t="s">
        <v>836</v>
      </c>
      <c r="X68" s="948">
        <f t="shared" si="22"/>
        <v>613.86092904000009</v>
      </c>
      <c r="Y68" s="4"/>
      <c r="Z68" s="950">
        <v>0.18</v>
      </c>
      <c r="AA68" s="951">
        <f t="shared" si="23"/>
        <v>5.2120267560000003E-3</v>
      </c>
      <c r="AB68" s="938" t="s">
        <v>836</v>
      </c>
      <c r="AC68" s="949">
        <f t="shared" si="24"/>
        <v>39.800931591272729</v>
      </c>
      <c r="AD68" s="938" t="s">
        <v>836</v>
      </c>
      <c r="AE68" s="952">
        <f t="shared" si="25"/>
        <v>145.93674916800001</v>
      </c>
      <c r="AF68" s="4"/>
      <c r="AG68" s="953">
        <f t="shared" si="26"/>
        <v>759.79767820800009</v>
      </c>
      <c r="AH68" s="912"/>
    </row>
    <row r="69" spans="1:34" ht="15.75" customHeight="1" x14ac:dyDescent="0.25">
      <c r="A69" s="4"/>
      <c r="B69" s="913" t="s">
        <v>848</v>
      </c>
      <c r="C69" s="954">
        <f t="shared" si="19"/>
        <v>21138593</v>
      </c>
      <c r="D69" s="4"/>
      <c r="E69" s="937">
        <f>C69*C47/1000000000</f>
        <v>2626.2165171339998</v>
      </c>
      <c r="F69" s="938" t="s">
        <v>835</v>
      </c>
      <c r="G69" s="652">
        <v>42.900741155457617</v>
      </c>
      <c r="H69" s="938" t="s">
        <v>835</v>
      </c>
      <c r="I69" s="940">
        <v>1</v>
      </c>
      <c r="J69" s="938" t="s">
        <v>836</v>
      </c>
      <c r="K69" s="941">
        <f t="shared" si="7"/>
        <v>56333.317509876571</v>
      </c>
      <c r="L69" s="938" t="s">
        <v>836</v>
      </c>
      <c r="M69" s="942">
        <f t="shared" si="8"/>
        <v>5.1104725998534828E-2</v>
      </c>
      <c r="N69" s="938" t="s">
        <v>836</v>
      </c>
      <c r="O69" s="943">
        <f t="shared" si="9"/>
        <v>0.18738399532796102</v>
      </c>
      <c r="P69" s="261"/>
      <c r="Q69" s="926"/>
      <c r="R69" s="955">
        <v>2.8008999999999999</v>
      </c>
      <c r="S69" s="956">
        <v>0.08</v>
      </c>
      <c r="T69" s="946">
        <f t="shared" si="20"/>
        <v>4.7365668106960001E-3</v>
      </c>
      <c r="U69" s="938" t="s">
        <v>836</v>
      </c>
      <c r="V69" s="947">
        <f t="shared" si="21"/>
        <v>342.3246013184837</v>
      </c>
      <c r="W69" s="938" t="s">
        <v>836</v>
      </c>
      <c r="X69" s="948">
        <f t="shared" si="22"/>
        <v>1255.1902048344402</v>
      </c>
      <c r="Y69" s="4"/>
      <c r="Z69" s="950">
        <v>0.18</v>
      </c>
      <c r="AA69" s="951">
        <f t="shared" si="23"/>
        <v>1.0657275324066001E-2</v>
      </c>
      <c r="AB69" s="938" t="s">
        <v>836</v>
      </c>
      <c r="AC69" s="949">
        <f t="shared" si="24"/>
        <v>81.382829747413084</v>
      </c>
      <c r="AD69" s="938" t="s">
        <v>836</v>
      </c>
      <c r="AE69" s="952">
        <f t="shared" si="25"/>
        <v>298.40370907384801</v>
      </c>
      <c r="AF69" s="4"/>
      <c r="AG69" s="953">
        <f t="shared" si="26"/>
        <v>1553.5939139082882</v>
      </c>
      <c r="AH69" s="912"/>
    </row>
    <row r="70" spans="1:34" ht="15.75" customHeight="1" x14ac:dyDescent="0.25">
      <c r="A70" s="4"/>
      <c r="B70" s="959" t="s">
        <v>849</v>
      </c>
      <c r="C70" s="954">
        <f t="shared" si="19"/>
        <v>20910000</v>
      </c>
      <c r="D70" s="4"/>
      <c r="E70" s="937">
        <f>C70*C47/1000000000</f>
        <v>2597.8165800000002</v>
      </c>
      <c r="F70" s="938" t="s">
        <v>835</v>
      </c>
      <c r="G70" s="652">
        <v>42.900741155457617</v>
      </c>
      <c r="H70" s="938" t="s">
        <v>835</v>
      </c>
      <c r="I70" s="940">
        <v>1</v>
      </c>
      <c r="J70" s="938" t="s">
        <v>836</v>
      </c>
      <c r="K70" s="941">
        <f t="shared" si="7"/>
        <v>55724.128333968081</v>
      </c>
      <c r="L70" s="938" t="s">
        <v>836</v>
      </c>
      <c r="M70" s="942">
        <f t="shared" si="8"/>
        <v>5.0552078874377467E-2</v>
      </c>
      <c r="N70" s="938" t="s">
        <v>836</v>
      </c>
      <c r="O70" s="943">
        <f t="shared" si="9"/>
        <v>0.18535762253938404</v>
      </c>
      <c r="P70" s="261"/>
      <c r="Q70" s="926"/>
      <c r="R70" s="960">
        <v>2.8008999999999999</v>
      </c>
      <c r="S70" s="961">
        <v>0.08</v>
      </c>
      <c r="T70" s="946">
        <f t="shared" si="20"/>
        <v>4.6853455200000001E-3</v>
      </c>
      <c r="U70" s="938" t="s">
        <v>836</v>
      </c>
      <c r="V70" s="947">
        <f t="shared" si="21"/>
        <v>338.62269894545454</v>
      </c>
      <c r="W70" s="938" t="s">
        <v>836</v>
      </c>
      <c r="X70" s="948">
        <f t="shared" si="22"/>
        <v>1241.6165628000001</v>
      </c>
      <c r="Y70" s="4"/>
      <c r="Z70" s="962">
        <v>0.23</v>
      </c>
      <c r="AA70" s="951">
        <f t="shared" si="23"/>
        <v>1.3470368370000001E-2</v>
      </c>
      <c r="AB70" s="938" t="s">
        <v>836</v>
      </c>
      <c r="AC70" s="949">
        <f t="shared" si="24"/>
        <v>102.86463118909091</v>
      </c>
      <c r="AD70" s="938" t="s">
        <v>836</v>
      </c>
      <c r="AE70" s="952">
        <f t="shared" si="25"/>
        <v>377.17031436000002</v>
      </c>
      <c r="AF70" s="4"/>
      <c r="AG70" s="953">
        <f t="shared" si="26"/>
        <v>1618.7868771600001</v>
      </c>
      <c r="AH70" s="912"/>
    </row>
    <row r="71" spans="1:34" ht="15.75" customHeight="1" x14ac:dyDescent="0.25">
      <c r="A71" s="4"/>
      <c r="B71" s="913" t="s">
        <v>635</v>
      </c>
      <c r="C71" s="98">
        <f>E14</f>
        <v>10710000</v>
      </c>
      <c r="D71" s="4"/>
      <c r="E71" s="937">
        <f>G14</f>
        <v>1603</v>
      </c>
      <c r="F71" s="938" t="s">
        <v>835</v>
      </c>
      <c r="G71" s="939">
        <v>45.11</v>
      </c>
      <c r="H71" s="938" t="s">
        <v>835</v>
      </c>
      <c r="I71" s="940">
        <v>1</v>
      </c>
      <c r="J71" s="938" t="s">
        <v>836</v>
      </c>
      <c r="K71" s="941">
        <f t="shared" si="7"/>
        <v>36155.665000000001</v>
      </c>
      <c r="L71" s="938" t="s">
        <v>836</v>
      </c>
      <c r="M71" s="942">
        <f t="shared" si="8"/>
        <v>3.2799867552552105E-2</v>
      </c>
      <c r="N71" s="938" t="s">
        <v>836</v>
      </c>
      <c r="O71" s="943">
        <f t="shared" si="9"/>
        <v>0.12026618102602438</v>
      </c>
      <c r="P71" s="261"/>
      <c r="Q71" s="926"/>
      <c r="R71" s="955">
        <v>3.5750000000000002</v>
      </c>
      <c r="S71" s="956">
        <v>0.08</v>
      </c>
      <c r="T71" s="946">
        <f t="shared" si="20"/>
        <v>3.0630599999999998E-3</v>
      </c>
      <c r="U71" s="938" t="s">
        <v>836</v>
      </c>
      <c r="V71" s="947">
        <f t="shared" si="21"/>
        <v>221.37569999999997</v>
      </c>
      <c r="W71" s="938" t="s">
        <v>836</v>
      </c>
      <c r="X71" s="948">
        <f t="shared" si="22"/>
        <v>811.71089999999992</v>
      </c>
      <c r="Y71" s="4"/>
      <c r="Z71" s="950">
        <v>0.23</v>
      </c>
      <c r="AA71" s="951">
        <f t="shared" si="23"/>
        <v>8.8062975000000009E-3</v>
      </c>
      <c r="AB71" s="938" t="s">
        <v>836</v>
      </c>
      <c r="AC71" s="949">
        <f t="shared" si="24"/>
        <v>67.248089999999991</v>
      </c>
      <c r="AD71" s="938" t="s">
        <v>836</v>
      </c>
      <c r="AE71" s="952">
        <f t="shared" si="25"/>
        <v>246.57632999999996</v>
      </c>
      <c r="AF71" s="4"/>
      <c r="AG71" s="953">
        <f t="shared" si="26"/>
        <v>1058.2872299999999</v>
      </c>
      <c r="AH71" s="912"/>
    </row>
    <row r="72" spans="1:34" ht="15.75" customHeight="1" x14ac:dyDescent="0.25">
      <c r="A72" s="4"/>
      <c r="B72" s="913" t="s">
        <v>221</v>
      </c>
      <c r="C72" s="98">
        <f>E13</f>
        <v>261870000</v>
      </c>
      <c r="D72" s="4"/>
      <c r="E72" s="937">
        <f>G13</f>
        <v>6408</v>
      </c>
      <c r="F72" s="938" t="s">
        <v>835</v>
      </c>
      <c r="G72" s="939">
        <v>31.87</v>
      </c>
      <c r="H72" s="938" t="s">
        <v>835</v>
      </c>
      <c r="I72" s="940">
        <v>1</v>
      </c>
      <c r="J72" s="938" t="s">
        <v>836</v>
      </c>
      <c r="K72" s="941">
        <f t="shared" si="7"/>
        <v>102111.48</v>
      </c>
      <c r="L72" s="938" t="s">
        <v>836</v>
      </c>
      <c r="M72" s="942">
        <f t="shared" si="8"/>
        <v>9.2633976434815191E-2</v>
      </c>
      <c r="N72" s="938" t="s">
        <v>836</v>
      </c>
      <c r="O72" s="943">
        <f t="shared" si="9"/>
        <v>0.33965791359432235</v>
      </c>
      <c r="P72" s="261"/>
      <c r="Q72" s="926"/>
      <c r="R72" s="261"/>
      <c r="S72" s="261"/>
      <c r="T72" s="4"/>
      <c r="U72" s="4"/>
      <c r="V72" s="4"/>
      <c r="W72" s="4"/>
      <c r="X72" s="927"/>
      <c r="Y72" s="4"/>
      <c r="Z72" s="928"/>
      <c r="AA72" s="4"/>
      <c r="AB72" s="4"/>
      <c r="AC72" s="4"/>
      <c r="AD72" s="4"/>
      <c r="AE72" s="927"/>
      <c r="AF72" s="4"/>
      <c r="AG72" s="958"/>
      <c r="AH72" s="912"/>
    </row>
    <row r="73" spans="1:34" ht="15.75" customHeight="1" x14ac:dyDescent="0.25">
      <c r="A73" s="4"/>
      <c r="B73" s="913" t="s">
        <v>716</v>
      </c>
      <c r="C73" s="4"/>
      <c r="D73" s="4"/>
      <c r="E73" s="937"/>
      <c r="F73" s="938" t="s">
        <v>835</v>
      </c>
      <c r="G73" s="963"/>
      <c r="H73" s="938" t="s">
        <v>835</v>
      </c>
      <c r="I73" s="964"/>
      <c r="J73" s="938" t="s">
        <v>836</v>
      </c>
      <c r="K73" s="941">
        <f t="shared" si="7"/>
        <v>0</v>
      </c>
      <c r="L73" s="938" t="s">
        <v>836</v>
      </c>
      <c r="M73" s="942">
        <f t="shared" si="8"/>
        <v>0</v>
      </c>
      <c r="N73" s="938" t="s">
        <v>836</v>
      </c>
      <c r="O73" s="943">
        <f t="shared" si="9"/>
        <v>0</v>
      </c>
      <c r="P73" s="261"/>
      <c r="Q73" s="926"/>
      <c r="R73" s="261"/>
      <c r="S73" s="261"/>
      <c r="T73" s="4"/>
      <c r="U73" s="4"/>
      <c r="V73" s="4"/>
      <c r="W73" s="4"/>
      <c r="X73" s="927"/>
      <c r="Y73" s="4"/>
      <c r="Z73" s="928"/>
      <c r="AA73" s="4"/>
      <c r="AB73" s="4"/>
      <c r="AC73" s="4"/>
      <c r="AD73" s="4"/>
      <c r="AE73" s="927"/>
      <c r="AF73" s="4"/>
      <c r="AG73" s="958"/>
      <c r="AH73" s="912"/>
    </row>
    <row r="74" spans="1:34" ht="15.75" customHeight="1" x14ac:dyDescent="0.25">
      <c r="A74" s="4"/>
      <c r="B74" s="913"/>
      <c r="C74" s="4"/>
      <c r="D74" s="4"/>
      <c r="E74" s="965"/>
      <c r="F74" s="938"/>
      <c r="G74" s="911"/>
      <c r="H74" s="938"/>
      <c r="I74" s="966"/>
      <c r="J74" s="938"/>
      <c r="K74" s="967"/>
      <c r="L74" s="938"/>
      <c r="M74" s="947"/>
      <c r="N74" s="938"/>
      <c r="O74" s="968">
        <f>SUM(O57:O73)</f>
        <v>6.8812611471133209</v>
      </c>
      <c r="P74" s="261"/>
      <c r="Q74" s="926"/>
      <c r="R74" s="261"/>
      <c r="S74" s="261"/>
      <c r="T74" s="4"/>
      <c r="U74" s="4"/>
      <c r="V74" s="4"/>
      <c r="W74" s="4"/>
      <c r="X74" s="927"/>
      <c r="Y74" s="4"/>
      <c r="Z74" s="928"/>
      <c r="AA74" s="4"/>
      <c r="AB74" s="4"/>
      <c r="AC74" s="4"/>
      <c r="AD74" s="4"/>
      <c r="AE74" s="927"/>
      <c r="AF74" s="4"/>
      <c r="AG74" s="958"/>
      <c r="AH74" s="912"/>
    </row>
    <row r="75" spans="1:34" ht="15.75" customHeight="1" x14ac:dyDescent="0.25">
      <c r="A75" s="4"/>
      <c r="B75" s="913"/>
      <c r="C75" s="954">
        <f>C66+C67+C68+C69+C70</f>
        <v>75500593</v>
      </c>
      <c r="D75" s="4"/>
      <c r="E75" s="261"/>
      <c r="F75" s="261"/>
      <c r="G75" s="261"/>
      <c r="H75" s="261"/>
      <c r="I75" s="261"/>
      <c r="J75" s="261"/>
      <c r="K75" s="969"/>
      <c r="L75" s="970"/>
      <c r="M75" s="971"/>
      <c r="N75" s="972"/>
      <c r="O75" s="973"/>
      <c r="P75" s="261"/>
      <c r="Q75" s="969"/>
      <c r="R75" s="971"/>
      <c r="S75" s="971"/>
      <c r="T75" s="974"/>
      <c r="U75" s="974"/>
      <c r="V75" s="974"/>
      <c r="W75" s="974"/>
      <c r="X75" s="975"/>
      <c r="Y75" s="4"/>
      <c r="Z75" s="976"/>
      <c r="AA75" s="974"/>
      <c r="AB75" s="974"/>
      <c r="AC75" s="974"/>
      <c r="AD75" s="974"/>
      <c r="AE75" s="975"/>
      <c r="AF75" s="4"/>
      <c r="AG75" s="977"/>
      <c r="AH75" s="912"/>
    </row>
    <row r="76" spans="1:34" ht="15.75" customHeight="1" x14ac:dyDescent="0.25">
      <c r="A76" s="4"/>
      <c r="B76" s="978"/>
      <c r="C76" s="520"/>
      <c r="D76" s="520"/>
      <c r="E76" s="520"/>
      <c r="F76" s="520"/>
      <c r="G76" s="520"/>
      <c r="H76" s="520"/>
      <c r="I76" s="520"/>
      <c r="J76" s="520"/>
      <c r="K76" s="520"/>
      <c r="L76" s="520"/>
      <c r="M76" s="520"/>
      <c r="N76" s="520"/>
      <c r="O76" s="520"/>
      <c r="P76" s="520"/>
      <c r="Q76" s="520"/>
      <c r="R76" s="520"/>
      <c r="S76" s="520"/>
      <c r="T76" s="520"/>
      <c r="U76" s="520"/>
      <c r="V76" s="520"/>
      <c r="W76" s="520"/>
      <c r="X76" s="520"/>
      <c r="Y76" s="520"/>
      <c r="Z76" s="520"/>
      <c r="AA76" s="520"/>
      <c r="AB76" s="520"/>
      <c r="AC76" s="520"/>
      <c r="AD76" s="520"/>
      <c r="AE76" s="520"/>
      <c r="AF76" s="520"/>
      <c r="AG76" s="520"/>
      <c r="AH76" s="979"/>
    </row>
    <row r="77" spans="1:34"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row>
    <row r="78" spans="1:34" ht="15.75" customHeight="1" x14ac:dyDescent="0.25">
      <c r="A78" s="4"/>
      <c r="B78" s="4"/>
      <c r="C78" s="4"/>
      <c r="D78" s="4"/>
      <c r="E78" s="4"/>
      <c r="F78" s="4"/>
      <c r="G78" s="4"/>
      <c r="H78" s="4"/>
      <c r="I78" s="65"/>
      <c r="J78" s="4"/>
      <c r="K78" s="4"/>
      <c r="L78" s="4"/>
      <c r="M78" s="4"/>
      <c r="N78" s="4"/>
      <c r="O78" s="4"/>
      <c r="P78" s="4"/>
      <c r="Q78" s="4"/>
      <c r="R78" s="4"/>
      <c r="S78" s="4"/>
      <c r="T78" s="4"/>
      <c r="U78" s="4"/>
      <c r="V78" s="4"/>
      <c r="W78" s="4"/>
      <c r="X78" s="4"/>
      <c r="Y78" s="4"/>
      <c r="Z78" s="4"/>
      <c r="AA78" s="4"/>
      <c r="AB78" s="4"/>
      <c r="AC78" s="4"/>
      <c r="AD78" s="4"/>
      <c r="AE78" s="4"/>
      <c r="AF78" s="4"/>
      <c r="AG78" s="4"/>
      <c r="AH78" s="4"/>
    </row>
    <row r="79" spans="1:34" ht="15.75" customHeight="1" x14ac:dyDescent="0.25">
      <c r="A79" s="4"/>
      <c r="B79" s="980"/>
      <c r="C79" s="981"/>
      <c r="D79" s="981"/>
      <c r="E79" s="982" t="s">
        <v>850</v>
      </c>
      <c r="F79" s="981"/>
      <c r="G79" s="981"/>
      <c r="H79" s="981"/>
      <c r="I79" s="982" t="s">
        <v>851</v>
      </c>
      <c r="J79" s="983"/>
      <c r="K79" s="981"/>
      <c r="L79" s="984"/>
      <c r="M79" s="981"/>
      <c r="N79" s="983"/>
      <c r="O79" s="908"/>
      <c r="P79" s="908"/>
      <c r="Q79" s="908"/>
      <c r="R79" s="908"/>
      <c r="S79" s="908"/>
      <c r="T79" s="909"/>
      <c r="U79" s="4"/>
      <c r="V79" s="4"/>
      <c r="W79" s="4"/>
      <c r="X79" s="4"/>
      <c r="Y79" s="4"/>
      <c r="Z79" s="4"/>
      <c r="AA79" s="4"/>
      <c r="AB79" s="4"/>
      <c r="AC79" s="4"/>
      <c r="AD79" s="4"/>
      <c r="AE79" s="4"/>
      <c r="AF79" s="4"/>
      <c r="AG79" s="4"/>
      <c r="AH79" s="4"/>
    </row>
    <row r="80" spans="1:34" ht="15.75" customHeight="1" x14ac:dyDescent="0.25">
      <c r="A80" s="4"/>
      <c r="B80" s="913"/>
      <c r="C80" s="923" t="s">
        <v>627</v>
      </c>
      <c r="D80" s="261"/>
      <c r="E80" s="923" t="s">
        <v>627</v>
      </c>
      <c r="F80" s="261"/>
      <c r="G80" s="261"/>
      <c r="H80" s="261"/>
      <c r="I80" s="923" t="s">
        <v>627</v>
      </c>
      <c r="J80" s="261"/>
      <c r="K80" s="923" t="s">
        <v>814</v>
      </c>
      <c r="L80" s="261"/>
      <c r="M80" s="923" t="s">
        <v>815</v>
      </c>
      <c r="N80" s="261"/>
      <c r="O80" s="42" t="s">
        <v>628</v>
      </c>
      <c r="P80" s="261"/>
      <c r="Q80" s="42" t="s">
        <v>628</v>
      </c>
      <c r="R80" s="261"/>
      <c r="S80" s="42" t="s">
        <v>628</v>
      </c>
      <c r="T80" s="912"/>
      <c r="U80" s="4"/>
      <c r="V80" s="4"/>
      <c r="W80" s="4"/>
      <c r="X80" s="4"/>
      <c r="Y80" s="4"/>
      <c r="Z80" s="4"/>
      <c r="AA80" s="4"/>
      <c r="AB80" s="4"/>
      <c r="AC80" s="4"/>
      <c r="AD80" s="4"/>
      <c r="AE80" s="4"/>
      <c r="AF80" s="4"/>
      <c r="AG80" s="4"/>
      <c r="AH80" s="4"/>
    </row>
    <row r="81" spans="1:34" ht="15.75" customHeight="1" x14ac:dyDescent="0.25">
      <c r="A81" s="4"/>
      <c r="B81" s="913"/>
      <c r="C81" s="923" t="s">
        <v>630</v>
      </c>
      <c r="D81" s="261"/>
      <c r="E81" s="923" t="s">
        <v>630</v>
      </c>
      <c r="F81" s="261"/>
      <c r="G81" s="923" t="s">
        <v>852</v>
      </c>
      <c r="H81" s="261"/>
      <c r="I81" s="923" t="s">
        <v>630</v>
      </c>
      <c r="J81" s="261"/>
      <c r="K81" s="923" t="s">
        <v>818</v>
      </c>
      <c r="L81" s="261"/>
      <c r="M81" s="923" t="s">
        <v>819</v>
      </c>
      <c r="N81" s="261"/>
      <c r="O81" s="923" t="s">
        <v>820</v>
      </c>
      <c r="P81" s="923"/>
      <c r="Q81" s="923" t="s">
        <v>821</v>
      </c>
      <c r="R81" s="261"/>
      <c r="S81" s="42" t="s">
        <v>853</v>
      </c>
      <c r="T81" s="912"/>
      <c r="U81" s="4"/>
      <c r="V81" s="4"/>
      <c r="W81" s="4"/>
      <c r="X81" s="4"/>
      <c r="Y81" s="4"/>
      <c r="Z81" s="4"/>
      <c r="AA81" s="4"/>
      <c r="AB81" s="4"/>
      <c r="AC81" s="4"/>
      <c r="AD81" s="4"/>
      <c r="AE81" s="4"/>
      <c r="AF81" s="4"/>
      <c r="AG81" s="4"/>
      <c r="AH81" s="4"/>
    </row>
    <row r="82" spans="1:34" ht="15.75" customHeight="1" x14ac:dyDescent="0.25">
      <c r="A82" s="4"/>
      <c r="B82" s="930" t="s">
        <v>854</v>
      </c>
      <c r="C82" s="937">
        <f>G10</f>
        <v>1466</v>
      </c>
      <c r="D82" s="938" t="s">
        <v>855</v>
      </c>
      <c r="E82" s="937">
        <v>1466</v>
      </c>
      <c r="F82" s="938" t="s">
        <v>835</v>
      </c>
      <c r="G82" s="985">
        <v>9.2393732597307904E-2</v>
      </c>
      <c r="H82" s="938" t="s">
        <v>856</v>
      </c>
      <c r="I82" s="668">
        <f>C82-(E82*G82)</f>
        <v>1330.5507880123466</v>
      </c>
      <c r="J82" s="938" t="s">
        <v>835</v>
      </c>
      <c r="K82" s="939">
        <v>43.97</v>
      </c>
      <c r="L82" s="938" t="s">
        <v>835</v>
      </c>
      <c r="M82" s="940">
        <v>1</v>
      </c>
      <c r="N82" s="938" t="s">
        <v>836</v>
      </c>
      <c r="O82" s="668">
        <f>I82*1000*K82*M82/2000</f>
        <v>29252.159074451443</v>
      </c>
      <c r="P82" s="938" t="s">
        <v>836</v>
      </c>
      <c r="Q82" s="942">
        <f>O82*0.90718474/1000000</f>
        <v>2.6537112324394874E-2</v>
      </c>
      <c r="R82" s="938" t="s">
        <v>836</v>
      </c>
      <c r="S82" s="986">
        <f>Q82*44/12</f>
        <v>9.730274518944787E-2</v>
      </c>
      <c r="T82" s="912"/>
      <c r="U82" s="4"/>
      <c r="V82" s="4"/>
      <c r="W82" s="4"/>
      <c r="X82" s="4"/>
      <c r="Y82" s="4"/>
      <c r="Z82" s="4"/>
      <c r="AA82" s="4"/>
      <c r="AB82" s="4"/>
      <c r="AC82" s="4"/>
      <c r="AD82" s="4"/>
      <c r="AE82" s="4"/>
      <c r="AF82" s="4"/>
      <c r="AG82" s="4"/>
      <c r="AH82" s="4"/>
    </row>
    <row r="83" spans="1:34" ht="15.75" customHeight="1" x14ac:dyDescent="0.25">
      <c r="A83" s="4"/>
      <c r="B83" s="987"/>
      <c r="C83" s="988"/>
      <c r="D83" s="989"/>
      <c r="E83" s="988"/>
      <c r="F83" s="989"/>
      <c r="G83" s="990"/>
      <c r="H83" s="989"/>
      <c r="I83" s="988"/>
      <c r="J83" s="989"/>
      <c r="K83" s="991"/>
      <c r="L83" s="989"/>
      <c r="M83" s="992"/>
      <c r="N83" s="989"/>
      <c r="O83" s="988"/>
      <c r="P83" s="989"/>
      <c r="Q83" s="993"/>
      <c r="R83" s="989"/>
      <c r="S83" s="993"/>
      <c r="T83" s="979"/>
      <c r="U83" s="4"/>
      <c r="V83" s="4"/>
      <c r="W83" s="4"/>
      <c r="X83" s="4"/>
      <c r="Y83" s="4"/>
      <c r="Z83" s="4"/>
      <c r="AA83" s="4"/>
      <c r="AB83" s="4"/>
      <c r="AC83" s="4"/>
      <c r="AD83" s="4"/>
      <c r="AE83" s="4"/>
      <c r="AF83" s="4"/>
      <c r="AG83" s="4"/>
      <c r="AH83" s="4"/>
    </row>
    <row r="84" spans="1:34" ht="15.75" customHeight="1" x14ac:dyDescent="0.25">
      <c r="A84" s="4"/>
      <c r="B84" s="261"/>
      <c r="C84" s="957"/>
      <c r="D84" s="938"/>
      <c r="E84" s="957"/>
      <c r="F84" s="938"/>
      <c r="G84" s="994"/>
      <c r="H84" s="938"/>
      <c r="I84" s="957"/>
      <c r="J84" s="938"/>
      <c r="K84" s="995"/>
      <c r="L84" s="938"/>
      <c r="M84" s="996"/>
      <c r="N84" s="938"/>
      <c r="O84" s="957"/>
      <c r="P84" s="938"/>
      <c r="Q84" s="947"/>
      <c r="R84" s="938"/>
      <c r="S84" s="947"/>
      <c r="T84" s="4"/>
      <c r="U84" s="4"/>
      <c r="V84" s="4"/>
      <c r="W84" s="4"/>
      <c r="X84" s="4"/>
      <c r="Y84" s="4"/>
      <c r="Z84" s="4"/>
      <c r="AA84" s="4"/>
      <c r="AB84" s="4"/>
      <c r="AC84" s="4"/>
      <c r="AD84" s="4"/>
      <c r="AE84" s="4"/>
      <c r="AF84" s="4"/>
      <c r="AG84" s="4"/>
      <c r="AH84" s="4"/>
    </row>
    <row r="85" spans="1:34"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row>
    <row r="86" spans="1:34" ht="15.75" customHeight="1" x14ac:dyDescent="0.25">
      <c r="A86" s="4"/>
      <c r="B86" s="997" t="s">
        <v>857</v>
      </c>
      <c r="C86" s="998"/>
      <c r="D86" s="998"/>
      <c r="E86" s="998"/>
      <c r="F86" s="998"/>
      <c r="G86" s="998">
        <v>2011</v>
      </c>
      <c r="H86" s="998"/>
      <c r="I86" s="998"/>
      <c r="J86" s="998"/>
      <c r="K86" s="998"/>
      <c r="L86" s="998"/>
      <c r="M86" s="998"/>
      <c r="N86" s="909"/>
      <c r="O86" s="4"/>
      <c r="P86" s="4"/>
      <c r="Q86" s="4"/>
      <c r="R86" s="4"/>
      <c r="S86" s="4"/>
      <c r="T86" s="4"/>
      <c r="U86" s="4"/>
      <c r="V86" s="4"/>
      <c r="W86" s="4"/>
      <c r="X86" s="4"/>
      <c r="Y86" s="4"/>
      <c r="Z86" s="4"/>
      <c r="AA86" s="4"/>
      <c r="AB86" s="4"/>
      <c r="AC86" s="4"/>
      <c r="AD86" s="4"/>
      <c r="AE86" s="4"/>
      <c r="AF86" s="4"/>
      <c r="AG86" s="4"/>
      <c r="AH86" s="4"/>
    </row>
    <row r="87" spans="1:34" ht="15.75" customHeight="1" x14ac:dyDescent="0.25">
      <c r="A87" s="4"/>
      <c r="B87" s="913"/>
      <c r="C87" s="261"/>
      <c r="D87" s="261"/>
      <c r="E87" s="261"/>
      <c r="F87" s="261"/>
      <c r="G87" s="261"/>
      <c r="H87" s="261"/>
      <c r="I87" s="261"/>
      <c r="J87" s="261"/>
      <c r="K87" s="261"/>
      <c r="L87" s="261"/>
      <c r="M87" s="261"/>
      <c r="N87" s="912"/>
      <c r="O87" s="4"/>
      <c r="P87" s="947"/>
      <c r="Q87" s="4"/>
      <c r="R87" s="4"/>
      <c r="S87" s="4"/>
      <c r="T87" s="4"/>
      <c r="U87" s="4"/>
      <c r="V87" s="4"/>
      <c r="W87" s="4"/>
      <c r="X87" s="4"/>
      <c r="Y87" s="4"/>
      <c r="Z87" s="4"/>
      <c r="AA87" s="4"/>
      <c r="AB87" s="4"/>
      <c r="AC87" s="4"/>
      <c r="AD87" s="4"/>
      <c r="AE87" s="4"/>
      <c r="AF87" s="4"/>
      <c r="AG87" s="4"/>
      <c r="AH87" s="4"/>
    </row>
    <row r="88" spans="1:34" ht="15.75" customHeight="1" x14ac:dyDescent="0.25">
      <c r="A88" s="4"/>
      <c r="B88" s="913"/>
      <c r="C88" s="923" t="s">
        <v>627</v>
      </c>
      <c r="D88" s="923"/>
      <c r="E88" s="923" t="s">
        <v>814</v>
      </c>
      <c r="F88" s="261"/>
      <c r="G88" s="923" t="s">
        <v>815</v>
      </c>
      <c r="H88" s="261"/>
      <c r="I88" s="42" t="s">
        <v>628</v>
      </c>
      <c r="J88" s="261"/>
      <c r="K88" s="42" t="s">
        <v>628</v>
      </c>
      <c r="L88" s="261"/>
      <c r="M88" s="42" t="s">
        <v>628</v>
      </c>
      <c r="N88" s="912"/>
      <c r="O88" s="98"/>
      <c r="P88" s="4"/>
      <c r="Q88" s="4"/>
      <c r="R88" s="4"/>
      <c r="S88" s="4"/>
      <c r="T88" s="4"/>
      <c r="U88" s="4"/>
      <c r="V88" s="4"/>
      <c r="W88" s="4"/>
      <c r="X88" s="4"/>
      <c r="Y88" s="4"/>
      <c r="Z88" s="4"/>
      <c r="AA88" s="4"/>
      <c r="AB88" s="4"/>
      <c r="AC88" s="4"/>
      <c r="AD88" s="4"/>
      <c r="AE88" s="4"/>
      <c r="AF88" s="4"/>
      <c r="AG88" s="4"/>
      <c r="AH88" s="4"/>
    </row>
    <row r="89" spans="1:34" ht="15.75" customHeight="1" x14ac:dyDescent="0.25">
      <c r="A89" s="4"/>
      <c r="B89" s="930" t="s">
        <v>277</v>
      </c>
      <c r="C89" s="923" t="s">
        <v>630</v>
      </c>
      <c r="D89" s="261"/>
      <c r="E89" s="923" t="s">
        <v>818</v>
      </c>
      <c r="F89" s="261"/>
      <c r="G89" s="923" t="s">
        <v>819</v>
      </c>
      <c r="H89" s="261"/>
      <c r="I89" s="923" t="s">
        <v>820</v>
      </c>
      <c r="J89" s="923"/>
      <c r="K89" s="923" t="s">
        <v>821</v>
      </c>
      <c r="L89" s="261"/>
      <c r="M89" s="42" t="s">
        <v>858</v>
      </c>
      <c r="N89" s="912"/>
      <c r="O89" s="947"/>
      <c r="P89" s="4"/>
      <c r="Q89" s="4"/>
      <c r="R89" s="4"/>
      <c r="S89" s="4"/>
      <c r="T89" s="4"/>
      <c r="U89" s="4"/>
      <c r="V89" s="4"/>
      <c r="W89" s="4"/>
      <c r="X89" s="4"/>
      <c r="Y89" s="4"/>
      <c r="Z89" s="4"/>
      <c r="AA89" s="4"/>
      <c r="AB89" s="4"/>
      <c r="AC89" s="4"/>
      <c r="AD89" s="4"/>
      <c r="AE89" s="4"/>
      <c r="AF89" s="4"/>
      <c r="AG89" s="4"/>
      <c r="AH89" s="4"/>
    </row>
    <row r="90" spans="1:34" ht="15.75" customHeight="1" x14ac:dyDescent="0.25">
      <c r="A90" s="4"/>
      <c r="B90" s="913" t="s">
        <v>842</v>
      </c>
      <c r="C90" s="999">
        <v>0</v>
      </c>
      <c r="D90" s="938" t="s">
        <v>835</v>
      </c>
      <c r="E90" s="652">
        <v>43.431818181818173</v>
      </c>
      <c r="F90" s="938" t="s">
        <v>835</v>
      </c>
      <c r="G90" s="940">
        <v>1</v>
      </c>
      <c r="H90" s="938" t="s">
        <v>836</v>
      </c>
      <c r="I90" s="668">
        <f t="shared" ref="I90:I92" si="27">C90*1000*E90*G90/2000</f>
        <v>0</v>
      </c>
      <c r="J90" s="938" t="s">
        <v>836</v>
      </c>
      <c r="K90" s="1000">
        <f t="shared" ref="K90:K92" si="28">I90*0.90718474/1000000</f>
        <v>0</v>
      </c>
      <c r="L90" s="938" t="s">
        <v>836</v>
      </c>
      <c r="M90" s="1000">
        <f t="shared" ref="M90:M92" si="29">K90*44/12</f>
        <v>0</v>
      </c>
      <c r="N90" s="912"/>
      <c r="O90" s="4"/>
      <c r="P90" s="4"/>
      <c r="Q90" s="4"/>
      <c r="R90" s="4"/>
      <c r="S90" s="4"/>
      <c r="T90" s="4"/>
      <c r="U90" s="4"/>
      <c r="V90" s="4"/>
      <c r="W90" s="4"/>
      <c r="X90" s="4"/>
      <c r="Y90" s="4"/>
      <c r="Z90" s="4"/>
      <c r="AA90" s="4"/>
      <c r="AB90" s="4"/>
      <c r="AC90" s="4"/>
      <c r="AD90" s="4"/>
      <c r="AE90" s="4"/>
      <c r="AF90" s="4"/>
      <c r="AG90" s="4"/>
      <c r="AH90" s="4"/>
    </row>
    <row r="91" spans="1:34" ht="15.75" customHeight="1" x14ac:dyDescent="0.25">
      <c r="A91" s="4"/>
      <c r="B91" s="913" t="s">
        <v>634</v>
      </c>
      <c r="C91" s="999">
        <v>18</v>
      </c>
      <c r="D91" s="938" t="s">
        <v>835</v>
      </c>
      <c r="E91" s="939">
        <v>44.43</v>
      </c>
      <c r="F91" s="938" t="s">
        <v>835</v>
      </c>
      <c r="G91" s="940">
        <v>1</v>
      </c>
      <c r="H91" s="938" t="s">
        <v>836</v>
      </c>
      <c r="I91" s="668">
        <f t="shared" si="27"/>
        <v>399.87</v>
      </c>
      <c r="J91" s="938" t="s">
        <v>836</v>
      </c>
      <c r="K91" s="1000">
        <f t="shared" si="28"/>
        <v>3.6275596198380005E-4</v>
      </c>
      <c r="L91" s="938" t="s">
        <v>836</v>
      </c>
      <c r="M91" s="1000">
        <f t="shared" si="29"/>
        <v>1.3301051939406002E-3</v>
      </c>
      <c r="N91" s="912"/>
      <c r="O91" s="4"/>
      <c r="P91" s="4"/>
      <c r="Q91" s="4"/>
      <c r="R91" s="4"/>
      <c r="S91" s="4"/>
      <c r="T91" s="4"/>
      <c r="U91" s="4"/>
      <c r="V91" s="4"/>
      <c r="W91" s="4"/>
      <c r="X91" s="4"/>
      <c r="Y91" s="4"/>
      <c r="Z91" s="4"/>
      <c r="AA91" s="4"/>
      <c r="AB91" s="4"/>
      <c r="AC91" s="4"/>
      <c r="AD91" s="4"/>
      <c r="AE91" s="4"/>
      <c r="AF91" s="4"/>
      <c r="AG91" s="4"/>
      <c r="AH91" s="4"/>
    </row>
    <row r="92" spans="1:34" ht="15.75" customHeight="1" x14ac:dyDescent="0.25">
      <c r="A92" s="4"/>
      <c r="B92" s="913" t="s">
        <v>635</v>
      </c>
      <c r="C92" s="999">
        <v>0</v>
      </c>
      <c r="D92" s="938" t="s">
        <v>835</v>
      </c>
      <c r="E92" s="939">
        <v>45.11</v>
      </c>
      <c r="F92" s="938" t="s">
        <v>835</v>
      </c>
      <c r="G92" s="940">
        <v>1</v>
      </c>
      <c r="H92" s="938" t="s">
        <v>836</v>
      </c>
      <c r="I92" s="668">
        <f t="shared" si="27"/>
        <v>0</v>
      </c>
      <c r="J92" s="938" t="s">
        <v>836</v>
      </c>
      <c r="K92" s="1000">
        <f t="shared" si="28"/>
        <v>0</v>
      </c>
      <c r="L92" s="938" t="s">
        <v>836</v>
      </c>
      <c r="M92" s="1000">
        <f t="shared" si="29"/>
        <v>0</v>
      </c>
      <c r="N92" s="912"/>
      <c r="O92" s="4"/>
      <c r="P92" s="4"/>
      <c r="Q92" s="4"/>
      <c r="R92" s="4"/>
      <c r="S92" s="4"/>
      <c r="T92" s="4"/>
      <c r="U92" s="4"/>
      <c r="V92" s="4"/>
      <c r="W92" s="4"/>
      <c r="X92" s="4"/>
      <c r="Y92" s="4"/>
      <c r="Z92" s="4"/>
      <c r="AA92" s="4"/>
      <c r="AB92" s="4"/>
      <c r="AC92" s="4"/>
      <c r="AD92" s="4"/>
      <c r="AE92" s="4"/>
      <c r="AF92" s="4"/>
      <c r="AG92" s="4"/>
      <c r="AH92" s="4"/>
    </row>
    <row r="93" spans="1:34" ht="15.75" customHeight="1" x14ac:dyDescent="0.25">
      <c r="A93" s="4"/>
      <c r="B93" s="930" t="s">
        <v>222</v>
      </c>
      <c r="C93" s="1001"/>
      <c r="D93" s="938"/>
      <c r="E93" s="261"/>
      <c r="F93" s="938"/>
      <c r="G93" s="996"/>
      <c r="H93" s="938"/>
      <c r="I93" s="957"/>
      <c r="J93" s="938"/>
      <c r="K93" s="1002">
        <f>SUM(K90:K92)</f>
        <v>3.6275596198380005E-4</v>
      </c>
      <c r="L93" s="261"/>
      <c r="M93" s="1003">
        <f>SUM(M90:M92)</f>
        <v>1.3301051939406002E-3</v>
      </c>
      <c r="N93" s="912"/>
      <c r="O93" s="4"/>
      <c r="P93" s="4"/>
      <c r="Q93" s="4"/>
      <c r="R93" s="4"/>
      <c r="S93" s="4"/>
      <c r="T93" s="4"/>
      <c r="U93" s="4"/>
      <c r="V93" s="4"/>
      <c r="W93" s="4"/>
      <c r="X93" s="4"/>
      <c r="Y93" s="4"/>
      <c r="Z93" s="4"/>
      <c r="AA93" s="4"/>
      <c r="AB93" s="4"/>
      <c r="AC93" s="4"/>
      <c r="AD93" s="4"/>
      <c r="AE93" s="4"/>
      <c r="AF93" s="4"/>
      <c r="AG93" s="4"/>
      <c r="AH93" s="4"/>
    </row>
    <row r="94" spans="1:34" ht="15.75" customHeight="1" x14ac:dyDescent="0.25">
      <c r="A94" s="4"/>
      <c r="B94" s="1004"/>
      <c r="C94" s="1005"/>
      <c r="D94" s="989"/>
      <c r="E94" s="1006"/>
      <c r="F94" s="989"/>
      <c r="G94" s="992"/>
      <c r="H94" s="989"/>
      <c r="I94" s="988"/>
      <c r="J94" s="989"/>
      <c r="K94" s="1007"/>
      <c r="L94" s="1006"/>
      <c r="M94" s="1007"/>
      <c r="N94" s="979"/>
      <c r="O94" s="4"/>
      <c r="P94" s="4"/>
      <c r="Q94" s="4"/>
      <c r="R94" s="4"/>
      <c r="S94" s="4"/>
      <c r="T94" s="4"/>
      <c r="U94" s="4"/>
      <c r="V94" s="4"/>
      <c r="W94" s="4"/>
      <c r="X94" s="4"/>
      <c r="Y94" s="4"/>
      <c r="Z94" s="4"/>
      <c r="AA94" s="4"/>
      <c r="AB94" s="4"/>
      <c r="AC94" s="4"/>
      <c r="AD94" s="4"/>
      <c r="AE94" s="4"/>
      <c r="AF94" s="4"/>
      <c r="AG94" s="4"/>
      <c r="AH94" s="4"/>
    </row>
    <row r="95" spans="1:34" ht="15.75" customHeight="1" x14ac:dyDescent="0.25">
      <c r="A95" s="4"/>
      <c r="B95" s="1008"/>
      <c r="C95" s="1001"/>
      <c r="D95" s="938"/>
      <c r="E95" s="261"/>
      <c r="F95" s="938"/>
      <c r="G95" s="996"/>
      <c r="H95" s="938"/>
      <c r="I95" s="957"/>
      <c r="J95" s="938"/>
      <c r="K95" s="947"/>
      <c r="L95" s="261"/>
      <c r="M95" s="947"/>
      <c r="N95" s="4"/>
      <c r="O95" s="4"/>
      <c r="P95" s="4"/>
      <c r="Q95" s="4"/>
      <c r="R95" s="4"/>
      <c r="S95" s="4"/>
      <c r="T95" s="4"/>
      <c r="U95" s="4"/>
      <c r="V95" s="4"/>
      <c r="W95" s="4"/>
      <c r="X95" s="4"/>
      <c r="Y95" s="4"/>
      <c r="Z95" s="4"/>
      <c r="AA95" s="4"/>
      <c r="AB95" s="4"/>
      <c r="AC95" s="4"/>
      <c r="AD95" s="4"/>
      <c r="AE95" s="4"/>
      <c r="AF95" s="4"/>
      <c r="AG95" s="4"/>
      <c r="AH95" s="4"/>
    </row>
    <row r="96" spans="1:34" ht="15.75" customHeight="1" x14ac:dyDescent="0.25">
      <c r="A96" s="4"/>
      <c r="B96" s="1008"/>
      <c r="C96" s="1001"/>
      <c r="D96" s="938"/>
      <c r="E96" s="261"/>
      <c r="F96" s="938"/>
      <c r="G96" s="996"/>
      <c r="H96" s="938"/>
      <c r="I96" s="957"/>
      <c r="J96" s="938"/>
      <c r="K96" s="947"/>
      <c r="L96" s="261"/>
      <c r="M96" s="947"/>
      <c r="N96" s="4"/>
      <c r="O96" s="4"/>
      <c r="P96" s="4"/>
      <c r="Q96" s="4"/>
      <c r="R96" s="4"/>
      <c r="S96" s="4"/>
      <c r="T96" s="4"/>
      <c r="U96" s="4"/>
      <c r="V96" s="4"/>
      <c r="W96" s="4"/>
      <c r="X96" s="4"/>
      <c r="Y96" s="4"/>
      <c r="Z96" s="4"/>
      <c r="AA96" s="4"/>
      <c r="AB96" s="4"/>
      <c r="AC96" s="4"/>
      <c r="AD96" s="4"/>
      <c r="AE96" s="4"/>
      <c r="AF96" s="4"/>
      <c r="AG96" s="4"/>
      <c r="AH96" s="4"/>
    </row>
    <row r="97" spans="1:34" ht="15.75" customHeight="1" x14ac:dyDescent="0.25">
      <c r="A97" s="4"/>
      <c r="B97" s="1008"/>
      <c r="C97" s="1001"/>
      <c r="D97" s="938"/>
      <c r="E97" s="261"/>
      <c r="F97" s="938"/>
      <c r="G97" s="996"/>
      <c r="H97" s="938"/>
      <c r="I97" s="957"/>
      <c r="J97" s="938"/>
      <c r="K97" s="947"/>
      <c r="L97" s="261"/>
      <c r="M97" s="947"/>
      <c r="N97" s="4"/>
      <c r="O97" s="4"/>
      <c r="P97" s="4"/>
      <c r="Q97" s="4"/>
      <c r="R97" s="4"/>
      <c r="S97" s="4"/>
      <c r="T97" s="4"/>
      <c r="U97" s="4"/>
      <c r="V97" s="4"/>
      <c r="W97" s="4"/>
      <c r="X97" s="4"/>
      <c r="Y97" s="4"/>
      <c r="Z97" s="4"/>
      <c r="AA97" s="4"/>
      <c r="AB97" s="4"/>
      <c r="AC97" s="4"/>
      <c r="AD97" s="4"/>
      <c r="AE97" s="4"/>
      <c r="AF97" s="4"/>
      <c r="AG97" s="4"/>
      <c r="AH97" s="4"/>
    </row>
    <row r="98" spans="1:34" ht="21" customHeight="1" x14ac:dyDescent="0.4">
      <c r="A98" s="4"/>
      <c r="B98" s="907" t="s">
        <v>859</v>
      </c>
      <c r="C98" s="1009"/>
      <c r="D98" s="983"/>
      <c r="E98" s="981"/>
      <c r="F98" s="983"/>
      <c r="G98" s="1010"/>
      <c r="H98" s="983"/>
      <c r="I98" s="1011"/>
      <c r="J98" s="983"/>
      <c r="K98" s="1012"/>
      <c r="L98" s="981"/>
      <c r="M98" s="1012"/>
      <c r="N98" s="908"/>
      <c r="O98" s="908"/>
      <c r="P98" s="908"/>
      <c r="Q98" s="908"/>
      <c r="R98" s="908"/>
      <c r="S98" s="908"/>
      <c r="T98" s="908"/>
      <c r="U98" s="908"/>
      <c r="V98" s="908"/>
      <c r="W98" s="908"/>
      <c r="X98" s="908"/>
      <c r="Y98" s="908"/>
      <c r="Z98" s="908"/>
      <c r="AA98" s="908"/>
      <c r="AB98" s="908"/>
      <c r="AC98" s="908"/>
      <c r="AD98" s="908"/>
      <c r="AE98" s="908"/>
      <c r="AF98" s="908"/>
      <c r="AG98" s="908"/>
      <c r="AH98" s="909"/>
    </row>
    <row r="99" spans="1:34" ht="15.75" customHeight="1" x14ac:dyDescent="0.25">
      <c r="A99" s="4"/>
      <c r="B99" s="959"/>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912"/>
    </row>
    <row r="100" spans="1:34" ht="15.75" customHeight="1" x14ac:dyDescent="0.25">
      <c r="A100" s="4"/>
      <c r="B100" s="910" t="s">
        <v>860</v>
      </c>
      <c r="C100" s="911"/>
      <c r="D100" s="911"/>
      <c r="E100" s="911"/>
      <c r="F100" s="911"/>
      <c r="G100" s="911"/>
      <c r="H100" s="911"/>
      <c r="I100" s="911"/>
      <c r="J100" s="911"/>
      <c r="K100" s="911"/>
      <c r="L100" s="4"/>
      <c r="M100" s="4"/>
      <c r="N100" s="4"/>
      <c r="O100" s="4"/>
      <c r="P100" s="4"/>
      <c r="Q100" s="4"/>
      <c r="R100" s="4"/>
      <c r="S100" s="4"/>
      <c r="T100" s="4"/>
      <c r="U100" s="4"/>
      <c r="V100" s="4"/>
      <c r="W100" s="4"/>
      <c r="X100" s="4"/>
      <c r="Y100" s="4"/>
      <c r="Z100" s="4"/>
      <c r="AA100" s="4"/>
      <c r="AB100" s="4"/>
      <c r="AC100" s="4"/>
      <c r="AD100" s="4"/>
      <c r="AE100" s="4"/>
      <c r="AF100" s="4"/>
      <c r="AG100" s="4"/>
      <c r="AH100" s="912"/>
    </row>
    <row r="101" spans="1:34" ht="15.75" customHeight="1" x14ac:dyDescent="0.25">
      <c r="A101" s="4"/>
      <c r="B101" s="959"/>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912"/>
    </row>
    <row r="102" spans="1:34" ht="15.75" customHeight="1" x14ac:dyDescent="0.25">
      <c r="A102" s="4"/>
      <c r="B102" s="959"/>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912"/>
    </row>
    <row r="103" spans="1:34" ht="15.75" customHeight="1" x14ac:dyDescent="0.25">
      <c r="A103" s="4"/>
      <c r="B103" s="913"/>
      <c r="C103" s="4"/>
      <c r="D103" s="4"/>
      <c r="E103" s="261"/>
      <c r="F103" s="261"/>
      <c r="G103" s="261"/>
      <c r="H103" s="261"/>
      <c r="I103" s="261"/>
      <c r="J103" s="261"/>
      <c r="K103" s="914"/>
      <c r="L103" s="915"/>
      <c r="M103" s="916" t="s">
        <v>861</v>
      </c>
      <c r="N103" s="915"/>
      <c r="O103" s="917"/>
      <c r="P103" s="261"/>
      <c r="Q103" s="914"/>
      <c r="R103" s="915"/>
      <c r="S103" s="915"/>
      <c r="T103" s="916" t="s">
        <v>862</v>
      </c>
      <c r="U103" s="918"/>
      <c r="V103" s="918"/>
      <c r="W103" s="918"/>
      <c r="X103" s="919"/>
      <c r="Y103" s="4"/>
      <c r="Z103" s="920"/>
      <c r="AA103" s="921" t="s">
        <v>863</v>
      </c>
      <c r="AB103" s="916"/>
      <c r="AC103" s="916"/>
      <c r="AD103" s="916"/>
      <c r="AE103" s="919"/>
      <c r="AF103" s="4"/>
      <c r="AG103" s="922" t="s">
        <v>864</v>
      </c>
      <c r="AH103" s="912"/>
    </row>
    <row r="104" spans="1:34" ht="15.75" customHeight="1" x14ac:dyDescent="0.25">
      <c r="A104" s="4"/>
      <c r="B104" s="913"/>
      <c r="C104" s="923" t="s">
        <v>627</v>
      </c>
      <c r="D104" s="4"/>
      <c r="E104" s="923" t="s">
        <v>627</v>
      </c>
      <c r="F104" s="923"/>
      <c r="G104" s="923" t="s">
        <v>814</v>
      </c>
      <c r="H104" s="261"/>
      <c r="I104" s="923" t="s">
        <v>815</v>
      </c>
      <c r="J104" s="261"/>
      <c r="K104" s="924" t="s">
        <v>628</v>
      </c>
      <c r="L104" s="261"/>
      <c r="M104" s="42" t="s">
        <v>628</v>
      </c>
      <c r="N104" s="261"/>
      <c r="O104" s="925" t="s">
        <v>628</v>
      </c>
      <c r="P104" s="261"/>
      <c r="Q104" s="926"/>
      <c r="R104" s="261"/>
      <c r="S104" s="261"/>
      <c r="T104" s="4"/>
      <c r="U104" s="4"/>
      <c r="V104" s="4"/>
      <c r="W104" s="4"/>
      <c r="X104" s="927"/>
      <c r="Y104" s="4"/>
      <c r="Z104" s="928"/>
      <c r="AA104" s="4"/>
      <c r="AB104" s="4"/>
      <c r="AC104" s="4"/>
      <c r="AD104" s="4"/>
      <c r="AE104" s="927"/>
      <c r="AF104" s="4"/>
      <c r="AG104" s="929" t="s">
        <v>865</v>
      </c>
      <c r="AH104" s="912"/>
    </row>
    <row r="105" spans="1:34" ht="45" customHeight="1" x14ac:dyDescent="0.25">
      <c r="A105" s="4"/>
      <c r="B105" s="930" t="s">
        <v>277</v>
      </c>
      <c r="C105" s="923" t="s">
        <v>817</v>
      </c>
      <c r="D105" s="4"/>
      <c r="E105" s="923" t="s">
        <v>630</v>
      </c>
      <c r="F105" s="261"/>
      <c r="G105" s="923" t="s">
        <v>818</v>
      </c>
      <c r="H105" s="261"/>
      <c r="I105" s="923" t="s">
        <v>819</v>
      </c>
      <c r="J105" s="261"/>
      <c r="K105" s="931" t="s">
        <v>820</v>
      </c>
      <c r="L105" s="923"/>
      <c r="M105" s="923" t="s">
        <v>821</v>
      </c>
      <c r="N105" s="261"/>
      <c r="O105" s="925" t="s">
        <v>866</v>
      </c>
      <c r="P105" s="261"/>
      <c r="Q105" s="932" t="s">
        <v>867</v>
      </c>
      <c r="R105" s="933" t="s">
        <v>868</v>
      </c>
      <c r="S105" s="933" t="s">
        <v>869</v>
      </c>
      <c r="T105" s="934" t="s">
        <v>870</v>
      </c>
      <c r="U105" s="4"/>
      <c r="V105" s="934" t="s">
        <v>871</v>
      </c>
      <c r="W105" s="4"/>
      <c r="X105" s="935" t="s">
        <v>872</v>
      </c>
      <c r="Y105" s="933"/>
      <c r="Z105" s="932" t="s">
        <v>873</v>
      </c>
      <c r="AA105" s="934" t="s">
        <v>874</v>
      </c>
      <c r="AB105" s="4"/>
      <c r="AC105" s="934" t="s">
        <v>875</v>
      </c>
      <c r="AD105" s="4"/>
      <c r="AE105" s="935" t="s">
        <v>876</v>
      </c>
      <c r="AF105" s="4"/>
      <c r="AG105" s="936" t="s">
        <v>877</v>
      </c>
      <c r="AH105" s="912"/>
    </row>
    <row r="106" spans="1:34" ht="15.75" customHeight="1" x14ac:dyDescent="0.25">
      <c r="A106" s="4"/>
      <c r="B106" s="959" t="s">
        <v>878</v>
      </c>
      <c r="C106" s="542">
        <v>528516836.10000002</v>
      </c>
      <c r="D106" s="4"/>
      <c r="E106" s="937">
        <f>C106*$C$48/1000000000</f>
        <v>73299.999998708998</v>
      </c>
      <c r="F106" s="938" t="s">
        <v>835</v>
      </c>
      <c r="G106" s="939">
        <v>46.923999999999999</v>
      </c>
      <c r="H106" s="938" t="s">
        <v>835</v>
      </c>
      <c r="I106" s="940">
        <v>1</v>
      </c>
      <c r="J106" s="938" t="s">
        <v>836</v>
      </c>
      <c r="K106" s="941">
        <f t="shared" ref="K106:K107" si="30">E106*1000*G106*I106/2000</f>
        <v>1719764.5999697105</v>
      </c>
      <c r="L106" s="938" t="s">
        <v>836</v>
      </c>
      <c r="M106" s="942">
        <f t="shared" ref="M106:M107" si="31">K106*0.90718474/1000000</f>
        <v>1.5601442014847258</v>
      </c>
      <c r="N106" s="938" t="s">
        <v>836</v>
      </c>
      <c r="O106" s="1013">
        <f t="shared" ref="O106:O107" si="32">M106*44/12</f>
        <v>5.720528738777328</v>
      </c>
      <c r="P106" s="261"/>
      <c r="Q106" s="928"/>
      <c r="R106" s="955">
        <v>3.1920000000000002</v>
      </c>
      <c r="S106" s="955">
        <v>4.0000000000000002E-4</v>
      </c>
      <c r="T106" s="946">
        <f t="shared" ref="T106:T107" si="33">C106*R106*S106/1000000000</f>
        <v>6.7481029633248001E-4</v>
      </c>
      <c r="U106" s="938" t="s">
        <v>836</v>
      </c>
      <c r="V106" s="947">
        <f t="shared" ref="V106:V107" si="34">T106*$P$10*12/44*1000</f>
        <v>48.7703805076656</v>
      </c>
      <c r="W106" s="938" t="s">
        <v>836</v>
      </c>
      <c r="X106" s="1014">
        <f t="shared" ref="X106:X107" si="35">V106*44/12</f>
        <v>178.82472852810722</v>
      </c>
      <c r="Y106" s="4"/>
      <c r="Z106" s="950">
        <v>2.3E-3</v>
      </c>
      <c r="AA106" s="1015">
        <f t="shared" ref="AA106:AA107" si="36">C106*R106*Z106/1000000000</f>
        <v>3.8801592039117605E-3</v>
      </c>
      <c r="AB106" s="1016" t="s">
        <v>836</v>
      </c>
      <c r="AC106" s="65">
        <f t="shared" ref="AC106:AC107" si="37">AA106*$P$9*12/44*1000</f>
        <v>29.630306648053441</v>
      </c>
      <c r="AD106" s="1016" t="s">
        <v>836</v>
      </c>
      <c r="AE106" s="1014">
        <f t="shared" ref="AE106:AE107" si="38">AC106*44/12</f>
        <v>108.64445770952928</v>
      </c>
      <c r="AF106" s="4"/>
      <c r="AG106" s="953">
        <f t="shared" ref="AG106:AG107" si="39">X106+AE106</f>
        <v>287.46918623763651</v>
      </c>
      <c r="AH106" s="912"/>
    </row>
    <row r="107" spans="1:34" ht="15.75" customHeight="1" x14ac:dyDescent="0.25">
      <c r="A107" s="4"/>
      <c r="B107" s="913" t="s">
        <v>879</v>
      </c>
      <c r="C107" s="1017">
        <v>2405061253</v>
      </c>
      <c r="D107" s="4"/>
      <c r="E107" s="937">
        <f>C107*$C$47/1000000000</f>
        <v>298799.999950214</v>
      </c>
      <c r="F107" s="938" t="s">
        <v>835</v>
      </c>
      <c r="G107" s="652">
        <v>45.314</v>
      </c>
      <c r="H107" s="938" t="s">
        <v>835</v>
      </c>
      <c r="I107" s="940">
        <v>1</v>
      </c>
      <c r="J107" s="938" t="s">
        <v>836</v>
      </c>
      <c r="K107" s="941">
        <f t="shared" si="30"/>
        <v>6769911.5988719976</v>
      </c>
      <c r="L107" s="938" t="s">
        <v>836</v>
      </c>
      <c r="M107" s="942">
        <f t="shared" si="31"/>
        <v>6.1415604936456774</v>
      </c>
      <c r="N107" s="938" t="s">
        <v>836</v>
      </c>
      <c r="O107" s="1018">
        <f t="shared" si="32"/>
        <v>22.519055143367485</v>
      </c>
      <c r="P107" s="261"/>
      <c r="Q107" s="926"/>
      <c r="R107" s="956">
        <v>2.8008999999999999</v>
      </c>
      <c r="S107" s="955">
        <v>4.0000000000000002E-4</v>
      </c>
      <c r="T107" s="946">
        <f t="shared" si="33"/>
        <v>2.6945344254110802E-3</v>
      </c>
      <c r="U107" s="938" t="s">
        <v>836</v>
      </c>
      <c r="V107" s="947">
        <f t="shared" si="34"/>
        <v>194.74135165470989</v>
      </c>
      <c r="W107" s="938" t="s">
        <v>836</v>
      </c>
      <c r="X107" s="1014">
        <f t="shared" si="35"/>
        <v>714.05162273393626</v>
      </c>
      <c r="Y107" s="4"/>
      <c r="Z107" s="950">
        <v>4.4999999999999998E-2</v>
      </c>
      <c r="AA107" s="1015">
        <f t="shared" si="36"/>
        <v>0.30313512285874644</v>
      </c>
      <c r="AB107" s="1016" t="s">
        <v>836</v>
      </c>
      <c r="AC107" s="65">
        <f t="shared" si="37"/>
        <v>2314.8500291031551</v>
      </c>
      <c r="AD107" s="1016" t="s">
        <v>836</v>
      </c>
      <c r="AE107" s="1014">
        <f t="shared" si="38"/>
        <v>8487.783440044901</v>
      </c>
      <c r="AF107" s="4"/>
      <c r="AG107" s="953">
        <f t="shared" si="39"/>
        <v>9201.8350627788368</v>
      </c>
      <c r="AH107" s="912"/>
    </row>
    <row r="108" spans="1:34" ht="15.75" customHeight="1" x14ac:dyDescent="0.25">
      <c r="A108" s="4"/>
      <c r="B108" s="913"/>
      <c r="C108" s="954"/>
      <c r="D108" s="4"/>
      <c r="E108" s="965"/>
      <c r="F108" s="938"/>
      <c r="G108" s="1019"/>
      <c r="H108" s="938"/>
      <c r="I108" s="996"/>
      <c r="J108" s="938"/>
      <c r="K108" s="967"/>
      <c r="L108" s="938"/>
      <c r="M108" s="947"/>
      <c r="N108" s="938"/>
      <c r="O108" s="1020">
        <f>SUM(O106:O107)</f>
        <v>28.239583882144814</v>
      </c>
      <c r="P108" s="261"/>
      <c r="Q108" s="926"/>
      <c r="R108" s="1021"/>
      <c r="S108" s="1021"/>
      <c r="T108" s="946"/>
      <c r="U108" s="938"/>
      <c r="V108" s="947"/>
      <c r="W108" s="938"/>
      <c r="X108" s="948"/>
      <c r="Y108" s="4"/>
      <c r="Z108" s="1022"/>
      <c r="AA108" s="946"/>
      <c r="AB108" s="938"/>
      <c r="AC108" s="949"/>
      <c r="AD108" s="938"/>
      <c r="AE108" s="952">
        <f>SUM(AE106:AE107)/1000000</f>
        <v>8.5964278977544301E-3</v>
      </c>
      <c r="AF108" s="4"/>
      <c r="AG108" s="953"/>
      <c r="AH108" s="912"/>
    </row>
    <row r="109" spans="1:34" ht="15.75" customHeight="1" x14ac:dyDescent="0.25">
      <c r="A109" s="4"/>
      <c r="B109" s="913"/>
      <c r="C109" s="954"/>
      <c r="D109" s="4"/>
      <c r="E109" s="261"/>
      <c r="F109" s="261"/>
      <c r="G109" s="261"/>
      <c r="H109" s="261"/>
      <c r="I109" s="261"/>
      <c r="J109" s="261"/>
      <c r="K109" s="969"/>
      <c r="L109" s="970"/>
      <c r="M109" s="971"/>
      <c r="N109" s="972"/>
      <c r="O109" s="973"/>
      <c r="P109" s="261"/>
      <c r="Q109" s="969"/>
      <c r="R109" s="971"/>
      <c r="S109" s="971"/>
      <c r="T109" s="974"/>
      <c r="U109" s="974"/>
      <c r="V109" s="974"/>
      <c r="W109" s="974"/>
      <c r="X109" s="975"/>
      <c r="Y109" s="4"/>
      <c r="Z109" s="976"/>
      <c r="AA109" s="974"/>
      <c r="AB109" s="974"/>
      <c r="AC109" s="974"/>
      <c r="AD109" s="974"/>
      <c r="AE109" s="975"/>
      <c r="AF109" s="4"/>
      <c r="AG109" s="977"/>
      <c r="AH109" s="912"/>
    </row>
    <row r="110" spans="1:34" ht="15.75" customHeight="1" x14ac:dyDescent="0.25">
      <c r="A110" s="4"/>
      <c r="B110" s="978"/>
      <c r="C110" s="520"/>
      <c r="D110" s="520"/>
      <c r="E110" s="520"/>
      <c r="F110" s="520"/>
      <c r="G110" s="520"/>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c r="AE110" s="520"/>
      <c r="AF110" s="520"/>
      <c r="AG110" s="520"/>
      <c r="AH110" s="979"/>
    </row>
    <row r="111" spans="1:34"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row>
    <row r="112" spans="1:34" ht="15.75" customHeight="1" x14ac:dyDescent="0.25">
      <c r="A112" s="4"/>
      <c r="B112" s="4"/>
      <c r="C112" s="4"/>
      <c r="D112" s="4"/>
      <c r="E112" s="4"/>
      <c r="F112" s="4"/>
      <c r="G112" s="4"/>
      <c r="H112" s="4"/>
      <c r="I112" s="65"/>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row>
    <row r="113" spans="1:34" ht="15.75" customHeight="1" x14ac:dyDescent="0.25">
      <c r="A113" s="4"/>
      <c r="B113" s="4"/>
      <c r="C113" s="4"/>
      <c r="D113" s="4"/>
      <c r="E113" s="4"/>
      <c r="F113" s="4"/>
      <c r="G113" s="4"/>
      <c r="H113" s="4"/>
      <c r="I113" s="65"/>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row>
    <row r="114" spans="1:34" ht="15.75" customHeight="1" x14ac:dyDescent="0.25">
      <c r="A114" s="4"/>
      <c r="B114" s="4"/>
      <c r="C114" s="4"/>
      <c r="D114" s="4"/>
      <c r="E114" s="4"/>
      <c r="F114" s="4"/>
      <c r="G114" s="4"/>
      <c r="H114" s="4"/>
      <c r="I114" s="65"/>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row>
    <row r="115" spans="1:34" ht="15.75" customHeight="1" x14ac:dyDescent="0.25">
      <c r="A115" s="4"/>
      <c r="B115" s="4"/>
      <c r="C115" s="4"/>
      <c r="D115" s="4"/>
      <c r="E115" s="4"/>
      <c r="F115" s="4"/>
      <c r="G115" s="4"/>
      <c r="H115" s="4"/>
      <c r="I115" s="65"/>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row>
    <row r="116" spans="1:34" ht="15.75" customHeight="1" x14ac:dyDescent="0.25">
      <c r="A116" s="4"/>
      <c r="B116" s="4"/>
      <c r="C116" s="4"/>
      <c r="D116" s="4"/>
      <c r="E116" s="4"/>
      <c r="F116" s="4"/>
      <c r="G116" s="4"/>
      <c r="H116" s="4"/>
      <c r="I116" s="65"/>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row>
    <row r="117" spans="1:34" ht="15.75" customHeight="1" x14ac:dyDescent="0.25">
      <c r="A117" s="4"/>
      <c r="B117" s="4"/>
      <c r="C117" s="4"/>
      <c r="D117" s="4"/>
      <c r="E117" s="4"/>
      <c r="F117" s="4"/>
      <c r="G117" s="4"/>
      <c r="H117" s="4"/>
      <c r="I117" s="65"/>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row>
    <row r="118" spans="1:34" ht="15.75" customHeight="1" x14ac:dyDescent="0.25">
      <c r="A118" s="4"/>
      <c r="B118" s="4"/>
      <c r="C118" s="4"/>
      <c r="D118" s="4"/>
      <c r="E118" s="4"/>
      <c r="F118" s="4"/>
      <c r="G118" s="4"/>
      <c r="H118" s="4"/>
      <c r="I118" s="65"/>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row>
    <row r="119" spans="1:34"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row>
    <row r="120" spans="1:34"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row>
    <row r="121" spans="1:34"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row>
    <row r="122" spans="1:34"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row>
    <row r="123" spans="1:34"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row>
    <row r="124" spans="1:34"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row>
    <row r="125" spans="1:34"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row>
    <row r="126" spans="1:34"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row>
    <row r="127" spans="1:34"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row>
    <row r="128" spans="1:34"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row>
    <row r="129" spans="1:34"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row>
    <row r="130" spans="1:34"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row>
    <row r="131" spans="1:34"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row>
    <row r="132" spans="1:34"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row>
    <row r="133" spans="1:34"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row>
    <row r="134" spans="1:34"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row>
    <row r="135" spans="1:34"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row>
    <row r="136" spans="1:34"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row>
    <row r="137" spans="1:34"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row>
    <row r="138" spans="1:34"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row>
    <row r="139" spans="1:34"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row>
    <row r="140" spans="1:34"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row>
    <row r="141" spans="1:34"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row>
    <row r="142" spans="1:34"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row>
    <row r="143" spans="1:34"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row>
    <row r="144" spans="1:34"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row>
    <row r="145" spans="1:34"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row>
    <row r="146" spans="1:34"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row>
    <row r="147" spans="1:34"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row>
    <row r="148" spans="1:34"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row>
    <row r="149" spans="1:34"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row>
    <row r="150" spans="1:34"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row>
    <row r="151" spans="1:34"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row>
    <row r="152" spans="1:34"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row>
    <row r="153" spans="1:34"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row>
    <row r="154" spans="1:34"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row>
    <row r="155" spans="1:34"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row>
    <row r="156" spans="1:34"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row>
    <row r="157" spans="1:34"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row>
    <row r="158" spans="1:34"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row>
    <row r="159" spans="1:34"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row>
    <row r="160" spans="1:34"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row>
    <row r="161" spans="1:34"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row>
    <row r="162" spans="1:34"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row>
    <row r="163" spans="1:34"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row>
    <row r="164" spans="1:34"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row>
    <row r="165" spans="1:34"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row>
    <row r="166" spans="1:34"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row>
    <row r="167" spans="1:34"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row>
    <row r="168" spans="1:34"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row>
    <row r="169" spans="1:34"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row>
    <row r="170" spans="1:34"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row>
    <row r="171" spans="1:34"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row>
    <row r="172" spans="1:34"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row>
    <row r="173" spans="1:34"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row>
    <row r="174" spans="1:34"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row>
    <row r="175" spans="1:34"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row>
    <row r="176" spans="1:34"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row>
    <row r="177" spans="1:34"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row>
    <row r="178" spans="1:34"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row>
    <row r="179" spans="1:34"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row>
    <row r="180" spans="1:34"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row>
    <row r="181" spans="1:34"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row>
    <row r="182" spans="1:34"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row>
    <row r="183" spans="1:34"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row>
    <row r="184" spans="1:34"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row>
    <row r="185" spans="1:34"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row>
    <row r="186" spans="1:34"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row>
    <row r="187" spans="1:34"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row>
    <row r="188" spans="1:34"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row>
    <row r="189" spans="1:34"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row>
    <row r="190" spans="1:34"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row>
    <row r="191" spans="1:34"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row>
    <row r="192" spans="1:34"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row>
    <row r="193" spans="1:34"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row>
    <row r="194" spans="1:34"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row>
    <row r="195" spans="1:34"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row>
    <row r="196" spans="1:34"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row>
    <row r="197" spans="1:34"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row>
    <row r="198" spans="1:34"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row>
    <row r="199" spans="1:34"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row>
    <row r="200" spans="1:34"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row>
    <row r="201" spans="1:34"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row>
    <row r="202" spans="1:34"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row>
    <row r="203" spans="1:34"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row>
    <row r="204" spans="1:34"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row>
    <row r="205" spans="1:34"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row>
    <row r="206" spans="1:34"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row>
    <row r="207" spans="1:34"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row>
    <row r="208" spans="1:34"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row>
    <row r="209" spans="1:34"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row>
    <row r="210" spans="1:34"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row>
    <row r="211" spans="1:34"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row>
    <row r="212" spans="1:34"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row>
    <row r="213" spans="1:34"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row>
    <row r="214" spans="1:34"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row>
    <row r="215" spans="1:34"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row>
    <row r="216" spans="1:34"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row>
    <row r="217" spans="1:34"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row>
    <row r="218" spans="1:34"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row>
    <row r="219" spans="1:34"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row>
    <row r="220" spans="1:34"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row>
    <row r="221" spans="1:34"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row>
    <row r="222" spans="1:34"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row>
    <row r="223" spans="1:34"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row>
    <row r="224" spans="1:34"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row>
    <row r="225" spans="1:34"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row>
    <row r="226" spans="1:34"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row>
    <row r="227" spans="1:34"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row>
    <row r="228" spans="1:34"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row>
    <row r="229" spans="1:34"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row>
    <row r="230" spans="1:34"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row>
    <row r="231" spans="1:34"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row>
    <row r="232" spans="1:34"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row>
    <row r="233" spans="1:34"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row>
    <row r="234" spans="1:34"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row>
    <row r="235" spans="1:34"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row>
    <row r="236" spans="1:34"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row>
    <row r="237" spans="1:34"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row>
    <row r="238" spans="1:34"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row>
    <row r="239" spans="1:34"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row>
    <row r="240" spans="1:34"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row>
    <row r="241" spans="1:34"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row>
    <row r="242" spans="1:34"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row>
    <row r="243" spans="1:34"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row>
    <row r="244" spans="1:34"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row>
    <row r="245" spans="1:34"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row>
    <row r="246" spans="1:34"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row>
    <row r="247" spans="1:34"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row>
    <row r="248" spans="1:34"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row>
    <row r="249" spans="1:34"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row>
    <row r="250" spans="1:34"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row>
    <row r="251" spans="1:34"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row>
    <row r="252" spans="1:34"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row>
    <row r="253" spans="1:34"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row>
    <row r="254" spans="1:34"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row>
    <row r="255" spans="1:34"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row>
    <row r="256" spans="1:34"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row>
    <row r="257" spans="1:34"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row>
    <row r="258" spans="1:34"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row>
    <row r="259" spans="1:34"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row>
    <row r="260" spans="1:34"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row>
    <row r="261" spans="1:34"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row>
    <row r="262" spans="1:34"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row>
    <row r="263" spans="1:34"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row>
    <row r="264" spans="1:34"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row>
    <row r="265" spans="1:34"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row>
    <row r="266" spans="1:34"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row>
    <row r="267" spans="1:34"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row>
    <row r="268" spans="1:34"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row>
    <row r="269" spans="1:34"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row>
    <row r="270" spans="1:34"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row>
    <row r="271" spans="1:34"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row>
    <row r="272" spans="1:34"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row>
    <row r="273" spans="1:34"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row>
    <row r="274" spans="1:34"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row>
    <row r="275" spans="1:34"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row>
    <row r="276" spans="1:34"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row>
    <row r="277" spans="1:34"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row>
    <row r="278" spans="1:34"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row>
    <row r="279" spans="1:34"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row>
    <row r="280" spans="1:34"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row>
    <row r="281" spans="1:34"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row>
    <row r="282" spans="1:34"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row>
    <row r="283" spans="1:34"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row>
    <row r="284" spans="1:34"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row>
    <row r="285" spans="1:34"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row>
    <row r="286" spans="1:34"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row>
    <row r="287" spans="1:34"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row>
    <row r="288" spans="1:34"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row>
    <row r="289" spans="1:34"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row>
    <row r="290" spans="1:34"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row>
    <row r="291" spans="1:34"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row>
    <row r="292" spans="1:34"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row>
    <row r="293" spans="1:34"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row>
    <row r="294" spans="1:34"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row>
    <row r="295" spans="1:34"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row>
    <row r="296" spans="1:34"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row>
    <row r="297" spans="1:34"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row>
    <row r="298" spans="1:34"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row>
    <row r="299" spans="1:34"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row>
    <row r="300" spans="1:34"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row>
    <row r="301" spans="1:34"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row>
    <row r="302" spans="1:34"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row>
    <row r="303" spans="1:34"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row>
    <row r="304" spans="1:34"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row>
    <row r="305" spans="1:34"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row>
    <row r="306" spans="1:34"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row>
    <row r="307" spans="1:34"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row>
    <row r="308" spans="1:34"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row>
    <row r="309" spans="1:34"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row>
    <row r="310" spans="1:34"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row>
    <row r="311" spans="1:34"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row>
    <row r="312" spans="1:34"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row>
    <row r="313" spans="1:34"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row>
    <row r="314" spans="1:34"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row>
    <row r="315" spans="1:34"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row>
    <row r="316" spans="1:34"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row>
    <row r="317" spans="1:34"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row>
    <row r="318" spans="1:34"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row>
    <row r="319" spans="1:34"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row>
    <row r="320" spans="1:34"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row>
    <row r="321" spans="1:34"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row>
    <row r="322" spans="1:34"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row>
    <row r="323" spans="1:34"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row>
    <row r="324" spans="1:34"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row>
    <row r="325" spans="1:34"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row>
    <row r="326" spans="1:34"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row>
    <row r="327" spans="1:34"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row>
    <row r="328" spans="1:34"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row>
    <row r="329" spans="1:34"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row>
    <row r="330" spans="1:34"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row>
    <row r="331" spans="1:34"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row>
    <row r="332" spans="1:34"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row>
    <row r="333" spans="1:34"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row>
    <row r="334" spans="1:34"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row>
    <row r="335" spans="1:34"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row>
    <row r="336" spans="1:34"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row>
    <row r="337" spans="1:34"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row>
    <row r="338" spans="1:34"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row>
    <row r="339" spans="1:34"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row>
    <row r="340" spans="1:34"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row>
    <row r="341" spans="1:34"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row>
    <row r="342" spans="1:34"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row>
    <row r="343" spans="1:34"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row>
    <row r="344" spans="1:34"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row>
    <row r="345" spans="1:34"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row>
    <row r="346" spans="1:34"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row>
    <row r="347" spans="1:34"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row>
    <row r="348" spans="1:34"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row>
    <row r="349" spans="1:34"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row>
    <row r="350" spans="1:34"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row>
    <row r="351" spans="1:34"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row>
    <row r="352" spans="1:34"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row>
    <row r="353" spans="1:34"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row>
    <row r="354" spans="1:34"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row>
    <row r="355" spans="1:34"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row>
    <row r="356" spans="1:34"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row>
    <row r="357" spans="1:34"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row>
    <row r="358" spans="1:34"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row>
    <row r="359" spans="1:34"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row>
    <row r="360" spans="1:34"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row>
    <row r="361" spans="1:34"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row>
    <row r="362" spans="1:34"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row>
    <row r="363" spans="1:34"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row>
    <row r="364" spans="1:34"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row>
    <row r="365" spans="1:34"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row>
    <row r="366" spans="1:34"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row>
    <row r="367" spans="1:34"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row>
    <row r="368" spans="1:34"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row>
    <row r="369" spans="1:34"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row>
    <row r="370" spans="1:34"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row>
    <row r="371" spans="1:34"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row>
    <row r="372" spans="1:34"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row>
    <row r="373" spans="1:34"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row>
    <row r="374" spans="1:34"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row>
    <row r="375" spans="1:34"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row>
    <row r="376" spans="1:34"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row>
    <row r="377" spans="1:34"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row>
    <row r="378" spans="1:34"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row>
    <row r="379" spans="1:34"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row>
    <row r="380" spans="1:34"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row>
    <row r="381" spans="1:34"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row>
    <row r="382" spans="1:34"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row>
    <row r="383" spans="1:34"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row>
    <row r="384" spans="1:34"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row>
    <row r="385" spans="1:34"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row>
    <row r="386" spans="1:34"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row>
    <row r="387" spans="1:34"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row>
    <row r="388" spans="1:34"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row>
    <row r="389" spans="1:34"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row>
    <row r="390" spans="1:34"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row>
    <row r="391" spans="1:34"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row>
    <row r="392" spans="1:34"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row>
    <row r="393" spans="1:34"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row>
    <row r="394" spans="1:34"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row>
    <row r="395" spans="1:34"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row>
    <row r="396" spans="1:34"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row>
    <row r="397" spans="1:34"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row>
    <row r="398" spans="1:34"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row>
    <row r="399" spans="1:34"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row>
    <row r="400" spans="1:34"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row>
    <row r="401" spans="1:34"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row>
    <row r="402" spans="1:34"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row>
    <row r="403" spans="1:34"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row>
    <row r="404" spans="1:34"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row>
    <row r="405" spans="1:34"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row>
    <row r="406" spans="1:34"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row>
    <row r="407" spans="1:34"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row>
    <row r="408" spans="1:34"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row>
    <row r="409" spans="1:34"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row>
    <row r="410" spans="1:34"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row>
    <row r="411" spans="1:34"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row>
    <row r="412" spans="1:34"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row>
    <row r="413" spans="1:34"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row>
    <row r="414" spans="1:34"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row>
    <row r="415" spans="1:34"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row>
    <row r="416" spans="1:34"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row>
    <row r="417" spans="1:34"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row>
    <row r="418" spans="1:34"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row>
    <row r="419" spans="1:34"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row>
    <row r="420" spans="1:34"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row>
    <row r="421" spans="1:34"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row>
    <row r="422" spans="1:34"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row>
    <row r="423" spans="1:34"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row>
    <row r="424" spans="1:34"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row>
    <row r="425" spans="1:34"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row>
    <row r="426" spans="1:34"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row>
    <row r="427" spans="1:34"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row>
    <row r="428" spans="1:34"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row>
    <row r="429" spans="1:34"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row>
    <row r="430" spans="1:34"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row>
    <row r="431" spans="1:34"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row>
    <row r="432" spans="1:34"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row>
    <row r="433" spans="1:34"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row>
    <row r="434" spans="1:34"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row>
    <row r="435" spans="1:34"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row>
    <row r="436" spans="1:34"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row>
    <row r="437" spans="1:34"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row>
    <row r="438" spans="1:34"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row>
    <row r="439" spans="1:34"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row>
    <row r="440" spans="1:34"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row>
    <row r="441" spans="1:34"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row>
    <row r="442" spans="1:34"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row>
    <row r="443" spans="1:34"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row>
    <row r="444" spans="1:34"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row>
    <row r="445" spans="1:34"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row>
    <row r="446" spans="1:34"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row>
    <row r="447" spans="1:34"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row>
    <row r="448" spans="1:34"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row>
    <row r="449" spans="1:34"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row>
    <row r="450" spans="1:34"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row>
    <row r="451" spans="1:34"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row>
    <row r="452" spans="1:34"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row>
    <row r="453" spans="1:34"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row>
    <row r="454" spans="1:34"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row>
    <row r="455" spans="1:34"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row>
    <row r="456" spans="1:34"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row>
    <row r="457" spans="1:34"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row>
    <row r="458" spans="1:34"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row>
    <row r="459" spans="1:34"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row>
    <row r="460" spans="1:34"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row>
    <row r="461" spans="1:34"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row>
    <row r="462" spans="1:34"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row>
    <row r="463" spans="1:34"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row>
    <row r="464" spans="1:34"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row>
    <row r="465" spans="1:34"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row>
    <row r="466" spans="1:34"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row>
    <row r="467" spans="1:34"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row>
    <row r="468" spans="1:34"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row>
    <row r="469" spans="1:34"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row>
    <row r="470" spans="1:34"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row>
    <row r="471" spans="1:34"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row>
    <row r="472" spans="1:34"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row>
    <row r="473" spans="1:34"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row>
    <row r="474" spans="1:34"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row>
    <row r="475" spans="1:34"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row>
    <row r="476" spans="1:34"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row>
    <row r="477" spans="1:34"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row>
    <row r="478" spans="1:34"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row>
    <row r="479" spans="1:34"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row>
    <row r="480" spans="1:34"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row>
    <row r="481" spans="1:34"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row>
    <row r="482" spans="1:34"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row>
    <row r="483" spans="1:34"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row>
    <row r="484" spans="1:34"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row>
    <row r="485" spans="1:34"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row>
    <row r="486" spans="1:34"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row>
    <row r="487" spans="1:34"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row>
    <row r="488" spans="1:34"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row>
    <row r="489" spans="1:34"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row>
    <row r="490" spans="1:34"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row>
    <row r="491" spans="1:34"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row>
    <row r="492" spans="1:34"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row>
    <row r="493" spans="1:34"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row>
    <row r="494" spans="1:34"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row>
    <row r="495" spans="1:34"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row>
    <row r="496" spans="1:34"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row>
    <row r="497" spans="1:34"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row>
    <row r="498" spans="1:34"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row>
    <row r="499" spans="1:34"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row>
    <row r="500" spans="1:34"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row>
    <row r="501" spans="1:34"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row>
    <row r="502" spans="1:34"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row>
    <row r="503" spans="1:34"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row>
    <row r="504" spans="1:34"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row>
    <row r="505" spans="1:34"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row>
    <row r="506" spans="1:34"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row>
    <row r="507" spans="1:34"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row>
    <row r="508" spans="1:34"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row>
    <row r="509" spans="1:34"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row>
    <row r="510" spans="1:34"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row>
    <row r="511" spans="1:34"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row>
    <row r="512" spans="1:34"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row>
    <row r="513" spans="1:34"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row>
    <row r="514" spans="1:34"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row>
    <row r="515" spans="1:34"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row>
    <row r="516" spans="1:34"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row>
    <row r="517" spans="1:34"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row>
    <row r="518" spans="1:34"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row>
    <row r="519" spans="1:34"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row>
    <row r="520" spans="1:34"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row>
    <row r="521" spans="1:34"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row>
    <row r="522" spans="1:34"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row>
    <row r="523" spans="1:34"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row>
    <row r="524" spans="1:34"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row>
    <row r="525" spans="1:34"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row>
    <row r="526" spans="1:34"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row>
    <row r="527" spans="1:34"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row>
    <row r="528" spans="1:34"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row>
    <row r="529" spans="1:34"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row>
    <row r="530" spans="1:34"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row>
    <row r="531" spans="1:34"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row>
    <row r="532" spans="1:34"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row>
    <row r="533" spans="1:34"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row>
    <row r="534" spans="1:34"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row>
    <row r="535" spans="1:34"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row>
    <row r="536" spans="1:34"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row>
    <row r="537" spans="1:34"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row>
    <row r="538" spans="1:34"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row>
    <row r="539" spans="1:34"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row>
    <row r="540" spans="1:34"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row>
    <row r="541" spans="1:34"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row>
    <row r="542" spans="1:34"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row>
    <row r="543" spans="1:34"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row>
    <row r="544" spans="1:34"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row>
    <row r="545" spans="1:34"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row>
    <row r="546" spans="1:34"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row>
    <row r="547" spans="1:34"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row>
    <row r="548" spans="1:34"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row>
    <row r="549" spans="1:34"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row>
    <row r="550" spans="1:34"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row>
    <row r="551" spans="1:34"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row>
    <row r="552" spans="1:34"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row>
    <row r="553" spans="1:34"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row>
    <row r="554" spans="1:34"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row>
    <row r="555" spans="1:34"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row>
    <row r="556" spans="1:34"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row>
    <row r="557" spans="1:34"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row>
    <row r="558" spans="1:34"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row>
    <row r="559" spans="1:34"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row>
    <row r="560" spans="1:34"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row>
    <row r="561" spans="1:34"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row>
    <row r="562" spans="1:34"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row>
    <row r="563" spans="1:34"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row>
    <row r="564" spans="1:34"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row>
    <row r="565" spans="1:34"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row>
    <row r="566" spans="1:34"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row>
    <row r="567" spans="1:34"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row>
    <row r="568" spans="1:34"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row>
    <row r="569" spans="1:34"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row>
    <row r="570" spans="1:34"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row>
    <row r="571" spans="1:34"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row>
    <row r="572" spans="1:34"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row>
    <row r="573" spans="1:34"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row>
    <row r="574" spans="1:34"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row>
    <row r="575" spans="1:34"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row>
    <row r="576" spans="1:34"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row>
    <row r="577" spans="1:34"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row>
    <row r="578" spans="1:34"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row>
    <row r="579" spans="1:34"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row>
    <row r="580" spans="1:34"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row>
    <row r="581" spans="1:34"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row>
    <row r="582" spans="1:34"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row>
    <row r="583" spans="1:34"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row>
    <row r="584" spans="1:34"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row>
    <row r="585" spans="1:34"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row>
    <row r="586" spans="1:34"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row>
    <row r="587" spans="1:34"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row>
    <row r="588" spans="1:34"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row>
    <row r="589" spans="1:34"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row>
    <row r="590" spans="1:34"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row>
    <row r="591" spans="1:34"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row>
    <row r="592" spans="1:34"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row>
    <row r="593" spans="1:34"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row>
    <row r="594" spans="1:34"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row>
    <row r="595" spans="1:34"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row>
    <row r="596" spans="1:34"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row>
    <row r="597" spans="1:34"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row>
    <row r="598" spans="1:34"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row>
    <row r="599" spans="1:34"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row>
    <row r="600" spans="1:34"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row>
    <row r="601" spans="1:34"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row>
    <row r="602" spans="1:34"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row>
    <row r="603" spans="1:34"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row>
    <row r="604" spans="1:34"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row>
    <row r="605" spans="1:34"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row>
    <row r="606" spans="1:34"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row>
    <row r="607" spans="1:34"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row>
    <row r="608" spans="1:34"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row>
    <row r="609" spans="1:34"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row>
    <row r="610" spans="1:34"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row>
    <row r="611" spans="1:34"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row>
    <row r="612" spans="1:34"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row>
    <row r="613" spans="1:34"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row>
    <row r="614" spans="1:34"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row>
    <row r="615" spans="1:34"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row>
    <row r="616" spans="1:34"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row>
    <row r="617" spans="1:34"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row>
    <row r="618" spans="1:34"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row>
    <row r="619" spans="1:34"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row>
    <row r="620" spans="1:34"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row>
    <row r="621" spans="1:34"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row>
    <row r="622" spans="1:34"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row>
    <row r="623" spans="1:34"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row>
    <row r="624" spans="1:34"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row>
    <row r="625" spans="1:34"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row>
    <row r="626" spans="1:34"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row>
    <row r="627" spans="1:34"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row>
    <row r="628" spans="1:34"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row>
    <row r="629" spans="1:34"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row>
    <row r="630" spans="1:34"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row>
    <row r="631" spans="1:34"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row>
    <row r="632" spans="1:34"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row>
    <row r="633" spans="1:34"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row>
    <row r="634" spans="1:34"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row>
    <row r="635" spans="1:34"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row>
    <row r="636" spans="1:34"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row>
    <row r="637" spans="1:34"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row>
    <row r="638" spans="1:34"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row>
    <row r="639" spans="1:34"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row>
    <row r="640" spans="1:34"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row>
    <row r="641" spans="1:34"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row>
    <row r="642" spans="1:34"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row>
    <row r="643" spans="1:34"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row>
    <row r="644" spans="1:34"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row>
    <row r="645" spans="1:34"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row>
    <row r="646" spans="1:34"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row>
    <row r="647" spans="1:34"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row>
    <row r="648" spans="1:34"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row>
    <row r="649" spans="1:34"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row>
    <row r="650" spans="1:34"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row>
    <row r="651" spans="1:34"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row>
    <row r="652" spans="1:34"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row>
    <row r="653" spans="1:34"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row>
    <row r="654" spans="1:34"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row>
    <row r="655" spans="1:34"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row>
    <row r="656" spans="1:34"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row>
    <row r="657" spans="1:34"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row>
    <row r="658" spans="1:34"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row>
    <row r="659" spans="1:34"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row>
    <row r="660" spans="1:34"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row>
    <row r="661" spans="1:34"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row>
    <row r="662" spans="1:34"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row>
    <row r="663" spans="1:34"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row>
    <row r="664" spans="1:34"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row>
    <row r="665" spans="1:34"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row>
    <row r="666" spans="1:34"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row>
    <row r="667" spans="1:34"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row>
    <row r="668" spans="1:34"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row>
    <row r="669" spans="1:34"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row>
    <row r="670" spans="1:34"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row>
    <row r="671" spans="1:34"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row>
    <row r="672" spans="1:34"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row>
    <row r="673" spans="1:34"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row>
    <row r="674" spans="1:34"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row>
    <row r="675" spans="1:34"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row>
    <row r="676" spans="1:34"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row>
    <row r="677" spans="1:34"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row>
    <row r="678" spans="1:34"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row>
    <row r="679" spans="1:34"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row>
    <row r="680" spans="1:34"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row>
    <row r="681" spans="1:34"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row>
    <row r="682" spans="1:34"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row>
    <row r="683" spans="1:34"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row>
    <row r="684" spans="1:34"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row>
    <row r="685" spans="1:34"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row>
    <row r="686" spans="1:34"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row>
    <row r="687" spans="1:34"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row>
    <row r="688" spans="1:34"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row>
    <row r="689" spans="1:34"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row>
    <row r="690" spans="1:34"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row>
    <row r="691" spans="1:34"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row>
    <row r="692" spans="1:34"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row>
    <row r="693" spans="1:34"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row>
    <row r="694" spans="1:34"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row>
    <row r="695" spans="1:34"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row>
    <row r="696" spans="1:34"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row>
    <row r="697" spans="1:34"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row>
    <row r="698" spans="1:34"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row>
    <row r="699" spans="1:34"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row>
    <row r="700" spans="1:34"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row>
    <row r="701" spans="1:34"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row>
    <row r="702" spans="1:34"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row>
    <row r="703" spans="1:34"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row>
    <row r="704" spans="1:34"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row>
    <row r="705" spans="1:34"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row>
    <row r="706" spans="1:34"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row>
    <row r="707" spans="1:34"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row>
    <row r="708" spans="1:34"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row>
    <row r="709" spans="1:34"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row>
    <row r="710" spans="1:34"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row>
    <row r="711" spans="1:34"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row>
    <row r="712" spans="1:34"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row>
    <row r="713" spans="1:34"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row>
    <row r="714" spans="1:34"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row>
    <row r="715" spans="1:34"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row>
    <row r="716" spans="1:34"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row>
    <row r="717" spans="1:34"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row>
    <row r="718" spans="1:34"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row>
    <row r="719" spans="1:34"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row>
    <row r="720" spans="1:34"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row>
    <row r="721" spans="1:34"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row>
    <row r="722" spans="1:34"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row>
    <row r="723" spans="1:34"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row>
    <row r="724" spans="1:34"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row>
    <row r="725" spans="1:34"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row>
    <row r="726" spans="1:34"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row>
    <row r="727" spans="1:34"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row>
    <row r="728" spans="1:34"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row>
    <row r="729" spans="1:34"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row>
    <row r="730" spans="1:34"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row>
    <row r="731" spans="1:34"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row>
    <row r="732" spans="1:34"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row>
    <row r="733" spans="1:34"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row>
    <row r="734" spans="1:34"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row>
    <row r="735" spans="1:34"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row>
    <row r="736" spans="1:34"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row>
    <row r="737" spans="1:34"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row>
    <row r="738" spans="1:34"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row>
    <row r="739" spans="1:34"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row>
    <row r="740" spans="1:34"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row>
    <row r="741" spans="1:34"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row>
    <row r="742" spans="1:34"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row>
    <row r="743" spans="1:34"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row>
    <row r="744" spans="1:34"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row>
    <row r="745" spans="1:34"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row>
    <row r="746" spans="1:34"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row>
    <row r="747" spans="1:34"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row>
    <row r="748" spans="1:34"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row>
    <row r="749" spans="1:34"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row>
    <row r="750" spans="1:34"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row>
    <row r="751" spans="1:34"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row>
    <row r="752" spans="1:34"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row>
    <row r="753" spans="1:34"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row>
    <row r="754" spans="1:34"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row>
    <row r="755" spans="1:34"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row>
    <row r="756" spans="1:34"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row>
    <row r="757" spans="1:34"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row>
    <row r="758" spans="1:34"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row>
    <row r="759" spans="1:34"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row>
    <row r="760" spans="1:34"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row>
    <row r="761" spans="1:34"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row>
    <row r="762" spans="1:34"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row>
    <row r="763" spans="1:34"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row>
    <row r="764" spans="1:34"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row>
    <row r="765" spans="1:34"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row>
    <row r="766" spans="1:34"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row>
    <row r="767" spans="1:34"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row>
    <row r="768" spans="1:34"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row>
    <row r="769" spans="1:34"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row>
    <row r="770" spans="1:34"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row>
    <row r="771" spans="1:34"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row>
    <row r="772" spans="1:34"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row>
    <row r="773" spans="1:34"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row>
    <row r="774" spans="1:34"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row>
    <row r="775" spans="1:34"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row>
    <row r="776" spans="1:34"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row>
    <row r="777" spans="1:34"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row>
    <row r="778" spans="1:34"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row>
    <row r="779" spans="1:34"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row>
    <row r="780" spans="1:34"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row>
    <row r="781" spans="1:34"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row>
    <row r="782" spans="1:34"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row>
    <row r="783" spans="1:34"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row>
    <row r="784" spans="1:34"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row>
    <row r="785" spans="1:34"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row>
    <row r="786" spans="1:34"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row>
    <row r="787" spans="1:34"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row>
    <row r="788" spans="1:34"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row>
    <row r="789" spans="1:34"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row>
    <row r="790" spans="1:34"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row>
    <row r="791" spans="1:34"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row>
    <row r="792" spans="1:34"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row>
    <row r="793" spans="1:34"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row>
    <row r="794" spans="1:34"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row>
    <row r="795" spans="1:34"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row>
    <row r="796" spans="1:34"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row>
    <row r="797" spans="1:34"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row>
    <row r="798" spans="1:34"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row>
    <row r="799" spans="1:34"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row>
    <row r="800" spans="1:34"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row>
    <row r="801" spans="1:34"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row>
    <row r="802" spans="1:34"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row>
    <row r="803" spans="1:34"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row>
    <row r="804" spans="1:34"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row>
    <row r="805" spans="1:34"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row>
    <row r="806" spans="1:34"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row>
    <row r="807" spans="1:34"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row>
    <row r="808" spans="1:34"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row>
    <row r="809" spans="1:34"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row>
    <row r="810" spans="1:34"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row>
    <row r="811" spans="1:34"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row>
    <row r="812" spans="1:34"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row>
    <row r="813" spans="1:34"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row>
    <row r="814" spans="1:34"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row>
    <row r="815" spans="1:34"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row>
    <row r="816" spans="1:34"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row>
    <row r="817" spans="1:34"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row>
    <row r="818" spans="1:34"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row>
    <row r="819" spans="1:34"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row>
    <row r="820" spans="1:34"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row>
    <row r="821" spans="1:34"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row>
    <row r="822" spans="1:34"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row>
    <row r="823" spans="1:34"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row>
    <row r="824" spans="1:34"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row>
    <row r="825" spans="1:34"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row>
    <row r="826" spans="1:34"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row>
    <row r="827" spans="1:34"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row>
    <row r="828" spans="1:34"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row>
    <row r="829" spans="1:34"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row>
    <row r="830" spans="1:34"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row>
    <row r="831" spans="1:34"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row>
    <row r="832" spans="1:34"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row>
    <row r="833" spans="1:34"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row>
    <row r="834" spans="1:34"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row>
    <row r="835" spans="1:34"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row>
    <row r="836" spans="1:34"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row>
    <row r="837" spans="1:34"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row>
    <row r="838" spans="1:34"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row>
    <row r="839" spans="1:34"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row>
    <row r="840" spans="1:34"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row>
    <row r="841" spans="1:34"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row>
    <row r="842" spans="1:34"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row>
    <row r="843" spans="1:34"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row>
    <row r="844" spans="1:34"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row>
    <row r="845" spans="1:34"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row>
    <row r="846" spans="1:34"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row>
    <row r="847" spans="1:34"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row>
    <row r="848" spans="1:34"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row>
    <row r="849" spans="1:34"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row>
    <row r="850" spans="1:34"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row>
    <row r="851" spans="1:34"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row>
    <row r="852" spans="1:34"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row>
    <row r="853" spans="1:34"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row>
    <row r="854" spans="1:34"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row>
    <row r="855" spans="1:34"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row>
    <row r="856" spans="1:34"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row>
    <row r="857" spans="1:34"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row>
    <row r="858" spans="1:34"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row>
    <row r="859" spans="1:34"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row>
    <row r="860" spans="1:34"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row>
    <row r="861" spans="1:34"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row>
    <row r="862" spans="1:34"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row>
    <row r="863" spans="1:34"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row>
    <row r="864" spans="1:34"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row>
    <row r="865" spans="1:34"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row>
    <row r="866" spans="1:34"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row>
    <row r="867" spans="1:34"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row>
    <row r="868" spans="1:34"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row>
    <row r="869" spans="1:34"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row>
    <row r="870" spans="1:34"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row>
    <row r="871" spans="1:34"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row>
    <row r="872" spans="1:34"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row>
    <row r="873" spans="1:34"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row>
    <row r="874" spans="1:34"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row>
    <row r="875" spans="1:34"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row>
    <row r="876" spans="1:34"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row>
    <row r="877" spans="1:34"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row>
    <row r="878" spans="1:34"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row>
    <row r="879" spans="1:34"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row>
    <row r="880" spans="1:34"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row>
    <row r="881" spans="1:34"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row>
    <row r="882" spans="1:34"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row>
    <row r="883" spans="1:34"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row>
    <row r="884" spans="1:34"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row>
    <row r="885" spans="1:34"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row>
    <row r="886" spans="1:34"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row>
    <row r="887" spans="1:34"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row>
    <row r="888" spans="1:34"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row>
    <row r="889" spans="1:34"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row>
    <row r="890" spans="1:34"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row>
    <row r="891" spans="1:34"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row>
    <row r="892" spans="1:34"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row>
    <row r="893" spans="1:34"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row>
    <row r="894" spans="1:34"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row>
    <row r="895" spans="1:34"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row>
    <row r="896" spans="1:34"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row>
    <row r="897" spans="1:34"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row>
    <row r="898" spans="1:34"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row>
    <row r="899" spans="1:34"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row>
    <row r="900" spans="1:34"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row>
    <row r="901" spans="1:34"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row>
    <row r="902" spans="1:34"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row>
    <row r="903" spans="1:34"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row>
    <row r="904" spans="1:34"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row>
    <row r="905" spans="1:34"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row>
    <row r="906" spans="1:34"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row>
    <row r="907" spans="1:34"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row>
    <row r="908" spans="1:34"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row>
    <row r="909" spans="1:34"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row>
    <row r="910" spans="1:34"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row>
    <row r="911" spans="1:34"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row>
    <row r="912" spans="1:34"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row>
    <row r="913" spans="1:34"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row>
    <row r="914" spans="1:34"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row>
    <row r="915" spans="1:34"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row>
    <row r="916" spans="1:34"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row>
    <row r="917" spans="1:34"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row>
    <row r="918" spans="1:34"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row>
    <row r="919" spans="1:34"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row>
    <row r="920" spans="1:34"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row>
    <row r="921" spans="1:34"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row>
    <row r="922" spans="1:34"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row>
    <row r="923" spans="1:34"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row>
    <row r="924" spans="1:34"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row>
    <row r="925" spans="1:34"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row>
    <row r="926" spans="1:34"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row>
    <row r="927" spans="1:34"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row>
    <row r="928" spans="1:34"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row>
    <row r="929" spans="1:34"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row>
    <row r="930" spans="1:34"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row>
    <row r="931" spans="1:34"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row>
    <row r="932" spans="1:34"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row>
    <row r="933" spans="1:34"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row>
    <row r="934" spans="1:34"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row>
    <row r="935" spans="1:34"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row>
    <row r="936" spans="1:34"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row>
    <row r="937" spans="1:34"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row>
    <row r="938" spans="1:34"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row>
    <row r="939" spans="1:34"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row>
    <row r="940" spans="1:34"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row>
    <row r="941" spans="1:34"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row>
    <row r="942" spans="1:34"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row>
    <row r="943" spans="1:34"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row>
    <row r="944" spans="1:34"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row>
    <row r="945" spans="1:34"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row>
    <row r="946" spans="1:34"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row>
    <row r="947" spans="1:34"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row>
    <row r="948" spans="1:34"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row>
    <row r="949" spans="1:34"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row>
    <row r="950" spans="1:34"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row>
    <row r="951" spans="1:34"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row>
    <row r="952" spans="1:34"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row>
    <row r="953" spans="1:34"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row>
    <row r="954" spans="1:34"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row>
    <row r="955" spans="1:34"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row>
    <row r="956" spans="1:34"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row>
    <row r="957" spans="1:34"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row>
    <row r="958" spans="1:34"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row>
    <row r="959" spans="1:34"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row>
    <row r="960" spans="1:34"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row>
    <row r="961" spans="1:34"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row>
    <row r="962" spans="1:34"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row>
    <row r="963" spans="1:34"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row>
    <row r="964" spans="1:34"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row>
    <row r="965" spans="1:34"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row>
    <row r="966" spans="1:34"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row>
    <row r="967" spans="1:34"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row>
    <row r="968" spans="1:34"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row>
    <row r="969" spans="1:34"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row>
    <row r="970" spans="1:34"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row>
    <row r="971" spans="1:34"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row>
    <row r="972" spans="1:34"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row>
    <row r="973" spans="1:34"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row>
    <row r="974" spans="1:34"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row>
    <row r="975" spans="1:34"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row>
    <row r="976" spans="1:34"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row>
    <row r="977" spans="1:34"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row>
    <row r="978" spans="1:34"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row>
    <row r="979" spans="1:34"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row>
    <row r="980" spans="1:34"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row>
    <row r="981" spans="1:34"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row>
    <row r="982" spans="1:34"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row>
    <row r="983" spans="1:34"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row>
    <row r="984" spans="1:34"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row>
    <row r="985" spans="1:34"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row>
    <row r="986" spans="1:34"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row>
    <row r="987" spans="1:34"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row>
    <row r="988" spans="1:34"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row>
    <row r="989" spans="1:34"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row>
    <row r="990" spans="1:34"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row>
    <row r="991" spans="1:34"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row>
    <row r="992" spans="1:34"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row>
    <row r="993" spans="1:34"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row>
    <row r="994" spans="1:34"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row>
    <row r="995" spans="1:34"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row>
    <row r="996" spans="1:34"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row>
    <row r="997" spans="1:34"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row>
    <row r="998" spans="1:34"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row>
    <row r="999" spans="1:34"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row>
    <row r="1000" spans="1:34"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row>
  </sheetData>
  <sheetProtection algorithmName="SHA-512" hashValue="R1DRkGHCmb/GvDQKqeWaEFpxngCBxgOTKRFgyGDT+ota2FU/k9JQ/CNt+QthpMl1hbH1JG16p3NdsOKVE5+11w==" saltValue="gBzhJRCT0bLBuq2hKkd0Ug==" spinCount="100000" sheet="1" objects="1" scenarios="1"/>
  <mergeCells count="47">
    <mergeCell ref="D49:E49"/>
    <mergeCell ref="D34:E34"/>
    <mergeCell ref="D35:E35"/>
    <mergeCell ref="D36:E36"/>
    <mergeCell ref="D37:E37"/>
    <mergeCell ref="D38:E38"/>
    <mergeCell ref="D39:E39"/>
    <mergeCell ref="D42:E42"/>
    <mergeCell ref="F45:H45"/>
    <mergeCell ref="D31:E31"/>
    <mergeCell ref="F31:G31"/>
    <mergeCell ref="D32:E32"/>
    <mergeCell ref="F32:G32"/>
    <mergeCell ref="D33:E33"/>
    <mergeCell ref="F33:G33"/>
    <mergeCell ref="F34:G34"/>
    <mergeCell ref="D43:E43"/>
    <mergeCell ref="D44:E44"/>
    <mergeCell ref="D45:E45"/>
    <mergeCell ref="F37:G37"/>
    <mergeCell ref="F38:G38"/>
    <mergeCell ref="F39:G39"/>
    <mergeCell ref="F42:H42"/>
    <mergeCell ref="F43:H43"/>
    <mergeCell ref="D26:E26"/>
    <mergeCell ref="F26:G26"/>
    <mergeCell ref="B29:F29"/>
    <mergeCell ref="F35:G35"/>
    <mergeCell ref="F36:G36"/>
    <mergeCell ref="D23:E23"/>
    <mergeCell ref="F23:G23"/>
    <mergeCell ref="D24:E24"/>
    <mergeCell ref="F24:G24"/>
    <mergeCell ref="D25:E25"/>
    <mergeCell ref="F25:G25"/>
    <mergeCell ref="F20:G20"/>
    <mergeCell ref="D20:E20"/>
    <mergeCell ref="D21:E21"/>
    <mergeCell ref="F21:G21"/>
    <mergeCell ref="D22:E22"/>
    <mergeCell ref="F22:G22"/>
    <mergeCell ref="A2:K2"/>
    <mergeCell ref="O6:P6"/>
    <mergeCell ref="D18:E18"/>
    <mergeCell ref="F18:G18"/>
    <mergeCell ref="D19:E19"/>
    <mergeCell ref="F19:G19"/>
  </mergeCells>
  <pageMargins left="0.7" right="0.7" top="0.75" bottom="0.75" header="0" footer="0"/>
  <pageSetup orientation="landscape"/>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6.83203125" defaultRowHeight="15" customHeight="1" x14ac:dyDescent="0.2"/>
  <cols>
    <col min="1" max="1" width="9.33203125" customWidth="1"/>
    <col min="2" max="2" width="15.5" customWidth="1"/>
    <col min="4" max="4" width="19.1640625" customWidth="1"/>
    <col min="5" max="5" width="16" customWidth="1"/>
    <col min="6" max="6" width="19.5" customWidth="1"/>
    <col min="7" max="7" width="15.1640625" customWidth="1"/>
    <col min="8" max="13" width="9.33203125" customWidth="1"/>
    <col min="14" max="26" width="8" customWidth="1"/>
  </cols>
  <sheetData>
    <row r="1" spans="1:26" x14ac:dyDescent="0.25">
      <c r="A1" s="4" t="s">
        <v>880</v>
      </c>
      <c r="B1" s="260"/>
      <c r="C1" s="4"/>
      <c r="D1" s="4"/>
      <c r="E1" s="4"/>
      <c r="F1" s="4"/>
      <c r="G1" s="3" t="s">
        <v>268</v>
      </c>
      <c r="H1" s="4"/>
      <c r="I1" s="4"/>
      <c r="J1" s="4"/>
      <c r="K1" s="4"/>
      <c r="L1" s="4"/>
      <c r="M1" s="4"/>
      <c r="N1" s="4"/>
      <c r="O1" s="4"/>
      <c r="P1" s="4"/>
      <c r="Q1" s="4"/>
      <c r="R1" s="4"/>
      <c r="S1" s="4"/>
      <c r="T1" s="4"/>
      <c r="U1" s="4"/>
      <c r="V1" s="4"/>
      <c r="W1" s="4"/>
      <c r="X1" s="4"/>
      <c r="Y1" s="4"/>
      <c r="Z1" s="4"/>
    </row>
    <row r="2" spans="1:26" ht="123.75" customHeight="1" x14ac:dyDescent="0.25">
      <c r="A2" s="4"/>
      <c r="B2" s="4"/>
      <c r="C2" s="4"/>
      <c r="D2" s="4"/>
      <c r="E2" s="4"/>
      <c r="F2" s="4"/>
      <c r="G2" s="4"/>
      <c r="H2" s="4"/>
      <c r="I2" s="4"/>
      <c r="J2" s="4"/>
      <c r="K2" s="4"/>
      <c r="L2" s="4"/>
      <c r="M2" s="4"/>
      <c r="N2" s="4"/>
      <c r="O2" s="4"/>
      <c r="P2" s="4"/>
      <c r="Q2" s="4"/>
      <c r="R2" s="4"/>
      <c r="S2" s="4"/>
      <c r="T2" s="4"/>
      <c r="U2" s="4"/>
      <c r="V2" s="4"/>
      <c r="W2" s="4"/>
      <c r="X2" s="4"/>
      <c r="Y2" s="4"/>
      <c r="Z2" s="4"/>
    </row>
    <row r="3" spans="1:26" ht="21" customHeight="1" x14ac:dyDescent="0.4">
      <c r="A3" s="4"/>
      <c r="B3" s="1023" t="s">
        <v>881</v>
      </c>
      <c r="C3" s="1023"/>
      <c r="D3" s="1023"/>
      <c r="E3" s="4">
        <v>2011</v>
      </c>
      <c r="F3" s="4"/>
      <c r="G3" s="4"/>
      <c r="H3" s="4"/>
      <c r="I3" s="4"/>
      <c r="J3" s="4"/>
      <c r="K3" s="4"/>
      <c r="L3" s="4"/>
      <c r="M3" s="4"/>
      <c r="N3" s="4"/>
      <c r="O3" s="4"/>
      <c r="P3" s="4"/>
      <c r="Q3" s="4"/>
      <c r="R3" s="4"/>
      <c r="S3" s="4"/>
      <c r="T3" s="4"/>
      <c r="U3" s="4"/>
      <c r="V3" s="4"/>
      <c r="W3" s="4"/>
      <c r="X3" s="4"/>
      <c r="Y3" s="4"/>
      <c r="Z3" s="4"/>
    </row>
    <row r="4" spans="1:26" x14ac:dyDescent="0.25">
      <c r="A4" s="4"/>
      <c r="B4" s="4"/>
      <c r="C4" s="4"/>
      <c r="D4" s="261"/>
      <c r="E4" s="4"/>
      <c r="F4" s="4"/>
      <c r="G4" s="4"/>
      <c r="H4" s="4"/>
      <c r="I4" s="4"/>
      <c r="J4" s="4"/>
      <c r="K4" s="4"/>
      <c r="L4" s="4"/>
      <c r="M4" s="4"/>
      <c r="N4" s="4"/>
      <c r="O4" s="4"/>
      <c r="P4" s="4"/>
      <c r="Q4" s="4"/>
      <c r="R4" s="4"/>
      <c r="S4" s="4"/>
      <c r="T4" s="4"/>
      <c r="U4" s="4"/>
      <c r="V4" s="4"/>
      <c r="W4" s="4"/>
      <c r="X4" s="4"/>
      <c r="Y4" s="4"/>
      <c r="Z4" s="4"/>
    </row>
    <row r="5" spans="1:26" x14ac:dyDescent="0.25">
      <c r="A5" s="4"/>
      <c r="B5" s="1024"/>
      <c r="C5" s="661" t="s">
        <v>627</v>
      </c>
      <c r="D5" s="661" t="s">
        <v>814</v>
      </c>
      <c r="E5" s="661" t="s">
        <v>815</v>
      </c>
      <c r="F5" s="661" t="s">
        <v>628</v>
      </c>
      <c r="G5" s="662" t="s">
        <v>628</v>
      </c>
      <c r="H5" s="4"/>
      <c r="I5" s="2146" t="s">
        <v>0</v>
      </c>
      <c r="J5" s="2147"/>
      <c r="K5" s="42"/>
      <c r="L5" s="4"/>
      <c r="M5" s="42"/>
      <c r="N5" s="4"/>
      <c r="O5" s="4"/>
      <c r="P5" s="4"/>
      <c r="Q5" s="4"/>
      <c r="R5" s="4"/>
      <c r="S5" s="4"/>
      <c r="T5" s="4"/>
      <c r="U5" s="4"/>
      <c r="V5" s="4"/>
      <c r="W5" s="4"/>
      <c r="X5" s="4"/>
      <c r="Y5" s="4"/>
      <c r="Z5" s="4"/>
    </row>
    <row r="6" spans="1:26" x14ac:dyDescent="0.25">
      <c r="A6" s="4"/>
      <c r="B6" s="1025" t="s">
        <v>277</v>
      </c>
      <c r="C6" s="1026" t="s">
        <v>630</v>
      </c>
      <c r="D6" s="1026" t="s">
        <v>818</v>
      </c>
      <c r="E6" s="1026" t="s">
        <v>819</v>
      </c>
      <c r="F6" s="1026" t="s">
        <v>820</v>
      </c>
      <c r="G6" s="1027" t="s">
        <v>882</v>
      </c>
      <c r="H6" s="42"/>
      <c r="I6" s="120"/>
      <c r="J6" s="120"/>
      <c r="K6" s="42"/>
      <c r="L6" s="4"/>
      <c r="M6" s="42"/>
      <c r="N6" s="4"/>
      <c r="O6" s="4"/>
      <c r="P6" s="4"/>
      <c r="Q6" s="4"/>
      <c r="R6" s="4"/>
      <c r="S6" s="4"/>
      <c r="T6" s="4"/>
      <c r="U6" s="4"/>
      <c r="V6" s="4"/>
      <c r="W6" s="4"/>
      <c r="X6" s="4"/>
      <c r="Y6" s="4"/>
      <c r="Z6" s="4"/>
    </row>
    <row r="7" spans="1:26" x14ac:dyDescent="0.25">
      <c r="A7" s="4"/>
      <c r="B7" s="231" t="s">
        <v>219</v>
      </c>
      <c r="C7" s="232">
        <v>0</v>
      </c>
      <c r="D7" s="652">
        <v>56.672727272727272</v>
      </c>
      <c r="E7" s="1028">
        <v>1</v>
      </c>
      <c r="F7" s="253">
        <f t="shared" ref="F7:F11" si="0">C7*1000*D7*E7/2000</f>
        <v>0</v>
      </c>
      <c r="G7" s="1029">
        <f t="shared" ref="G7:G11" si="1">F7*(44/12)*0.90718474/1000000</f>
        <v>0</v>
      </c>
      <c r="H7" s="1030"/>
      <c r="I7" s="124" t="s">
        <v>4</v>
      </c>
      <c r="J7" s="125">
        <f>'Summ GHG Rpt Expanded'!G4</f>
        <v>1</v>
      </c>
      <c r="K7" s="947"/>
      <c r="L7" s="1030"/>
      <c r="M7" s="947"/>
      <c r="N7" s="4"/>
      <c r="O7" s="4"/>
      <c r="P7" s="4"/>
      <c r="Q7" s="4"/>
      <c r="R7" s="4"/>
      <c r="S7" s="4"/>
      <c r="T7" s="4"/>
      <c r="U7" s="4"/>
      <c r="V7" s="4"/>
      <c r="W7" s="4"/>
      <c r="X7" s="4"/>
      <c r="Y7" s="4"/>
      <c r="Z7" s="4"/>
    </row>
    <row r="8" spans="1:26" x14ac:dyDescent="0.25">
      <c r="A8" s="4"/>
      <c r="B8" s="231" t="s">
        <v>634</v>
      </c>
      <c r="C8" s="232">
        <v>15596</v>
      </c>
      <c r="D8" s="652">
        <v>44.43</v>
      </c>
      <c r="E8" s="1028">
        <v>1</v>
      </c>
      <c r="F8" s="253">
        <f t="shared" si="0"/>
        <v>346465.14</v>
      </c>
      <c r="G8" s="1029">
        <f t="shared" si="1"/>
        <v>1.1524622558165332</v>
      </c>
      <c r="H8" s="1030"/>
      <c r="I8" s="124" t="s">
        <v>5</v>
      </c>
      <c r="J8" s="125">
        <f>'Summ GHG Rpt Expanded'!G5</f>
        <v>28</v>
      </c>
      <c r="K8" s="947"/>
      <c r="L8" s="1030"/>
      <c r="M8" s="947"/>
      <c r="N8" s="4"/>
      <c r="O8" s="4"/>
      <c r="P8" s="4"/>
      <c r="Q8" s="4"/>
      <c r="R8" s="4"/>
      <c r="S8" s="4"/>
      <c r="T8" s="4"/>
      <c r="U8" s="4"/>
      <c r="V8" s="4"/>
      <c r="W8" s="4"/>
      <c r="X8" s="4"/>
      <c r="Y8" s="4"/>
      <c r="Z8" s="4"/>
    </row>
    <row r="9" spans="1:26" x14ac:dyDescent="0.25">
      <c r="A9" s="4"/>
      <c r="B9" s="231" t="s">
        <v>883</v>
      </c>
      <c r="C9" s="232">
        <v>436</v>
      </c>
      <c r="D9" s="652">
        <v>43.97</v>
      </c>
      <c r="E9" s="1028">
        <v>1</v>
      </c>
      <c r="F9" s="253">
        <f t="shared" si="0"/>
        <v>9585.4599999999991</v>
      </c>
      <c r="G9" s="1029">
        <f t="shared" si="1"/>
        <v>3.1884537805561462E-2</v>
      </c>
      <c r="H9" s="1030"/>
      <c r="I9" s="124" t="s">
        <v>6</v>
      </c>
      <c r="J9" s="125">
        <f>'Summ GHG Rpt Expanded'!G6</f>
        <v>265</v>
      </c>
      <c r="K9" s="947"/>
      <c r="L9" s="1030"/>
      <c r="M9" s="947"/>
      <c r="N9" s="4"/>
      <c r="O9" s="4"/>
      <c r="P9" s="4"/>
      <c r="Q9" s="4"/>
      <c r="R9" s="4"/>
      <c r="S9" s="4"/>
      <c r="T9" s="4"/>
      <c r="U9" s="4"/>
      <c r="V9" s="4"/>
      <c r="W9" s="4"/>
      <c r="X9" s="4"/>
      <c r="Y9" s="4"/>
      <c r="Z9" s="4"/>
    </row>
    <row r="10" spans="1:26" x14ac:dyDescent="0.25">
      <c r="A10" s="4"/>
      <c r="B10" s="231" t="s">
        <v>844</v>
      </c>
      <c r="C10" s="232">
        <v>8139</v>
      </c>
      <c r="D10" s="652">
        <v>37.110283550140529</v>
      </c>
      <c r="E10" s="1028">
        <v>1</v>
      </c>
      <c r="F10" s="253">
        <f t="shared" si="0"/>
        <v>151020.29890729691</v>
      </c>
      <c r="G10" s="1029">
        <f t="shared" si="1"/>
        <v>0.50234547219610759</v>
      </c>
      <c r="H10" s="1030"/>
      <c r="I10" s="124" t="s">
        <v>7</v>
      </c>
      <c r="J10" s="129">
        <f>'Summ GHG Rpt Expanded'!G7</f>
        <v>23500</v>
      </c>
      <c r="K10" s="947"/>
      <c r="L10" s="1030"/>
      <c r="M10" s="947"/>
      <c r="N10" s="4"/>
      <c r="O10" s="4"/>
      <c r="P10" s="4"/>
      <c r="Q10" s="4"/>
      <c r="R10" s="4"/>
      <c r="S10" s="4"/>
      <c r="T10" s="4"/>
      <c r="U10" s="4"/>
      <c r="V10" s="4"/>
      <c r="W10" s="4"/>
      <c r="X10" s="4"/>
      <c r="Y10" s="4"/>
      <c r="Z10" s="4"/>
    </row>
    <row r="11" spans="1:26" x14ac:dyDescent="0.25">
      <c r="A11" s="4"/>
      <c r="B11" s="231" t="s">
        <v>221</v>
      </c>
      <c r="C11" s="232">
        <v>79993</v>
      </c>
      <c r="D11" s="652">
        <v>31.87</v>
      </c>
      <c r="E11" s="1028">
        <v>1</v>
      </c>
      <c r="F11" s="253">
        <f t="shared" si="0"/>
        <v>1274688.4550000001</v>
      </c>
      <c r="G11" s="1029">
        <f t="shared" si="1"/>
        <v>4.2400523536439811</v>
      </c>
      <c r="H11" s="1030"/>
      <c r="I11" s="124" t="s">
        <v>8</v>
      </c>
      <c r="J11" s="129">
        <f>'Summ GHG Rpt Expanded'!G8</f>
        <v>11100</v>
      </c>
      <c r="K11" s="947"/>
      <c r="L11" s="1030"/>
      <c r="M11" s="947"/>
      <c r="N11" s="4"/>
      <c r="O11" s="4"/>
      <c r="P11" s="4"/>
      <c r="Q11" s="4"/>
      <c r="R11" s="4"/>
      <c r="S11" s="4"/>
      <c r="T11" s="4"/>
      <c r="U11" s="4"/>
      <c r="V11" s="4"/>
      <c r="W11" s="4"/>
      <c r="X11" s="4"/>
      <c r="Y11" s="4"/>
      <c r="Z11" s="4"/>
    </row>
    <row r="12" spans="1:26" x14ac:dyDescent="0.25">
      <c r="A12" s="4"/>
      <c r="B12" s="152"/>
      <c r="C12" s="244"/>
      <c r="D12" s="244"/>
      <c r="E12" s="534" t="s">
        <v>222</v>
      </c>
      <c r="F12" s="1031"/>
      <c r="G12" s="1032">
        <f>SUM(G7:G11)</f>
        <v>5.9267446194621831</v>
      </c>
      <c r="H12" s="4"/>
      <c r="I12" s="4"/>
      <c r="J12" s="4"/>
      <c r="K12" s="4"/>
      <c r="L12" s="4"/>
      <c r="M12" s="4"/>
      <c r="N12" s="4"/>
      <c r="O12" s="4"/>
      <c r="P12" s="4"/>
      <c r="Q12" s="4"/>
      <c r="R12" s="4"/>
      <c r="S12" s="4"/>
      <c r="T12" s="4"/>
      <c r="U12" s="4"/>
      <c r="V12" s="4"/>
      <c r="W12" s="4"/>
      <c r="X12" s="4"/>
      <c r="Y12" s="4"/>
      <c r="Z12" s="4"/>
    </row>
    <row r="13" spans="1:26" x14ac:dyDescent="0.25">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8" customHeight="1" x14ac:dyDescent="0.35">
      <c r="A14" s="4"/>
      <c r="B14" s="1023" t="s">
        <v>884</v>
      </c>
      <c r="C14" s="1023"/>
      <c r="D14" s="1033"/>
      <c r="E14" s="4">
        <v>2011</v>
      </c>
      <c r="F14" s="4"/>
      <c r="G14" s="4"/>
      <c r="H14" s="4"/>
      <c r="I14" s="4"/>
      <c r="J14" s="4"/>
      <c r="K14" s="4"/>
      <c r="L14" s="4"/>
      <c r="M14" s="4"/>
      <c r="N14" s="4"/>
      <c r="O14" s="4"/>
      <c r="P14" s="4"/>
      <c r="Q14" s="4"/>
      <c r="R14" s="4"/>
      <c r="S14" s="4"/>
      <c r="T14" s="4"/>
      <c r="U14" s="4"/>
      <c r="V14" s="4"/>
      <c r="W14" s="4"/>
      <c r="X14" s="4"/>
      <c r="Y14" s="4"/>
      <c r="Z14" s="4"/>
    </row>
    <row r="15" spans="1:26" x14ac:dyDescent="0.25">
      <c r="A15" s="4"/>
      <c r="B15" s="4"/>
      <c r="C15" s="4"/>
      <c r="D15" s="261"/>
      <c r="E15" s="4"/>
      <c r="F15" s="4"/>
      <c r="G15" s="4"/>
      <c r="H15" s="4"/>
      <c r="I15" s="4"/>
      <c r="J15" s="4"/>
      <c r="K15" s="4"/>
      <c r="L15" s="4"/>
      <c r="M15" s="4"/>
      <c r="N15" s="4"/>
      <c r="O15" s="4"/>
      <c r="P15" s="4"/>
      <c r="Q15" s="4"/>
      <c r="R15" s="4"/>
      <c r="S15" s="4"/>
      <c r="T15" s="4"/>
      <c r="U15" s="4"/>
      <c r="V15" s="4"/>
      <c r="W15" s="4"/>
      <c r="X15" s="4"/>
      <c r="Y15" s="4"/>
      <c r="Z15" s="4"/>
    </row>
    <row r="16" spans="1:26" x14ac:dyDescent="0.25">
      <c r="A16" s="4"/>
      <c r="B16" s="676"/>
      <c r="C16" s="678" t="s">
        <v>627</v>
      </c>
      <c r="D16" s="678" t="s">
        <v>814</v>
      </c>
      <c r="E16" s="678" t="s">
        <v>628</v>
      </c>
      <c r="F16" s="678" t="s">
        <v>629</v>
      </c>
      <c r="G16" s="679" t="s">
        <v>628</v>
      </c>
      <c r="H16" s="42"/>
      <c r="I16" s="4"/>
      <c r="J16" s="4"/>
      <c r="K16" s="42"/>
      <c r="L16" s="4"/>
      <c r="M16" s="42"/>
      <c r="N16" s="4"/>
      <c r="O16" s="4"/>
      <c r="P16" s="4"/>
      <c r="Q16" s="4"/>
      <c r="R16" s="4"/>
      <c r="S16" s="4"/>
      <c r="T16" s="4"/>
      <c r="U16" s="4"/>
      <c r="V16" s="4"/>
      <c r="W16" s="4"/>
      <c r="X16" s="4"/>
      <c r="Y16" s="4"/>
      <c r="Z16" s="4"/>
    </row>
    <row r="17" spans="1:26" x14ac:dyDescent="0.25">
      <c r="A17" s="4"/>
      <c r="B17" s="116" t="s">
        <v>277</v>
      </c>
      <c r="C17" s="42" t="s">
        <v>630</v>
      </c>
      <c r="D17" s="42" t="s">
        <v>885</v>
      </c>
      <c r="E17" s="42" t="s">
        <v>886</v>
      </c>
      <c r="F17" s="42"/>
      <c r="G17" s="1034" t="s">
        <v>887</v>
      </c>
      <c r="H17" s="42"/>
      <c r="I17" s="4"/>
      <c r="J17" s="42"/>
      <c r="K17" s="42"/>
      <c r="L17" s="4"/>
      <c r="M17" s="42"/>
      <c r="N17" s="4"/>
      <c r="O17" s="4"/>
      <c r="P17" s="4"/>
      <c r="Q17" s="4"/>
      <c r="R17" s="4"/>
      <c r="S17" s="4"/>
      <c r="T17" s="4"/>
      <c r="U17" s="4"/>
      <c r="V17" s="4"/>
      <c r="W17" s="4"/>
      <c r="X17" s="4"/>
      <c r="Y17" s="4"/>
      <c r="Z17" s="4"/>
    </row>
    <row r="18" spans="1:26" x14ac:dyDescent="0.25">
      <c r="A18" s="4"/>
      <c r="B18" s="231" t="s">
        <v>219</v>
      </c>
      <c r="C18" s="232">
        <v>0</v>
      </c>
      <c r="D18" s="1035">
        <v>1.5034545899835E-3</v>
      </c>
      <c r="E18" s="247">
        <f t="shared" ref="E18:E23" si="2">C18*D18</f>
        <v>0</v>
      </c>
      <c r="F18" s="232">
        <f t="shared" ref="F18:F23" si="3">$J$9</f>
        <v>265</v>
      </c>
      <c r="G18" s="1036">
        <f t="shared" ref="G18:G23" si="4">E18*F18/1000000</f>
        <v>0</v>
      </c>
      <c r="H18" s="1037"/>
      <c r="I18" s="4"/>
      <c r="J18" s="1030"/>
      <c r="K18" s="1038"/>
      <c r="L18" s="1030"/>
      <c r="M18" s="1038"/>
      <c r="N18" s="4"/>
      <c r="O18" s="4"/>
      <c r="P18" s="4"/>
      <c r="Q18" s="4"/>
      <c r="R18" s="4"/>
      <c r="S18" s="4"/>
      <c r="T18" s="4"/>
      <c r="U18" s="4"/>
      <c r="V18" s="4"/>
      <c r="W18" s="4"/>
      <c r="X18" s="4"/>
      <c r="Y18" s="4"/>
      <c r="Z18" s="4"/>
    </row>
    <row r="19" spans="1:26" x14ac:dyDescent="0.25">
      <c r="A19" s="4"/>
      <c r="B19" s="231" t="s">
        <v>634</v>
      </c>
      <c r="C19" s="232">
        <v>15596</v>
      </c>
      <c r="D19" s="1035">
        <v>6.0138183599339984E-4</v>
      </c>
      <c r="E19" s="247">
        <f t="shared" si="2"/>
        <v>9.3791511141530641</v>
      </c>
      <c r="F19" s="232">
        <f t="shared" si="3"/>
        <v>265</v>
      </c>
      <c r="G19" s="1036">
        <f t="shared" si="4"/>
        <v>2.485475045250562E-3</v>
      </c>
      <c r="H19" s="1037"/>
      <c r="I19" s="4"/>
      <c r="J19" s="1030"/>
      <c r="K19" s="1038"/>
      <c r="L19" s="1030"/>
      <c r="M19" s="1038"/>
      <c r="N19" s="4"/>
      <c r="O19" s="4"/>
      <c r="P19" s="4"/>
      <c r="Q19" s="4"/>
      <c r="R19" s="4"/>
      <c r="S19" s="4"/>
      <c r="T19" s="4"/>
      <c r="U19" s="4"/>
      <c r="V19" s="4"/>
      <c r="W19" s="4"/>
      <c r="X19" s="4"/>
      <c r="Y19" s="4"/>
      <c r="Z19" s="4"/>
    </row>
    <row r="20" spans="1:26" x14ac:dyDescent="0.25">
      <c r="A20" s="4"/>
      <c r="B20" s="231" t="s">
        <v>883</v>
      </c>
      <c r="C20" s="232">
        <v>436</v>
      </c>
      <c r="D20" s="1035">
        <v>6.0138183599339984E-4</v>
      </c>
      <c r="E20" s="247">
        <f t="shared" si="2"/>
        <v>0.26220248049312234</v>
      </c>
      <c r="F20" s="232">
        <f t="shared" si="3"/>
        <v>265</v>
      </c>
      <c r="G20" s="1036">
        <f t="shared" si="4"/>
        <v>6.9483657330677423E-5</v>
      </c>
      <c r="H20" s="1037"/>
      <c r="I20" s="4"/>
      <c r="J20" s="1030"/>
      <c r="K20" s="1038"/>
      <c r="L20" s="1030"/>
      <c r="M20" s="1038"/>
      <c r="N20" s="4"/>
      <c r="O20" s="4"/>
      <c r="P20" s="4"/>
      <c r="Q20" s="4"/>
      <c r="R20" s="4"/>
      <c r="S20" s="4"/>
      <c r="T20" s="4"/>
      <c r="U20" s="4"/>
      <c r="V20" s="4"/>
      <c r="W20" s="4"/>
      <c r="X20" s="4"/>
      <c r="Y20" s="4"/>
      <c r="Z20" s="4"/>
    </row>
    <row r="21" spans="1:26" ht="15.75" customHeight="1" x14ac:dyDescent="0.25">
      <c r="A21" s="4"/>
      <c r="B21" s="231" t="s">
        <v>844</v>
      </c>
      <c r="C21" s="232">
        <v>8139</v>
      </c>
      <c r="D21" s="1035">
        <v>6.0138183599339984E-4</v>
      </c>
      <c r="E21" s="247">
        <f t="shared" si="2"/>
        <v>4.8946467631502815</v>
      </c>
      <c r="F21" s="232">
        <f t="shared" si="3"/>
        <v>265</v>
      </c>
      <c r="G21" s="1036">
        <f t="shared" si="4"/>
        <v>1.2970813922348245E-3</v>
      </c>
      <c r="H21" s="1037"/>
      <c r="I21" s="4"/>
      <c r="J21" s="1030"/>
      <c r="K21" s="1038"/>
      <c r="L21" s="1030"/>
      <c r="M21" s="1038"/>
      <c r="N21" s="4"/>
      <c r="O21" s="4"/>
      <c r="P21" s="4"/>
      <c r="Q21" s="4"/>
      <c r="R21" s="4"/>
      <c r="S21" s="4"/>
      <c r="T21" s="4"/>
      <c r="U21" s="4"/>
      <c r="V21" s="4"/>
      <c r="W21" s="4"/>
      <c r="X21" s="4"/>
      <c r="Y21" s="4"/>
      <c r="Z21" s="4"/>
    </row>
    <row r="22" spans="1:26" ht="15.75" customHeight="1" x14ac:dyDescent="0.25">
      <c r="A22" s="4"/>
      <c r="B22" s="231" t="s">
        <v>221</v>
      </c>
      <c r="C22" s="232">
        <v>79993</v>
      </c>
      <c r="D22" s="1035">
        <v>9.4955026735800017E-5</v>
      </c>
      <c r="E22" s="247">
        <f t="shared" si="2"/>
        <v>7.5957374536768505</v>
      </c>
      <c r="F22" s="232">
        <f t="shared" si="3"/>
        <v>265</v>
      </c>
      <c r="G22" s="1036">
        <f t="shared" si="4"/>
        <v>2.0128704252243652E-3</v>
      </c>
      <c r="H22" s="1037"/>
      <c r="I22" s="4"/>
      <c r="J22" s="1030"/>
      <c r="K22" s="1038"/>
      <c r="L22" s="1030"/>
      <c r="M22" s="1038"/>
      <c r="N22" s="4"/>
      <c r="O22" s="4"/>
      <c r="P22" s="4"/>
      <c r="Q22" s="4"/>
      <c r="R22" s="4"/>
      <c r="S22" s="4"/>
      <c r="T22" s="4"/>
      <c r="U22" s="4"/>
      <c r="V22" s="4"/>
      <c r="W22" s="4"/>
      <c r="X22" s="4"/>
      <c r="Y22" s="4"/>
      <c r="Z22" s="4"/>
    </row>
    <row r="23" spans="1:26" ht="15.75" customHeight="1" x14ac:dyDescent="0.25">
      <c r="A23" s="4"/>
      <c r="B23" s="235" t="s">
        <v>739</v>
      </c>
      <c r="C23" s="821">
        <v>8913</v>
      </c>
      <c r="D23" s="1039">
        <v>3.7982010694320003E-3</v>
      </c>
      <c r="E23" s="1040">
        <f t="shared" si="2"/>
        <v>33.853366131847416</v>
      </c>
      <c r="F23" s="821">
        <f t="shared" si="3"/>
        <v>265</v>
      </c>
      <c r="G23" s="1041">
        <f t="shared" si="4"/>
        <v>8.9711420249395657E-3</v>
      </c>
      <c r="H23" s="1037"/>
      <c r="I23" s="4"/>
      <c r="J23" s="1030"/>
      <c r="K23" s="1038"/>
      <c r="L23" s="1030"/>
      <c r="M23" s="1038"/>
      <c r="N23" s="4"/>
      <c r="O23" s="4"/>
      <c r="P23" s="4"/>
      <c r="Q23" s="4"/>
      <c r="R23" s="4"/>
      <c r="S23" s="4"/>
      <c r="T23" s="4"/>
      <c r="U23" s="4"/>
      <c r="V23" s="4"/>
      <c r="W23" s="4"/>
      <c r="X23" s="4"/>
      <c r="Y23" s="4"/>
      <c r="Z23" s="4"/>
    </row>
    <row r="24" spans="1:26" ht="15.75" customHeight="1" x14ac:dyDescent="0.25">
      <c r="A24" s="4"/>
      <c r="B24" s="1042"/>
      <c r="C24" s="1031"/>
      <c r="D24" s="1031"/>
      <c r="E24" s="1031"/>
      <c r="F24" s="1043" t="s">
        <v>222</v>
      </c>
      <c r="G24" s="1044">
        <f>SUM(G18:G23)</f>
        <v>1.4836052544979994E-2</v>
      </c>
      <c r="H24" s="4"/>
      <c r="I24" s="42"/>
      <c r="J24" s="1030"/>
      <c r="K24" s="1045"/>
      <c r="L24" s="1030"/>
      <c r="M24" s="1046"/>
      <c r="N24" s="4"/>
      <c r="O24" s="4"/>
      <c r="P24" s="4"/>
      <c r="Q24" s="4"/>
      <c r="R24" s="4"/>
      <c r="S24" s="4"/>
      <c r="T24" s="4"/>
      <c r="U24" s="4"/>
      <c r="V24" s="4"/>
      <c r="W24" s="4"/>
      <c r="X24" s="4"/>
      <c r="Y24" s="4"/>
      <c r="Z24" s="4"/>
    </row>
    <row r="25" spans="1:26" ht="15.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21" customHeight="1" x14ac:dyDescent="0.4">
      <c r="A27" s="4"/>
      <c r="B27" s="1023" t="s">
        <v>888</v>
      </c>
      <c r="C27" s="1023"/>
      <c r="D27" s="1033"/>
      <c r="E27" s="4">
        <v>2011</v>
      </c>
      <c r="F27" s="4"/>
      <c r="G27" s="4"/>
      <c r="H27" s="4"/>
      <c r="I27" s="4"/>
      <c r="J27" s="4"/>
      <c r="K27" s="4"/>
      <c r="L27" s="4"/>
      <c r="M27" s="4"/>
      <c r="N27" s="4"/>
      <c r="O27" s="4"/>
      <c r="P27" s="4"/>
      <c r="Q27" s="4"/>
      <c r="R27" s="4"/>
      <c r="S27" s="4"/>
      <c r="T27" s="4"/>
      <c r="U27" s="4"/>
      <c r="V27" s="4"/>
      <c r="W27" s="4"/>
      <c r="X27" s="4"/>
      <c r="Y27" s="4"/>
      <c r="Z27" s="4"/>
    </row>
    <row r="28" spans="1:26" ht="15.75" customHeight="1" x14ac:dyDescent="0.25">
      <c r="A28" s="4"/>
      <c r="B28" s="4"/>
      <c r="C28" s="4"/>
      <c r="D28" s="261"/>
      <c r="E28" s="4"/>
      <c r="F28" s="4"/>
      <c r="G28" s="4"/>
      <c r="H28" s="4"/>
      <c r="I28" s="4"/>
      <c r="J28" s="4"/>
      <c r="K28" s="4"/>
      <c r="L28" s="4"/>
      <c r="M28" s="4"/>
      <c r="N28" s="4"/>
      <c r="O28" s="4"/>
      <c r="P28" s="4"/>
      <c r="Q28" s="4"/>
      <c r="R28" s="4"/>
      <c r="S28" s="4"/>
      <c r="T28" s="4"/>
      <c r="U28" s="4"/>
      <c r="V28" s="4"/>
      <c r="W28" s="4"/>
      <c r="X28" s="4"/>
      <c r="Y28" s="4"/>
      <c r="Z28" s="4"/>
    </row>
    <row r="29" spans="1:26" ht="15.75" customHeight="1" x14ac:dyDescent="0.25">
      <c r="A29" s="4"/>
      <c r="B29" s="676"/>
      <c r="C29" s="678" t="s">
        <v>627</v>
      </c>
      <c r="D29" s="678" t="s">
        <v>814</v>
      </c>
      <c r="E29" s="678" t="s">
        <v>628</v>
      </c>
      <c r="F29" s="678" t="s">
        <v>629</v>
      </c>
      <c r="G29" s="679" t="s">
        <v>628</v>
      </c>
      <c r="H29" s="42"/>
      <c r="I29" s="4"/>
      <c r="J29" s="4"/>
      <c r="K29" s="42"/>
      <c r="L29" s="4"/>
      <c r="M29" s="4"/>
      <c r="N29" s="4"/>
      <c r="O29" s="4"/>
      <c r="P29" s="4"/>
      <c r="Q29" s="4"/>
      <c r="R29" s="4"/>
      <c r="S29" s="4"/>
      <c r="T29" s="4"/>
      <c r="U29" s="4"/>
      <c r="V29" s="4"/>
      <c r="W29" s="4"/>
      <c r="X29" s="4"/>
      <c r="Y29" s="4"/>
      <c r="Z29" s="4"/>
    </row>
    <row r="30" spans="1:26" ht="15.75" customHeight="1" x14ac:dyDescent="0.25">
      <c r="A30" s="4"/>
      <c r="B30" s="116" t="s">
        <v>277</v>
      </c>
      <c r="C30" s="42" t="s">
        <v>630</v>
      </c>
      <c r="D30" s="42" t="s">
        <v>889</v>
      </c>
      <c r="E30" s="42" t="s">
        <v>890</v>
      </c>
      <c r="F30" s="42"/>
      <c r="G30" s="1034" t="s">
        <v>891</v>
      </c>
      <c r="H30" s="42"/>
      <c r="I30" s="4"/>
      <c r="J30" s="42"/>
      <c r="K30" s="42"/>
      <c r="L30" s="4"/>
      <c r="M30" s="4"/>
      <c r="N30" s="4"/>
      <c r="O30" s="4"/>
      <c r="P30" s="4"/>
      <c r="Q30" s="4"/>
      <c r="R30" s="4"/>
      <c r="S30" s="4"/>
      <c r="T30" s="4"/>
      <c r="U30" s="4"/>
      <c r="V30" s="4"/>
      <c r="W30" s="4"/>
      <c r="X30" s="4"/>
      <c r="Y30" s="4"/>
      <c r="Z30" s="4"/>
    </row>
    <row r="31" spans="1:26" ht="15.75" customHeight="1" x14ac:dyDescent="0.25">
      <c r="A31" s="4"/>
      <c r="B31" s="231" t="s">
        <v>219</v>
      </c>
      <c r="C31" s="232">
        <v>0</v>
      </c>
      <c r="D31" s="1035">
        <v>0.3006909179967</v>
      </c>
      <c r="E31" s="245">
        <f t="shared" ref="E31:E36" si="5">C31*D31</f>
        <v>0</v>
      </c>
      <c r="F31" s="232">
        <f t="shared" ref="F31:F36" si="6">$J$8</f>
        <v>28</v>
      </c>
      <c r="G31" s="1047">
        <f t="shared" ref="G31:G36" si="7">E31*F31/1000000</f>
        <v>0</v>
      </c>
      <c r="H31" s="1037"/>
      <c r="I31" s="4"/>
      <c r="J31" s="1030"/>
      <c r="K31" s="947"/>
      <c r="L31" s="1030"/>
      <c r="M31" s="1038"/>
      <c r="N31" s="4"/>
      <c r="O31" s="4"/>
      <c r="P31" s="4"/>
      <c r="Q31" s="4"/>
      <c r="R31" s="4"/>
      <c r="S31" s="4"/>
      <c r="T31" s="4"/>
      <c r="U31" s="4"/>
      <c r="V31" s="4"/>
      <c r="W31" s="4"/>
      <c r="X31" s="4"/>
      <c r="Y31" s="4"/>
      <c r="Z31" s="4"/>
    </row>
    <row r="32" spans="1:26" ht="15.75" customHeight="1" x14ac:dyDescent="0.25">
      <c r="A32" s="4"/>
      <c r="B32" s="231" t="s">
        <v>634</v>
      </c>
      <c r="C32" s="232">
        <v>15596</v>
      </c>
      <c r="D32" s="1035">
        <v>1.0023030599889999E-2</v>
      </c>
      <c r="E32" s="245">
        <f t="shared" si="5"/>
        <v>156.31918523588442</v>
      </c>
      <c r="F32" s="232">
        <f t="shared" si="6"/>
        <v>28</v>
      </c>
      <c r="G32" s="1047">
        <f t="shared" si="7"/>
        <v>4.3769371866047638E-3</v>
      </c>
      <c r="H32" s="1037"/>
      <c r="I32" s="4"/>
      <c r="J32" s="1030"/>
      <c r="K32" s="947"/>
      <c r="L32" s="1030"/>
      <c r="M32" s="1038"/>
      <c r="N32" s="4"/>
      <c r="O32" s="4"/>
      <c r="P32" s="4"/>
      <c r="Q32" s="4"/>
      <c r="R32" s="4"/>
      <c r="S32" s="4"/>
      <c r="T32" s="4"/>
      <c r="U32" s="4"/>
      <c r="V32" s="4"/>
      <c r="W32" s="4"/>
      <c r="X32" s="4"/>
      <c r="Y32" s="4"/>
      <c r="Z32" s="4"/>
    </row>
    <row r="33" spans="1:26" ht="15.75" customHeight="1" x14ac:dyDescent="0.25">
      <c r="A33" s="4"/>
      <c r="B33" s="231" t="s">
        <v>883</v>
      </c>
      <c r="C33" s="232">
        <v>436</v>
      </c>
      <c r="D33" s="1035">
        <v>1.0023030599889999E-2</v>
      </c>
      <c r="E33" s="245">
        <f t="shared" si="5"/>
        <v>4.3700413415520396</v>
      </c>
      <c r="F33" s="232">
        <f t="shared" si="6"/>
        <v>28</v>
      </c>
      <c r="G33" s="1047">
        <f t="shared" si="7"/>
        <v>1.223611575634571E-4</v>
      </c>
      <c r="H33" s="1037"/>
      <c r="I33" s="4"/>
      <c r="J33" s="1030"/>
      <c r="K33" s="947"/>
      <c r="L33" s="1030"/>
      <c r="M33" s="1038"/>
      <c r="N33" s="4"/>
      <c r="O33" s="4"/>
      <c r="P33" s="4"/>
      <c r="Q33" s="4"/>
      <c r="R33" s="4"/>
      <c r="S33" s="4"/>
      <c r="T33" s="4"/>
      <c r="U33" s="4"/>
      <c r="V33" s="4"/>
      <c r="W33" s="4"/>
      <c r="X33" s="4"/>
      <c r="Y33" s="4"/>
      <c r="Z33" s="4"/>
    </row>
    <row r="34" spans="1:26" ht="15.75" customHeight="1" x14ac:dyDescent="0.25">
      <c r="A34" s="4"/>
      <c r="B34" s="231" t="s">
        <v>844</v>
      </c>
      <c r="C34" s="232">
        <v>8139</v>
      </c>
      <c r="D34" s="1035">
        <v>1.0023030599889999E-2</v>
      </c>
      <c r="E34" s="245">
        <f t="shared" si="5"/>
        <v>81.577446052504698</v>
      </c>
      <c r="F34" s="232">
        <f t="shared" si="6"/>
        <v>28</v>
      </c>
      <c r="G34" s="1047">
        <f t="shared" si="7"/>
        <v>2.2841684894701316E-3</v>
      </c>
      <c r="H34" s="1037"/>
      <c r="I34" s="4"/>
      <c r="J34" s="1030"/>
      <c r="K34" s="947"/>
      <c r="L34" s="1030"/>
      <c r="M34" s="1038"/>
      <c r="N34" s="4"/>
      <c r="O34" s="4"/>
      <c r="P34" s="4"/>
      <c r="Q34" s="4"/>
      <c r="R34" s="4"/>
      <c r="S34" s="4"/>
      <c r="T34" s="4"/>
      <c r="U34" s="4"/>
      <c r="V34" s="4"/>
      <c r="W34" s="4"/>
      <c r="X34" s="4"/>
      <c r="Y34" s="4"/>
      <c r="Z34" s="4"/>
    </row>
    <row r="35" spans="1:26" ht="15.75" customHeight="1" x14ac:dyDescent="0.25">
      <c r="A35" s="4"/>
      <c r="B35" s="231" t="s">
        <v>221</v>
      </c>
      <c r="C35" s="232">
        <v>79993</v>
      </c>
      <c r="D35" s="1035">
        <v>4.7477513367900001E-3</v>
      </c>
      <c r="E35" s="245">
        <f t="shared" si="5"/>
        <v>379.78687268384249</v>
      </c>
      <c r="F35" s="232">
        <f t="shared" si="6"/>
        <v>28</v>
      </c>
      <c r="G35" s="1047">
        <f t="shared" si="7"/>
        <v>1.063403243514759E-2</v>
      </c>
      <c r="H35" s="1037"/>
      <c r="I35" s="4"/>
      <c r="J35" s="1030"/>
      <c r="K35" s="947"/>
      <c r="L35" s="1030"/>
      <c r="M35" s="1038"/>
      <c r="N35" s="4"/>
      <c r="O35" s="4"/>
      <c r="P35" s="4"/>
      <c r="Q35" s="4"/>
      <c r="R35" s="4"/>
      <c r="S35" s="4"/>
      <c r="T35" s="4"/>
      <c r="U35" s="4"/>
      <c r="V35" s="4"/>
      <c r="W35" s="4"/>
      <c r="X35" s="4"/>
      <c r="Y35" s="4"/>
      <c r="Z35" s="4"/>
    </row>
    <row r="36" spans="1:26" ht="15.75" customHeight="1" x14ac:dyDescent="0.25">
      <c r="A36" s="4"/>
      <c r="B36" s="231" t="s">
        <v>739</v>
      </c>
      <c r="C36" s="232">
        <v>8913</v>
      </c>
      <c r="D36" s="1035">
        <v>0.28486508020740003</v>
      </c>
      <c r="E36" s="245">
        <f t="shared" si="5"/>
        <v>2539.0024598885566</v>
      </c>
      <c r="F36" s="232">
        <f t="shared" si="6"/>
        <v>28</v>
      </c>
      <c r="G36" s="1047">
        <f t="shared" si="7"/>
        <v>7.1092068876879577E-2</v>
      </c>
      <c r="H36" s="1037"/>
      <c r="I36" s="4"/>
      <c r="J36" s="1030"/>
      <c r="K36" s="947"/>
      <c r="L36" s="1030"/>
      <c r="M36" s="1038"/>
      <c r="N36" s="4"/>
      <c r="O36" s="4"/>
      <c r="P36" s="4"/>
      <c r="Q36" s="4"/>
      <c r="R36" s="4"/>
      <c r="S36" s="4"/>
      <c r="T36" s="4"/>
      <c r="U36" s="4"/>
      <c r="V36" s="4"/>
      <c r="W36" s="4"/>
      <c r="X36" s="4"/>
      <c r="Y36" s="4"/>
      <c r="Z36" s="4"/>
    </row>
    <row r="37" spans="1:26" ht="15.75" customHeight="1" x14ac:dyDescent="0.25">
      <c r="A37" s="4"/>
      <c r="B37" s="152"/>
      <c r="C37" s="244"/>
      <c r="D37" s="244"/>
      <c r="E37" s="244"/>
      <c r="F37" s="1048" t="s">
        <v>222</v>
      </c>
      <c r="G37" s="1049">
        <f>SUM(G31:G36)</f>
        <v>8.8509568145665518E-2</v>
      </c>
      <c r="H37" s="4"/>
      <c r="I37" s="4"/>
      <c r="J37" s="1030"/>
      <c r="K37" s="1045"/>
      <c r="L37" s="4"/>
      <c r="M37" s="1046"/>
      <c r="N37" s="4"/>
      <c r="O37" s="4"/>
      <c r="P37" s="4"/>
      <c r="Q37" s="4"/>
      <c r="R37" s="4"/>
      <c r="S37" s="4"/>
      <c r="T37" s="4"/>
      <c r="U37" s="4"/>
      <c r="V37" s="4"/>
      <c r="W37" s="4"/>
      <c r="X37" s="4"/>
      <c r="Y37" s="4"/>
      <c r="Z37" s="4"/>
    </row>
    <row r="38" spans="1:26"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
      <c r="B41" s="264" t="s">
        <v>892</v>
      </c>
      <c r="C41" s="264"/>
      <c r="D41" s="1050"/>
      <c r="E41" s="26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4"/>
      <c r="D42" s="261"/>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676"/>
      <c r="C43" s="662" t="s">
        <v>628</v>
      </c>
      <c r="D43" s="662" t="s">
        <v>628</v>
      </c>
      <c r="E43" s="662" t="s">
        <v>628</v>
      </c>
      <c r="F43" s="662" t="s">
        <v>628</v>
      </c>
      <c r="G43" s="42"/>
      <c r="H43" s="4"/>
      <c r="I43" s="4"/>
      <c r="J43" s="4"/>
      <c r="K43" s="4"/>
      <c r="L43" s="4"/>
      <c r="M43" s="4"/>
      <c r="N43" s="4"/>
      <c r="O43" s="4"/>
      <c r="P43" s="4"/>
      <c r="Q43" s="4"/>
      <c r="R43" s="4"/>
      <c r="S43" s="4"/>
      <c r="T43" s="4"/>
      <c r="U43" s="4"/>
      <c r="V43" s="4"/>
      <c r="W43" s="4"/>
      <c r="X43" s="4"/>
      <c r="Y43" s="4"/>
      <c r="Z43" s="4"/>
    </row>
    <row r="44" spans="1:26" ht="15.75" customHeight="1" x14ac:dyDescent="0.25">
      <c r="A44" s="4"/>
      <c r="B44" s="143"/>
      <c r="C44" s="1027" t="s">
        <v>893</v>
      </c>
      <c r="D44" s="1027" t="s">
        <v>894</v>
      </c>
      <c r="E44" s="1027" t="s">
        <v>895</v>
      </c>
      <c r="F44" s="1027" t="s">
        <v>222</v>
      </c>
      <c r="G44" s="42"/>
      <c r="H44" s="4"/>
      <c r="I44" s="4"/>
      <c r="J44" s="4"/>
      <c r="K44" s="4"/>
      <c r="L44" s="4"/>
      <c r="M44" s="4"/>
      <c r="N44" s="4"/>
      <c r="O44" s="4"/>
      <c r="P44" s="4"/>
      <c r="Q44" s="4"/>
      <c r="R44" s="4"/>
      <c r="S44" s="4"/>
      <c r="T44" s="4"/>
      <c r="U44" s="4"/>
      <c r="V44" s="4"/>
      <c r="W44" s="4"/>
      <c r="X44" s="4"/>
      <c r="Y44" s="4"/>
      <c r="Z44" s="4"/>
    </row>
    <row r="45" spans="1:26" ht="15.75" customHeight="1" x14ac:dyDescent="0.25">
      <c r="A45" s="4"/>
      <c r="B45" s="116" t="s">
        <v>277</v>
      </c>
      <c r="C45" s="1027" t="s">
        <v>896</v>
      </c>
      <c r="D45" s="1027" t="s">
        <v>897</v>
      </c>
      <c r="E45" s="1027" t="s">
        <v>898</v>
      </c>
      <c r="F45" s="1027" t="s">
        <v>899</v>
      </c>
      <c r="G45" s="42"/>
      <c r="H45" s="4"/>
      <c r="I45" s="4"/>
      <c r="J45" s="4"/>
      <c r="K45" s="4"/>
      <c r="L45" s="4"/>
      <c r="M45" s="4"/>
      <c r="N45" s="4"/>
      <c r="O45" s="4"/>
      <c r="P45" s="4"/>
      <c r="Q45" s="4"/>
      <c r="R45" s="4"/>
      <c r="S45" s="4"/>
      <c r="T45" s="4"/>
      <c r="U45" s="4"/>
      <c r="V45" s="4"/>
      <c r="W45" s="4"/>
      <c r="X45" s="4"/>
      <c r="Y45" s="4"/>
      <c r="Z45" s="4"/>
    </row>
    <row r="46" spans="1:26" ht="15.75" customHeight="1" x14ac:dyDescent="0.25">
      <c r="A46" s="4"/>
      <c r="B46" s="231" t="s">
        <v>219</v>
      </c>
      <c r="C46" s="1051">
        <f t="shared" ref="C46:C50" si="8">G7</f>
        <v>0</v>
      </c>
      <c r="D46" s="1052">
        <f t="shared" ref="D46:D51" si="9">G18</f>
        <v>0</v>
      </c>
      <c r="E46" s="1052">
        <f t="shared" ref="E46:E51" si="10">G31</f>
        <v>0</v>
      </c>
      <c r="F46" s="1052">
        <f t="shared" ref="F46:F51" si="11">C46+D46+E46</f>
        <v>0</v>
      </c>
      <c r="G46" s="1053"/>
      <c r="H46" s="4"/>
      <c r="I46" s="4"/>
      <c r="J46" s="4"/>
      <c r="K46" s="4"/>
      <c r="L46" s="4"/>
      <c r="M46" s="4"/>
      <c r="N46" s="4"/>
      <c r="O46" s="4"/>
      <c r="P46" s="4"/>
      <c r="Q46" s="4"/>
      <c r="R46" s="4"/>
      <c r="S46" s="4"/>
      <c r="T46" s="4"/>
      <c r="U46" s="4"/>
      <c r="V46" s="4"/>
      <c r="W46" s="4"/>
      <c r="X46" s="4"/>
      <c r="Y46" s="4"/>
      <c r="Z46" s="4"/>
    </row>
    <row r="47" spans="1:26" ht="15.75" customHeight="1" x14ac:dyDescent="0.25">
      <c r="A47" s="4"/>
      <c r="B47" s="231" t="s">
        <v>634</v>
      </c>
      <c r="C47" s="1051">
        <f t="shared" si="8"/>
        <v>1.1524622558165332</v>
      </c>
      <c r="D47" s="1052">
        <f t="shared" si="9"/>
        <v>2.485475045250562E-3</v>
      </c>
      <c r="E47" s="1052">
        <f t="shared" si="10"/>
        <v>4.3769371866047638E-3</v>
      </c>
      <c r="F47" s="1052">
        <f t="shared" si="11"/>
        <v>1.1593246680483884</v>
      </c>
      <c r="G47" s="1053"/>
      <c r="H47" s="4"/>
      <c r="I47" s="4"/>
      <c r="J47" s="4"/>
      <c r="K47" s="4"/>
      <c r="L47" s="4"/>
      <c r="M47" s="4"/>
      <c r="N47" s="4"/>
      <c r="O47" s="4"/>
      <c r="P47" s="4"/>
      <c r="Q47" s="4"/>
      <c r="R47" s="4"/>
      <c r="S47" s="4"/>
      <c r="T47" s="4"/>
      <c r="U47" s="4"/>
      <c r="V47" s="4"/>
      <c r="W47" s="4"/>
      <c r="X47" s="4"/>
      <c r="Y47" s="4"/>
      <c r="Z47" s="4"/>
    </row>
    <row r="48" spans="1:26" ht="15.75" customHeight="1" x14ac:dyDescent="0.25">
      <c r="A48" s="4"/>
      <c r="B48" s="231" t="s">
        <v>883</v>
      </c>
      <c r="C48" s="1051">
        <f t="shared" si="8"/>
        <v>3.1884537805561462E-2</v>
      </c>
      <c r="D48" s="1052">
        <f t="shared" si="9"/>
        <v>6.9483657330677423E-5</v>
      </c>
      <c r="E48" s="1052">
        <f t="shared" si="10"/>
        <v>1.223611575634571E-4</v>
      </c>
      <c r="F48" s="1052">
        <f t="shared" si="11"/>
        <v>3.2076382620455597E-2</v>
      </c>
      <c r="G48" s="1053"/>
      <c r="H48" s="4"/>
      <c r="I48" s="4"/>
      <c r="J48" s="4"/>
      <c r="K48" s="4"/>
      <c r="L48" s="4"/>
      <c r="M48" s="4"/>
      <c r="N48" s="4"/>
      <c r="O48" s="4"/>
      <c r="P48" s="4"/>
      <c r="Q48" s="4"/>
      <c r="R48" s="4"/>
      <c r="S48" s="4"/>
      <c r="T48" s="4"/>
      <c r="U48" s="4"/>
      <c r="V48" s="4"/>
      <c r="W48" s="4"/>
      <c r="X48" s="4"/>
      <c r="Y48" s="4"/>
      <c r="Z48" s="4"/>
    </row>
    <row r="49" spans="1:26" ht="15.75" customHeight="1" x14ac:dyDescent="0.25">
      <c r="A49" s="4"/>
      <c r="B49" s="231" t="s">
        <v>844</v>
      </c>
      <c r="C49" s="1051">
        <f t="shared" si="8"/>
        <v>0.50234547219610759</v>
      </c>
      <c r="D49" s="1052">
        <f t="shared" si="9"/>
        <v>1.2970813922348245E-3</v>
      </c>
      <c r="E49" s="1052">
        <f t="shared" si="10"/>
        <v>2.2841684894701316E-3</v>
      </c>
      <c r="F49" s="1052">
        <f t="shared" si="11"/>
        <v>0.50592672207781253</v>
      </c>
      <c r="G49" s="1053"/>
      <c r="H49" s="4"/>
      <c r="I49" s="4"/>
      <c r="J49" s="4"/>
      <c r="K49" s="4"/>
      <c r="L49" s="4"/>
      <c r="M49" s="4"/>
      <c r="N49" s="4"/>
      <c r="O49" s="4"/>
      <c r="P49" s="4"/>
      <c r="Q49" s="4"/>
      <c r="R49" s="4"/>
      <c r="S49" s="4"/>
      <c r="T49" s="4"/>
      <c r="U49" s="4"/>
      <c r="V49" s="4"/>
      <c r="W49" s="4"/>
      <c r="X49" s="4"/>
      <c r="Y49" s="4"/>
      <c r="Z49" s="4"/>
    </row>
    <row r="50" spans="1:26" ht="15.75" customHeight="1" x14ac:dyDescent="0.25">
      <c r="A50" s="4"/>
      <c r="B50" s="231" t="s">
        <v>221</v>
      </c>
      <c r="C50" s="1051">
        <f t="shared" si="8"/>
        <v>4.2400523536439811</v>
      </c>
      <c r="D50" s="1052">
        <f t="shared" si="9"/>
        <v>2.0128704252243652E-3</v>
      </c>
      <c r="E50" s="1052">
        <f t="shared" si="10"/>
        <v>1.063403243514759E-2</v>
      </c>
      <c r="F50" s="1052">
        <f t="shared" si="11"/>
        <v>4.2526992565043527</v>
      </c>
      <c r="G50" s="1053"/>
      <c r="H50" s="4"/>
      <c r="I50" s="4"/>
      <c r="J50" s="4"/>
      <c r="K50" s="4"/>
      <c r="L50" s="4"/>
      <c r="M50" s="4"/>
      <c r="N50" s="4"/>
      <c r="O50" s="4"/>
      <c r="P50" s="4"/>
      <c r="Q50" s="4"/>
      <c r="R50" s="4"/>
      <c r="S50" s="4"/>
      <c r="T50" s="4"/>
      <c r="U50" s="4"/>
      <c r="V50" s="4"/>
      <c r="W50" s="4"/>
      <c r="X50" s="4"/>
      <c r="Y50" s="4"/>
      <c r="Z50" s="4"/>
    </row>
    <row r="51" spans="1:26" ht="15.75" customHeight="1" x14ac:dyDescent="0.25">
      <c r="A51" s="4"/>
      <c r="B51" s="231" t="s">
        <v>739</v>
      </c>
      <c r="C51" s="1054">
        <v>0</v>
      </c>
      <c r="D51" s="1052">
        <f t="shared" si="9"/>
        <v>8.9711420249395657E-3</v>
      </c>
      <c r="E51" s="1052">
        <f t="shared" si="10"/>
        <v>7.1092068876879577E-2</v>
      </c>
      <c r="F51" s="1052">
        <f t="shared" si="11"/>
        <v>8.0063210901819143E-2</v>
      </c>
      <c r="G51" s="1053"/>
      <c r="H51" s="4"/>
      <c r="I51" s="4"/>
      <c r="J51" s="4"/>
      <c r="K51" s="4"/>
      <c r="L51" s="4"/>
      <c r="M51" s="4"/>
      <c r="N51" s="4"/>
      <c r="O51" s="4"/>
      <c r="P51" s="4"/>
      <c r="Q51" s="4"/>
      <c r="R51" s="4"/>
      <c r="S51" s="4"/>
      <c r="T51" s="4"/>
      <c r="U51" s="4"/>
      <c r="V51" s="4"/>
      <c r="W51" s="4"/>
      <c r="X51" s="4"/>
      <c r="Y51" s="4"/>
      <c r="Z51" s="4"/>
    </row>
    <row r="52" spans="1:26" ht="15.75" customHeight="1" x14ac:dyDescent="0.25">
      <c r="A52" s="4"/>
      <c r="B52" s="152"/>
      <c r="C52" s="244"/>
      <c r="D52" s="244"/>
      <c r="E52" s="1055" t="s">
        <v>222</v>
      </c>
      <c r="F52" s="1056">
        <f>SUM(F46:F51)</f>
        <v>6.0300902401528287</v>
      </c>
      <c r="G52" s="1057"/>
      <c r="H52" s="4"/>
      <c r="I52" s="4"/>
      <c r="J52" s="4"/>
      <c r="K52" s="4"/>
      <c r="L52" s="4"/>
      <c r="M52" s="4"/>
      <c r="N52" s="4"/>
      <c r="O52" s="4"/>
      <c r="P52" s="4"/>
      <c r="Q52" s="4"/>
      <c r="R52" s="4"/>
      <c r="S52" s="4"/>
      <c r="T52" s="4"/>
      <c r="U52" s="4"/>
      <c r="V52" s="4"/>
      <c r="W52" s="4"/>
      <c r="X52" s="4"/>
      <c r="Y52" s="4"/>
      <c r="Z52" s="4"/>
    </row>
    <row r="53" spans="1:2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t="s">
        <v>900</v>
      </c>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t="s">
        <v>901</v>
      </c>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0KbKeN4s14ihR8zKP9zxCyXJRdqjCdVslB2wVBoAnock7Z4h6+qrjrGLqthNddvk4RBVkUCXeszO5M26QQ8fqg==" saltValue="c8fimP1MyX4zUYtpHhVk+Q==" spinCount="100000" sheet="1" objects="1" scenarios="1"/>
  <mergeCells count="1">
    <mergeCell ref="I5:J5"/>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6.83203125" defaultRowHeight="15" customHeight="1" x14ac:dyDescent="0.2"/>
  <cols>
    <col min="1" max="1" width="9.33203125" customWidth="1"/>
    <col min="2" max="2" width="23.1640625" customWidth="1"/>
    <col min="3" max="3" width="19.6640625" customWidth="1"/>
    <col min="4" max="4" width="23.1640625" customWidth="1"/>
    <col min="5" max="5" width="15.83203125" customWidth="1"/>
    <col min="6" max="6" width="18.5" customWidth="1"/>
    <col min="7" max="7" width="15.6640625" customWidth="1"/>
    <col min="8" max="14" width="9.33203125" customWidth="1"/>
    <col min="15" max="26" width="8" customWidth="1"/>
  </cols>
  <sheetData>
    <row r="1" spans="1:26" x14ac:dyDescent="0.25">
      <c r="A1" s="4" t="s">
        <v>902</v>
      </c>
      <c r="B1" s="260"/>
      <c r="C1" s="4"/>
      <c r="D1" s="4"/>
      <c r="E1" s="4"/>
      <c r="F1" s="3" t="s">
        <v>268</v>
      </c>
      <c r="G1" s="4"/>
      <c r="H1" s="4"/>
      <c r="I1" s="4"/>
      <c r="J1" s="4"/>
      <c r="K1" s="4"/>
      <c r="L1" s="4"/>
      <c r="M1" s="4"/>
      <c r="N1" s="4"/>
      <c r="O1" s="4"/>
      <c r="P1" s="4"/>
      <c r="Q1" s="4"/>
      <c r="R1" s="4"/>
      <c r="S1" s="4"/>
      <c r="T1" s="4"/>
      <c r="U1" s="4"/>
      <c r="V1" s="4"/>
      <c r="W1" s="4"/>
      <c r="X1" s="4"/>
      <c r="Y1" s="4"/>
      <c r="Z1" s="4"/>
    </row>
    <row r="2" spans="1:26" ht="73.5" customHeight="1" x14ac:dyDescent="0.25">
      <c r="A2" s="4"/>
      <c r="B2" s="4"/>
      <c r="C2" s="4"/>
      <c r="D2" s="4"/>
      <c r="E2" s="4"/>
      <c r="F2" s="4"/>
      <c r="G2" s="4"/>
      <c r="H2" s="4"/>
      <c r="I2" s="4"/>
      <c r="J2" s="4"/>
      <c r="K2" s="4"/>
      <c r="L2" s="4"/>
      <c r="M2" s="4"/>
      <c r="N2" s="4"/>
      <c r="O2" s="4"/>
      <c r="P2" s="4"/>
      <c r="Q2" s="4"/>
      <c r="R2" s="4"/>
      <c r="S2" s="4"/>
      <c r="T2" s="4"/>
      <c r="U2" s="4"/>
      <c r="V2" s="4"/>
      <c r="W2" s="4"/>
      <c r="X2" s="4"/>
      <c r="Y2" s="4"/>
      <c r="Z2" s="4"/>
    </row>
    <row r="3" spans="1:26" x14ac:dyDescent="0.25">
      <c r="A3" s="4"/>
      <c r="B3" s="4"/>
      <c r="C3" s="4"/>
      <c r="D3" s="4"/>
      <c r="E3" s="4"/>
      <c r="F3" s="4"/>
      <c r="G3" s="4"/>
      <c r="H3" s="4"/>
      <c r="I3" s="4"/>
      <c r="J3" s="4"/>
      <c r="K3" s="4"/>
      <c r="L3" s="4"/>
      <c r="M3" s="4"/>
      <c r="N3" s="4"/>
      <c r="O3" s="4"/>
      <c r="P3" s="4"/>
      <c r="Q3" s="4"/>
      <c r="R3" s="4"/>
      <c r="S3" s="4"/>
      <c r="T3" s="4"/>
      <c r="U3" s="4"/>
      <c r="V3" s="4"/>
      <c r="W3" s="4"/>
      <c r="X3" s="4"/>
      <c r="Y3" s="4"/>
      <c r="Z3" s="4"/>
    </row>
    <row r="4" spans="1:26" ht="21" customHeight="1" x14ac:dyDescent="0.4">
      <c r="A4" s="4"/>
      <c r="B4" s="1058" t="s">
        <v>903</v>
      </c>
      <c r="C4" s="1059"/>
      <c r="D4" s="1059"/>
      <c r="E4" s="243">
        <v>2011</v>
      </c>
      <c r="F4" s="243"/>
      <c r="G4" s="1060"/>
      <c r="H4" s="4"/>
      <c r="I4" s="4"/>
      <c r="J4" s="4"/>
      <c r="K4" s="4"/>
      <c r="L4" s="4"/>
      <c r="M4" s="4"/>
      <c r="N4" s="4"/>
      <c r="O4" s="4"/>
      <c r="P4" s="4"/>
      <c r="Q4" s="4"/>
      <c r="R4" s="4"/>
      <c r="S4" s="4"/>
      <c r="T4" s="4"/>
      <c r="U4" s="4"/>
      <c r="V4" s="4"/>
      <c r="W4" s="4"/>
      <c r="X4" s="4"/>
      <c r="Y4" s="4"/>
      <c r="Z4" s="4"/>
    </row>
    <row r="5" spans="1:26" x14ac:dyDescent="0.25">
      <c r="A5" s="4"/>
      <c r="B5" s="143"/>
      <c r="C5" s="4"/>
      <c r="D5" s="4"/>
      <c r="E5" s="4"/>
      <c r="F5" s="4"/>
      <c r="G5" s="586"/>
      <c r="H5" s="4"/>
      <c r="I5" s="2146" t="s">
        <v>0</v>
      </c>
      <c r="J5" s="2147"/>
      <c r="K5" s="4"/>
      <c r="L5" s="4"/>
      <c r="M5" s="42"/>
      <c r="N5" s="4"/>
      <c r="O5" s="4"/>
      <c r="P5" s="4"/>
      <c r="Q5" s="4"/>
      <c r="R5" s="4"/>
      <c r="S5" s="4"/>
      <c r="T5" s="4"/>
      <c r="U5" s="4"/>
      <c r="V5" s="4"/>
      <c r="W5" s="4"/>
      <c r="X5" s="4"/>
      <c r="Y5" s="4"/>
      <c r="Z5" s="4"/>
    </row>
    <row r="6" spans="1:26" x14ac:dyDescent="0.25">
      <c r="A6" s="4"/>
      <c r="B6" s="1061"/>
      <c r="C6" s="1062" t="s">
        <v>627</v>
      </c>
      <c r="D6" s="1062" t="s">
        <v>814</v>
      </c>
      <c r="E6" s="1062" t="s">
        <v>815</v>
      </c>
      <c r="F6" s="1062" t="s">
        <v>628</v>
      </c>
      <c r="G6" s="1063" t="s">
        <v>628</v>
      </c>
      <c r="H6" s="4"/>
      <c r="I6" s="120"/>
      <c r="J6" s="120"/>
      <c r="K6" s="42"/>
      <c r="L6" s="4"/>
      <c r="M6" s="42"/>
      <c r="N6" s="4"/>
      <c r="O6" s="4"/>
      <c r="P6" s="4"/>
      <c r="Q6" s="4"/>
      <c r="R6" s="4"/>
      <c r="S6" s="4"/>
      <c r="T6" s="4"/>
      <c r="U6" s="4"/>
      <c r="V6" s="4"/>
      <c r="W6" s="4"/>
      <c r="X6" s="4"/>
      <c r="Y6" s="4"/>
      <c r="Z6" s="4"/>
    </row>
    <row r="7" spans="1:26" x14ac:dyDescent="0.25">
      <c r="A7" s="4"/>
      <c r="B7" s="272" t="s">
        <v>277</v>
      </c>
      <c r="C7" s="1064" t="s">
        <v>630</v>
      </c>
      <c r="D7" s="1064" t="s">
        <v>818</v>
      </c>
      <c r="E7" s="1064" t="s">
        <v>819</v>
      </c>
      <c r="F7" s="1064" t="s">
        <v>820</v>
      </c>
      <c r="G7" s="1065" t="s">
        <v>904</v>
      </c>
      <c r="H7" s="42"/>
      <c r="I7" s="124" t="s">
        <v>4</v>
      </c>
      <c r="J7" s="125">
        <f>'Summ GHG Rpt Expanded'!G4</f>
        <v>1</v>
      </c>
      <c r="K7" s="42"/>
      <c r="L7" s="4"/>
      <c r="M7" s="42"/>
      <c r="N7" s="4"/>
      <c r="O7" s="4"/>
      <c r="P7" s="4"/>
      <c r="Q7" s="4"/>
      <c r="R7" s="4"/>
      <c r="S7" s="4"/>
      <c r="T7" s="4"/>
      <c r="U7" s="4"/>
      <c r="V7" s="4"/>
      <c r="W7" s="4"/>
      <c r="X7" s="4"/>
      <c r="Y7" s="4"/>
      <c r="Z7" s="4"/>
    </row>
    <row r="8" spans="1:26" x14ac:dyDescent="0.25">
      <c r="A8" s="4"/>
      <c r="B8" s="143" t="s">
        <v>219</v>
      </c>
      <c r="C8" s="649">
        <v>617</v>
      </c>
      <c r="D8" s="652">
        <v>56.792727272727269</v>
      </c>
      <c r="E8" s="1066">
        <v>1</v>
      </c>
      <c r="F8" s="1067">
        <f t="shared" ref="F8:F14" si="0">C8*1000*D8*E8/2000</f>
        <v>17520.556363636362</v>
      </c>
      <c r="G8" s="1068">
        <f t="shared" ref="G8:G14" si="1">F8*(44/12)*0.90718474/1000000</f>
        <v>5.8279398354469596E-2</v>
      </c>
      <c r="H8" s="1030"/>
      <c r="I8" s="124" t="s">
        <v>5</v>
      </c>
      <c r="J8" s="125">
        <f>'Summ GHG Rpt Expanded'!G5</f>
        <v>28</v>
      </c>
      <c r="K8" s="947"/>
      <c r="L8" s="1030"/>
      <c r="M8" s="947"/>
      <c r="N8" s="4"/>
      <c r="O8" s="4"/>
      <c r="P8" s="4"/>
      <c r="Q8" s="4"/>
      <c r="R8" s="4"/>
      <c r="S8" s="4"/>
      <c r="T8" s="4"/>
      <c r="U8" s="4"/>
      <c r="V8" s="4"/>
      <c r="W8" s="4"/>
      <c r="X8" s="4"/>
      <c r="Y8" s="4"/>
      <c r="Z8" s="4"/>
    </row>
    <row r="9" spans="1:26" x14ac:dyDescent="0.25">
      <c r="A9" s="4"/>
      <c r="B9" s="143" t="s">
        <v>634</v>
      </c>
      <c r="C9" s="232">
        <v>8363</v>
      </c>
      <c r="D9" s="652">
        <v>44.43</v>
      </c>
      <c r="E9" s="1028">
        <v>1</v>
      </c>
      <c r="F9" s="253">
        <f t="shared" si="0"/>
        <v>185784.04500000001</v>
      </c>
      <c r="G9" s="670">
        <f t="shared" si="1"/>
        <v>0.6179816520514021</v>
      </c>
      <c r="H9" s="1030"/>
      <c r="I9" s="124" t="s">
        <v>6</v>
      </c>
      <c r="J9" s="125">
        <f>'Summ GHG Rpt Expanded'!G6</f>
        <v>265</v>
      </c>
      <c r="K9" s="947"/>
      <c r="L9" s="1030"/>
      <c r="M9" s="947"/>
      <c r="N9" s="4"/>
      <c r="O9" s="4"/>
      <c r="P9" s="4"/>
      <c r="Q9" s="4"/>
      <c r="R9" s="4"/>
      <c r="S9" s="4"/>
      <c r="T9" s="4"/>
      <c r="U9" s="4"/>
      <c r="V9" s="4"/>
      <c r="W9" s="4"/>
      <c r="X9" s="4"/>
      <c r="Y9" s="4"/>
      <c r="Z9" s="4"/>
    </row>
    <row r="10" spans="1:26" x14ac:dyDescent="0.25">
      <c r="A10" s="4"/>
      <c r="B10" s="143" t="s">
        <v>883</v>
      </c>
      <c r="C10" s="232">
        <v>132</v>
      </c>
      <c r="D10" s="652">
        <v>43.97</v>
      </c>
      <c r="E10" s="1028">
        <v>1</v>
      </c>
      <c r="F10" s="253">
        <f t="shared" si="0"/>
        <v>2902.02</v>
      </c>
      <c r="G10" s="670">
        <f t="shared" si="1"/>
        <v>9.6531169503075998E-3</v>
      </c>
      <c r="H10" s="1030"/>
      <c r="I10" s="124" t="s">
        <v>7</v>
      </c>
      <c r="J10" s="129">
        <f>'Summ GHG Rpt Expanded'!G7</f>
        <v>23500</v>
      </c>
      <c r="K10" s="947"/>
      <c r="L10" s="1030"/>
      <c r="M10" s="947"/>
      <c r="N10" s="4"/>
      <c r="O10" s="4"/>
      <c r="P10" s="4"/>
      <c r="Q10" s="4"/>
      <c r="R10" s="4"/>
      <c r="S10" s="4"/>
      <c r="T10" s="4"/>
      <c r="U10" s="4"/>
      <c r="V10" s="4"/>
      <c r="W10" s="4"/>
      <c r="X10" s="4"/>
      <c r="Y10" s="4"/>
      <c r="Z10" s="4"/>
    </row>
    <row r="11" spans="1:26" x14ac:dyDescent="0.25">
      <c r="A11" s="4"/>
      <c r="B11" s="143" t="s">
        <v>844</v>
      </c>
      <c r="C11" s="232">
        <v>3276</v>
      </c>
      <c r="D11" s="652">
        <v>37.110283550140529</v>
      </c>
      <c r="E11" s="1028">
        <v>1</v>
      </c>
      <c r="F11" s="253">
        <f t="shared" si="0"/>
        <v>60786.64445513019</v>
      </c>
      <c r="G11" s="670">
        <f t="shared" si="1"/>
        <v>0.20219729290016566</v>
      </c>
      <c r="H11" s="1030"/>
      <c r="I11" s="124" t="s">
        <v>8</v>
      </c>
      <c r="J11" s="129">
        <f>'Summ GHG Rpt Expanded'!G8</f>
        <v>11100</v>
      </c>
      <c r="K11" s="947"/>
      <c r="L11" s="1030"/>
      <c r="M11" s="947"/>
      <c r="N11" s="4"/>
      <c r="O11" s="4"/>
      <c r="P11" s="4"/>
      <c r="Q11" s="4"/>
      <c r="R11" s="4"/>
      <c r="S11" s="4"/>
      <c r="T11" s="4"/>
      <c r="U11" s="4"/>
      <c r="V11" s="4"/>
      <c r="W11" s="4"/>
      <c r="X11" s="4"/>
      <c r="Y11" s="4"/>
      <c r="Z11" s="4"/>
    </row>
    <row r="12" spans="1:26" x14ac:dyDescent="0.25">
      <c r="A12" s="4"/>
      <c r="B12" s="143" t="s">
        <v>758</v>
      </c>
      <c r="C12" s="232">
        <v>176</v>
      </c>
      <c r="D12" s="652">
        <v>42.900741155457617</v>
      </c>
      <c r="E12" s="1028">
        <v>1</v>
      </c>
      <c r="F12" s="253">
        <f t="shared" si="0"/>
        <v>3775.2652216802699</v>
      </c>
      <c r="G12" s="670">
        <f t="shared" si="1"/>
        <v>1.2557830994723879E-2</v>
      </c>
      <c r="H12" s="1030"/>
      <c r="I12" s="4"/>
      <c r="J12" s="1030"/>
      <c r="K12" s="947"/>
      <c r="L12" s="1030"/>
      <c r="M12" s="947"/>
      <c r="N12" s="4"/>
      <c r="O12" s="4"/>
      <c r="P12" s="4"/>
      <c r="Q12" s="4"/>
      <c r="R12" s="4"/>
      <c r="S12" s="4"/>
      <c r="T12" s="4"/>
      <c r="U12" s="4"/>
      <c r="V12" s="4"/>
      <c r="W12" s="4"/>
      <c r="X12" s="4"/>
      <c r="Y12" s="4"/>
      <c r="Z12" s="4"/>
    </row>
    <row r="13" spans="1:26" x14ac:dyDescent="0.25">
      <c r="A13" s="4"/>
      <c r="B13" s="143" t="s">
        <v>635</v>
      </c>
      <c r="C13" s="232">
        <v>28</v>
      </c>
      <c r="D13" s="652">
        <v>45.11</v>
      </c>
      <c r="E13" s="1028">
        <v>1</v>
      </c>
      <c r="F13" s="253">
        <f t="shared" si="0"/>
        <v>631.54</v>
      </c>
      <c r="G13" s="670">
        <f t="shared" si="1"/>
        <v>2.1007193192318667E-3</v>
      </c>
      <c r="H13" s="1030"/>
      <c r="I13" s="4"/>
      <c r="J13" s="1030"/>
      <c r="K13" s="947"/>
      <c r="L13" s="1030"/>
      <c r="M13" s="947"/>
      <c r="N13" s="4"/>
      <c r="O13" s="4"/>
      <c r="P13" s="4"/>
      <c r="Q13" s="4"/>
      <c r="R13" s="4"/>
      <c r="S13" s="4"/>
      <c r="T13" s="4"/>
      <c r="U13" s="4"/>
      <c r="V13" s="4"/>
      <c r="W13" s="4"/>
      <c r="X13" s="4"/>
      <c r="Y13" s="4"/>
      <c r="Z13" s="4"/>
    </row>
    <row r="14" spans="1:26" x14ac:dyDescent="0.25">
      <c r="A14" s="4"/>
      <c r="B14" s="143" t="s">
        <v>221</v>
      </c>
      <c r="C14" s="821">
        <v>69374</v>
      </c>
      <c r="D14" s="652">
        <v>31.87</v>
      </c>
      <c r="E14" s="1069">
        <v>1</v>
      </c>
      <c r="F14" s="855">
        <f t="shared" si="0"/>
        <v>1105474.69</v>
      </c>
      <c r="G14" s="1070">
        <f t="shared" si="1"/>
        <v>3.6771891538221788</v>
      </c>
      <c r="H14" s="1030"/>
      <c r="I14" s="4"/>
      <c r="J14" s="1030"/>
      <c r="K14" s="947"/>
      <c r="L14" s="1030"/>
      <c r="M14" s="947"/>
      <c r="N14" s="4"/>
      <c r="O14" s="4"/>
      <c r="P14" s="4"/>
      <c r="Q14" s="4"/>
      <c r="R14" s="4"/>
      <c r="S14" s="4"/>
      <c r="T14" s="4"/>
      <c r="U14" s="4"/>
      <c r="V14" s="4"/>
      <c r="W14" s="4"/>
      <c r="X14" s="4"/>
      <c r="Y14" s="4"/>
      <c r="Z14" s="4"/>
    </row>
    <row r="15" spans="1:26" x14ac:dyDescent="0.25">
      <c r="A15" s="4"/>
      <c r="B15" s="874"/>
      <c r="C15" s="227"/>
      <c r="D15" s="227"/>
      <c r="E15" s="227"/>
      <c r="F15" s="1071" t="s">
        <v>222</v>
      </c>
      <c r="G15" s="1072">
        <f>SUM(G8:G14)</f>
        <v>4.5799591643924797</v>
      </c>
      <c r="H15" s="4"/>
      <c r="I15" s="4"/>
      <c r="J15" s="4"/>
      <c r="K15" s="4"/>
      <c r="L15" s="4"/>
      <c r="M15" s="4"/>
      <c r="N15" s="4"/>
      <c r="O15" s="4"/>
      <c r="P15" s="4"/>
      <c r="Q15" s="4"/>
      <c r="R15" s="4"/>
      <c r="S15" s="4"/>
      <c r="T15" s="4"/>
      <c r="U15" s="4"/>
      <c r="V15" s="4"/>
      <c r="W15" s="4"/>
      <c r="X15" s="4"/>
      <c r="Y15" s="4"/>
      <c r="Z15" s="4"/>
    </row>
    <row r="16" spans="1:26" x14ac:dyDescent="0.25">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x14ac:dyDescent="0.25">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8" customHeight="1" x14ac:dyDescent="0.35">
      <c r="A18" s="4"/>
      <c r="B18" s="1058" t="s">
        <v>905</v>
      </c>
      <c r="C18" s="1059"/>
      <c r="D18" s="1059"/>
      <c r="E18" s="243">
        <v>2011</v>
      </c>
      <c r="F18" s="243"/>
      <c r="G18" s="1060"/>
      <c r="H18" s="4"/>
      <c r="I18" s="4"/>
      <c r="J18" s="4"/>
      <c r="K18" s="4"/>
      <c r="L18" s="4"/>
      <c r="M18" s="4"/>
      <c r="N18" s="4"/>
      <c r="O18" s="4"/>
      <c r="P18" s="4"/>
      <c r="Q18" s="4"/>
      <c r="R18" s="4"/>
      <c r="S18" s="4"/>
      <c r="T18" s="4"/>
      <c r="U18" s="4"/>
      <c r="V18" s="4"/>
      <c r="W18" s="4"/>
      <c r="X18" s="4"/>
      <c r="Y18" s="4"/>
      <c r="Z18" s="4"/>
    </row>
    <row r="19" spans="1:26" x14ac:dyDescent="0.25">
      <c r="A19" s="4"/>
      <c r="B19" s="143"/>
      <c r="C19" s="4"/>
      <c r="D19" s="4"/>
      <c r="E19" s="4"/>
      <c r="F19" s="4"/>
      <c r="G19" s="586"/>
      <c r="H19" s="4"/>
      <c r="I19" s="4"/>
      <c r="J19" s="4"/>
      <c r="K19" s="4"/>
      <c r="L19" s="4"/>
      <c r="M19" s="42"/>
      <c r="N19" s="4"/>
      <c r="O19" s="4"/>
      <c r="P19" s="4"/>
      <c r="Q19" s="4"/>
      <c r="R19" s="4"/>
      <c r="S19" s="4"/>
      <c r="T19" s="4"/>
      <c r="U19" s="4"/>
      <c r="V19" s="4"/>
      <c r="W19" s="4"/>
      <c r="X19" s="4"/>
      <c r="Y19" s="4"/>
      <c r="Z19" s="4"/>
    </row>
    <row r="20" spans="1:26" x14ac:dyDescent="0.25">
      <c r="A20" s="4"/>
      <c r="B20" s="1061"/>
      <c r="C20" s="1062" t="s">
        <v>627</v>
      </c>
      <c r="D20" s="1062" t="s">
        <v>814</v>
      </c>
      <c r="E20" s="1062" t="s">
        <v>184</v>
      </c>
      <c r="F20" s="1062" t="s">
        <v>629</v>
      </c>
      <c r="G20" s="1063" t="s">
        <v>628</v>
      </c>
      <c r="H20" s="4"/>
      <c r="I20" s="4"/>
      <c r="J20" s="4"/>
      <c r="K20" s="42"/>
      <c r="L20" s="4"/>
      <c r="M20" s="42"/>
      <c r="N20" s="4"/>
      <c r="O20" s="4"/>
      <c r="P20" s="4"/>
      <c r="Q20" s="4"/>
      <c r="R20" s="4"/>
      <c r="S20" s="4"/>
      <c r="T20" s="4"/>
      <c r="U20" s="4"/>
      <c r="V20" s="4"/>
      <c r="W20" s="4"/>
      <c r="X20" s="4"/>
      <c r="Y20" s="4"/>
      <c r="Z20" s="4"/>
    </row>
    <row r="21" spans="1:26" ht="15.75" customHeight="1" x14ac:dyDescent="0.25">
      <c r="A21" s="4"/>
      <c r="B21" s="272" t="s">
        <v>277</v>
      </c>
      <c r="C21" s="1064" t="s">
        <v>630</v>
      </c>
      <c r="D21" s="1064" t="s">
        <v>906</v>
      </c>
      <c r="E21" s="1064" t="s">
        <v>907</v>
      </c>
      <c r="F21" s="1064"/>
      <c r="G21" s="1065" t="s">
        <v>891</v>
      </c>
      <c r="H21" s="42"/>
      <c r="I21" s="4"/>
      <c r="J21" s="4"/>
      <c r="K21" s="42"/>
      <c r="L21" s="4"/>
      <c r="M21" s="42"/>
      <c r="N21" s="4"/>
      <c r="O21" s="4"/>
      <c r="P21" s="4"/>
      <c r="Q21" s="4"/>
      <c r="R21" s="4"/>
      <c r="S21" s="4"/>
      <c r="T21" s="4"/>
      <c r="U21" s="4"/>
      <c r="V21" s="4"/>
      <c r="W21" s="4"/>
      <c r="X21" s="4"/>
      <c r="Y21" s="4"/>
      <c r="Z21" s="4"/>
    </row>
    <row r="22" spans="1:26" ht="15.75" customHeight="1" x14ac:dyDescent="0.25">
      <c r="A22" s="4"/>
      <c r="B22" s="1073" t="s">
        <v>219</v>
      </c>
      <c r="C22" s="649">
        <v>617</v>
      </c>
      <c r="D22" s="1074">
        <v>1.5034545899835E-3</v>
      </c>
      <c r="E22" s="1075">
        <f t="shared" ref="E22:E29" si="2">C22*D22</f>
        <v>0.92763148201981949</v>
      </c>
      <c r="F22" s="649">
        <f t="shared" ref="F22:F29" si="3">$J$9</f>
        <v>265</v>
      </c>
      <c r="G22" s="1068">
        <f t="shared" ref="G22:G29" si="4">E22*F22/1000000</f>
        <v>2.4582234273525216E-4</v>
      </c>
      <c r="H22" s="1030"/>
      <c r="I22" s="4"/>
      <c r="J22" s="1030"/>
      <c r="K22" s="947"/>
      <c r="L22" s="1030"/>
      <c r="M22" s="1038"/>
      <c r="N22" s="4"/>
      <c r="O22" s="4"/>
      <c r="P22" s="4"/>
      <c r="Q22" s="4"/>
      <c r="R22" s="4"/>
      <c r="S22" s="4"/>
      <c r="T22" s="4"/>
      <c r="U22" s="4"/>
      <c r="V22" s="4"/>
      <c r="W22" s="4"/>
      <c r="X22" s="4"/>
      <c r="Y22" s="4"/>
      <c r="Z22" s="4"/>
    </row>
    <row r="23" spans="1:26" ht="15.75" customHeight="1" x14ac:dyDescent="0.25">
      <c r="A23" s="4"/>
      <c r="B23" s="231" t="s">
        <v>634</v>
      </c>
      <c r="C23" s="232">
        <v>8363</v>
      </c>
      <c r="D23" s="1035">
        <v>6.0138183599339984E-4</v>
      </c>
      <c r="E23" s="245">
        <f t="shared" si="2"/>
        <v>5.0293562944128025</v>
      </c>
      <c r="F23" s="232">
        <f t="shared" si="3"/>
        <v>265</v>
      </c>
      <c r="G23" s="670">
        <f t="shared" si="4"/>
        <v>1.3327794180193928E-3</v>
      </c>
      <c r="H23" s="1030"/>
      <c r="I23" s="4"/>
      <c r="J23" s="1030"/>
      <c r="K23" s="947"/>
      <c r="L23" s="1030"/>
      <c r="M23" s="1038"/>
      <c r="N23" s="4"/>
      <c r="O23" s="4"/>
      <c r="P23" s="4"/>
      <c r="Q23" s="4"/>
      <c r="R23" s="4"/>
      <c r="S23" s="4"/>
      <c r="T23" s="4"/>
      <c r="U23" s="4"/>
      <c r="V23" s="4"/>
      <c r="W23" s="4"/>
      <c r="X23" s="4"/>
      <c r="Y23" s="4"/>
      <c r="Z23" s="4"/>
    </row>
    <row r="24" spans="1:26" ht="15.75" customHeight="1" x14ac:dyDescent="0.25">
      <c r="A24" s="4"/>
      <c r="B24" s="231" t="s">
        <v>883</v>
      </c>
      <c r="C24" s="232">
        <v>132</v>
      </c>
      <c r="D24" s="1035">
        <v>6.0138183599339984E-4</v>
      </c>
      <c r="E24" s="245">
        <f t="shared" si="2"/>
        <v>7.9382402351128784E-2</v>
      </c>
      <c r="F24" s="232">
        <f t="shared" si="3"/>
        <v>265</v>
      </c>
      <c r="G24" s="670">
        <f t="shared" si="4"/>
        <v>2.1036336623049127E-5</v>
      </c>
      <c r="H24" s="1030"/>
      <c r="I24" s="4"/>
      <c r="J24" s="1030"/>
      <c r="K24" s="947"/>
      <c r="L24" s="1030"/>
      <c r="M24" s="1038"/>
      <c r="N24" s="4"/>
      <c r="O24" s="4"/>
      <c r="P24" s="4"/>
      <c r="Q24" s="4"/>
      <c r="R24" s="4"/>
      <c r="S24" s="4"/>
      <c r="T24" s="4"/>
      <c r="U24" s="4"/>
      <c r="V24" s="4"/>
      <c r="W24" s="4"/>
      <c r="X24" s="4"/>
      <c r="Y24" s="4"/>
      <c r="Z24" s="4"/>
    </row>
    <row r="25" spans="1:26" ht="15.75" customHeight="1" x14ac:dyDescent="0.25">
      <c r="A25" s="4"/>
      <c r="B25" s="231" t="s">
        <v>844</v>
      </c>
      <c r="C25" s="232">
        <v>3276</v>
      </c>
      <c r="D25" s="1035">
        <v>6.0138183599339984E-4</v>
      </c>
      <c r="E25" s="245">
        <f t="shared" si="2"/>
        <v>1.970126894714378</v>
      </c>
      <c r="F25" s="232">
        <f t="shared" si="3"/>
        <v>265</v>
      </c>
      <c r="G25" s="670">
        <f t="shared" si="4"/>
        <v>5.2208362709931021E-4</v>
      </c>
      <c r="H25" s="1030"/>
      <c r="I25" s="4"/>
      <c r="J25" s="1030"/>
      <c r="K25" s="947"/>
      <c r="L25" s="1030"/>
      <c r="M25" s="1038"/>
      <c r="N25" s="4"/>
      <c r="O25" s="4"/>
      <c r="P25" s="4"/>
      <c r="Q25" s="4"/>
      <c r="R25" s="4"/>
      <c r="S25" s="4"/>
      <c r="T25" s="4"/>
      <c r="U25" s="4"/>
      <c r="V25" s="4"/>
      <c r="W25" s="4"/>
      <c r="X25" s="4"/>
      <c r="Y25" s="4"/>
      <c r="Z25" s="4"/>
    </row>
    <row r="26" spans="1:26" ht="15.75" customHeight="1" x14ac:dyDescent="0.25">
      <c r="A26" s="4"/>
      <c r="B26" s="231" t="s">
        <v>758</v>
      </c>
      <c r="C26" s="232">
        <v>176</v>
      </c>
      <c r="D26" s="1035">
        <v>6.0138183599339984E-4</v>
      </c>
      <c r="E26" s="245">
        <f t="shared" si="2"/>
        <v>0.10584320313483837</v>
      </c>
      <c r="F26" s="232">
        <f t="shared" si="3"/>
        <v>265</v>
      </c>
      <c r="G26" s="670">
        <f t="shared" si="4"/>
        <v>2.8048448830732169E-5</v>
      </c>
      <c r="H26" s="1030"/>
      <c r="I26" s="4"/>
      <c r="J26" s="1030"/>
      <c r="K26" s="947"/>
      <c r="L26" s="1030"/>
      <c r="M26" s="1038"/>
      <c r="N26" s="4"/>
      <c r="O26" s="4"/>
      <c r="P26" s="4"/>
      <c r="Q26" s="4"/>
      <c r="R26" s="4"/>
      <c r="S26" s="4"/>
      <c r="T26" s="4"/>
      <c r="U26" s="4"/>
      <c r="V26" s="4"/>
      <c r="W26" s="4"/>
      <c r="X26" s="4"/>
      <c r="Y26" s="4"/>
      <c r="Z26" s="4"/>
    </row>
    <row r="27" spans="1:26" ht="15.75" customHeight="1" x14ac:dyDescent="0.25">
      <c r="A27" s="4"/>
      <c r="B27" s="231" t="s">
        <v>635</v>
      </c>
      <c r="C27" s="232">
        <v>28</v>
      </c>
      <c r="D27" s="1035">
        <v>6.0138183599339984E-4</v>
      </c>
      <c r="E27" s="245">
        <f t="shared" si="2"/>
        <v>1.6838691407815194E-2</v>
      </c>
      <c r="F27" s="232">
        <f t="shared" si="3"/>
        <v>265</v>
      </c>
      <c r="G27" s="670">
        <f t="shared" si="4"/>
        <v>4.4622532230710261E-6</v>
      </c>
      <c r="H27" s="1030"/>
      <c r="I27" s="4"/>
      <c r="J27" s="1030"/>
      <c r="K27" s="947"/>
      <c r="L27" s="1030"/>
      <c r="M27" s="1038"/>
      <c r="N27" s="4"/>
      <c r="O27" s="4"/>
      <c r="P27" s="4"/>
      <c r="Q27" s="4"/>
      <c r="R27" s="4"/>
      <c r="S27" s="4"/>
      <c r="T27" s="4"/>
      <c r="U27" s="4"/>
      <c r="V27" s="4"/>
      <c r="W27" s="4"/>
      <c r="X27" s="4"/>
      <c r="Y27" s="4"/>
      <c r="Z27" s="4"/>
    </row>
    <row r="28" spans="1:26" ht="15.75" customHeight="1" x14ac:dyDescent="0.25">
      <c r="A28" s="4"/>
      <c r="B28" s="231" t="s">
        <v>221</v>
      </c>
      <c r="C28" s="232">
        <v>69374</v>
      </c>
      <c r="D28" s="1035">
        <v>9.4955026735800017E-5</v>
      </c>
      <c r="E28" s="245">
        <f t="shared" si="2"/>
        <v>6.5874100247693903</v>
      </c>
      <c r="F28" s="232">
        <f t="shared" si="3"/>
        <v>265</v>
      </c>
      <c r="G28" s="670">
        <f t="shared" si="4"/>
        <v>1.7456636565638885E-3</v>
      </c>
      <c r="H28" s="1030"/>
      <c r="I28" s="4"/>
      <c r="J28" s="1030"/>
      <c r="K28" s="947"/>
      <c r="L28" s="1030"/>
      <c r="M28" s="1038"/>
      <c r="N28" s="4"/>
      <c r="O28" s="4"/>
      <c r="P28" s="4"/>
      <c r="Q28" s="4"/>
      <c r="R28" s="4"/>
      <c r="S28" s="4"/>
      <c r="T28" s="4"/>
      <c r="U28" s="4"/>
      <c r="V28" s="4"/>
      <c r="W28" s="4"/>
      <c r="X28" s="4"/>
      <c r="Y28" s="4"/>
      <c r="Z28" s="4"/>
    </row>
    <row r="29" spans="1:26" ht="15.75" customHeight="1" x14ac:dyDescent="0.25">
      <c r="A29" s="4"/>
      <c r="B29" s="231" t="s">
        <v>739</v>
      </c>
      <c r="C29" s="232">
        <v>3556</v>
      </c>
      <c r="D29" s="1035">
        <v>3.7982010694320003E-3</v>
      </c>
      <c r="E29" s="245">
        <f t="shared" si="2"/>
        <v>13.506403002900193</v>
      </c>
      <c r="F29" s="232">
        <f t="shared" si="3"/>
        <v>265</v>
      </c>
      <c r="G29" s="670">
        <f t="shared" si="4"/>
        <v>3.5791967957685511E-3</v>
      </c>
      <c r="H29" s="1030"/>
      <c r="I29" s="4"/>
      <c r="J29" s="1030"/>
      <c r="K29" s="947"/>
      <c r="L29" s="1030"/>
      <c r="M29" s="1038"/>
      <c r="N29" s="4"/>
      <c r="O29" s="4"/>
      <c r="P29" s="4"/>
      <c r="Q29" s="4"/>
      <c r="R29" s="4"/>
      <c r="S29" s="4"/>
      <c r="T29" s="4"/>
      <c r="U29" s="4"/>
      <c r="V29" s="4"/>
      <c r="W29" s="4"/>
      <c r="X29" s="4"/>
      <c r="Y29" s="4"/>
      <c r="Z29" s="4"/>
    </row>
    <row r="30" spans="1:26" ht="15.75" customHeight="1" x14ac:dyDescent="0.25">
      <c r="A30" s="4"/>
      <c r="B30" s="152"/>
      <c r="C30" s="536"/>
      <c r="D30" s="244"/>
      <c r="E30" s="244"/>
      <c r="F30" s="1076" t="s">
        <v>222</v>
      </c>
      <c r="G30" s="1077">
        <f>SUM(G22:G29)</f>
        <v>7.4790928788632475E-3</v>
      </c>
      <c r="H30" s="4"/>
      <c r="I30" s="4"/>
      <c r="J30" s="1030"/>
      <c r="K30" s="1045"/>
      <c r="L30" s="1030"/>
      <c r="M30" s="1046"/>
      <c r="N30" s="4"/>
      <c r="O30" s="4"/>
      <c r="P30" s="4"/>
      <c r="Q30" s="4"/>
      <c r="R30" s="4"/>
      <c r="S30" s="4"/>
      <c r="T30" s="4"/>
      <c r="U30" s="4"/>
      <c r="V30" s="4"/>
      <c r="W30" s="4"/>
      <c r="X30" s="4"/>
      <c r="Y30" s="4"/>
      <c r="Z30" s="4"/>
    </row>
    <row r="31" spans="1:26"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21" customHeight="1" x14ac:dyDescent="0.4">
      <c r="A33" s="4"/>
      <c r="B33" s="1058" t="s">
        <v>908</v>
      </c>
      <c r="C33" s="1059"/>
      <c r="D33" s="1059"/>
      <c r="E33" s="243">
        <v>2011</v>
      </c>
      <c r="F33" s="243"/>
      <c r="G33" s="1060"/>
      <c r="H33" s="4"/>
      <c r="I33" s="4"/>
      <c r="J33" s="4"/>
      <c r="K33" s="4"/>
      <c r="L33" s="4"/>
      <c r="M33" s="4"/>
      <c r="N33" s="4"/>
      <c r="O33" s="4"/>
      <c r="P33" s="4"/>
      <c r="Q33" s="4"/>
      <c r="R33" s="4"/>
      <c r="S33" s="4"/>
      <c r="T33" s="4"/>
      <c r="U33" s="4"/>
      <c r="V33" s="4"/>
      <c r="W33" s="4"/>
      <c r="X33" s="4"/>
      <c r="Y33" s="4"/>
      <c r="Z33" s="4"/>
    </row>
    <row r="34" spans="1:26" ht="15.75" customHeight="1" x14ac:dyDescent="0.25">
      <c r="A34" s="4"/>
      <c r="B34" s="143"/>
      <c r="C34" s="4"/>
      <c r="D34" s="4"/>
      <c r="E34" s="4"/>
      <c r="F34" s="4"/>
      <c r="G34" s="586"/>
      <c r="H34" s="4"/>
      <c r="I34" s="4"/>
      <c r="J34" s="4"/>
      <c r="K34" s="4"/>
      <c r="L34" s="4"/>
      <c r="M34" s="42"/>
      <c r="N34" s="4"/>
      <c r="O34" s="4"/>
      <c r="P34" s="4"/>
      <c r="Q34" s="4"/>
      <c r="R34" s="4"/>
      <c r="S34" s="4"/>
      <c r="T34" s="4"/>
      <c r="U34" s="4"/>
      <c r="V34" s="4"/>
      <c r="W34" s="4"/>
      <c r="X34" s="4"/>
      <c r="Y34" s="4"/>
      <c r="Z34" s="4"/>
    </row>
    <row r="35" spans="1:26" ht="15.75" customHeight="1" x14ac:dyDescent="0.25">
      <c r="A35" s="4"/>
      <c r="B35" s="558"/>
      <c r="C35" s="1078" t="s">
        <v>627</v>
      </c>
      <c r="D35" s="1078" t="s">
        <v>814</v>
      </c>
      <c r="E35" s="1078" t="s">
        <v>628</v>
      </c>
      <c r="F35" s="1078" t="s">
        <v>629</v>
      </c>
      <c r="G35" s="1079" t="s">
        <v>628</v>
      </c>
      <c r="H35" s="4"/>
      <c r="I35" s="4"/>
      <c r="J35" s="4"/>
      <c r="K35" s="42"/>
      <c r="L35" s="4"/>
      <c r="M35" s="4"/>
      <c r="N35" s="4"/>
      <c r="O35" s="4"/>
      <c r="P35" s="4"/>
      <c r="Q35" s="4"/>
      <c r="R35" s="4"/>
      <c r="S35" s="4"/>
      <c r="T35" s="4"/>
      <c r="U35" s="4"/>
      <c r="V35" s="4"/>
      <c r="W35" s="4"/>
      <c r="X35" s="4"/>
      <c r="Y35" s="4"/>
      <c r="Z35" s="4"/>
    </row>
    <row r="36" spans="1:26" ht="15.75" customHeight="1" x14ac:dyDescent="0.25">
      <c r="A36" s="4"/>
      <c r="B36" s="644" t="s">
        <v>277</v>
      </c>
      <c r="C36" s="1080" t="s">
        <v>630</v>
      </c>
      <c r="D36" s="1080" t="s">
        <v>909</v>
      </c>
      <c r="E36" s="1080" t="s">
        <v>910</v>
      </c>
      <c r="F36" s="1080"/>
      <c r="G36" s="1081" t="s">
        <v>911</v>
      </c>
      <c r="H36" s="42"/>
      <c r="I36" s="4"/>
      <c r="J36" s="4"/>
      <c r="K36" s="42"/>
      <c r="L36" s="4"/>
      <c r="M36" s="4"/>
      <c r="N36" s="4"/>
      <c r="O36" s="4"/>
      <c r="P36" s="4"/>
      <c r="Q36" s="4"/>
      <c r="R36" s="4"/>
      <c r="S36" s="4"/>
      <c r="T36" s="4"/>
      <c r="U36" s="4"/>
      <c r="V36" s="4"/>
      <c r="W36" s="4"/>
      <c r="X36" s="4"/>
      <c r="Y36" s="4"/>
      <c r="Z36" s="4"/>
    </row>
    <row r="37" spans="1:26" ht="15.75" customHeight="1" x14ac:dyDescent="0.25">
      <c r="A37" s="4"/>
      <c r="B37" s="1073" t="s">
        <v>219</v>
      </c>
      <c r="C37" s="649">
        <v>617</v>
      </c>
      <c r="D37" s="1074">
        <v>1.0023030599889999E-2</v>
      </c>
      <c r="E37" s="1082">
        <f t="shared" ref="E37:E44" si="5">C37*D37</f>
        <v>6.1842098801321299</v>
      </c>
      <c r="F37" s="649">
        <f t="shared" ref="F37:F44" si="6">$J$8</f>
        <v>28</v>
      </c>
      <c r="G37" s="1083">
        <f t="shared" ref="G37:G44" si="7">E37*F37/1000000</f>
        <v>1.7315787664369964E-4</v>
      </c>
      <c r="H37" s="1030"/>
      <c r="I37" s="4"/>
      <c r="J37" s="1030"/>
      <c r="K37" s="947"/>
      <c r="L37" s="1030"/>
      <c r="M37" s="1038"/>
      <c r="N37" s="4"/>
      <c r="O37" s="4"/>
      <c r="P37" s="4"/>
      <c r="Q37" s="4"/>
      <c r="R37" s="4"/>
      <c r="S37" s="4"/>
      <c r="T37" s="4"/>
      <c r="U37" s="4"/>
      <c r="V37" s="4"/>
      <c r="W37" s="4"/>
      <c r="X37" s="4"/>
      <c r="Y37" s="4"/>
      <c r="Z37" s="4"/>
    </row>
    <row r="38" spans="1:26" ht="15.75" customHeight="1" x14ac:dyDescent="0.25">
      <c r="A38" s="4"/>
      <c r="B38" s="231" t="s">
        <v>634</v>
      </c>
      <c r="C38" s="232">
        <v>8363</v>
      </c>
      <c r="D38" s="1035">
        <v>1.0023030599889999E-2</v>
      </c>
      <c r="E38" s="1084">
        <f t="shared" si="5"/>
        <v>83.822604906880059</v>
      </c>
      <c r="F38" s="232">
        <f t="shared" si="6"/>
        <v>28</v>
      </c>
      <c r="G38" s="1085">
        <f t="shared" si="7"/>
        <v>2.3470329373926416E-3</v>
      </c>
      <c r="H38" s="1030"/>
      <c r="I38" s="4"/>
      <c r="J38" s="1030"/>
      <c r="K38" s="947"/>
      <c r="L38" s="1030"/>
      <c r="M38" s="1038"/>
      <c r="N38" s="4"/>
      <c r="O38" s="4"/>
      <c r="P38" s="4"/>
      <c r="Q38" s="4"/>
      <c r="R38" s="4"/>
      <c r="S38" s="4"/>
      <c r="T38" s="4"/>
      <c r="U38" s="4"/>
      <c r="V38" s="4"/>
      <c r="W38" s="4"/>
      <c r="X38" s="4"/>
      <c r="Y38" s="4"/>
      <c r="Z38" s="4"/>
    </row>
    <row r="39" spans="1:26" ht="15.75" customHeight="1" x14ac:dyDescent="0.25">
      <c r="A39" s="4"/>
      <c r="B39" s="231" t="s">
        <v>883</v>
      </c>
      <c r="C39" s="232">
        <v>132</v>
      </c>
      <c r="D39" s="1035">
        <v>1.0023030599889999E-2</v>
      </c>
      <c r="E39" s="1084">
        <f t="shared" si="5"/>
        <v>1.32304003918548</v>
      </c>
      <c r="F39" s="232">
        <f t="shared" si="6"/>
        <v>28</v>
      </c>
      <c r="G39" s="1085">
        <f t="shared" si="7"/>
        <v>3.7045121097193439E-5</v>
      </c>
      <c r="H39" s="1030"/>
      <c r="I39" s="4"/>
      <c r="J39" s="1030"/>
      <c r="K39" s="947"/>
      <c r="L39" s="1030"/>
      <c r="M39" s="1038"/>
      <c r="N39" s="4"/>
      <c r="O39" s="4"/>
      <c r="P39" s="4"/>
      <c r="Q39" s="4"/>
      <c r="R39" s="4"/>
      <c r="S39" s="4"/>
      <c r="T39" s="4"/>
      <c r="U39" s="4"/>
      <c r="V39" s="4"/>
      <c r="W39" s="4"/>
      <c r="X39" s="4"/>
      <c r="Y39" s="4"/>
      <c r="Z39" s="4"/>
    </row>
    <row r="40" spans="1:26" ht="15.75" customHeight="1" x14ac:dyDescent="0.25">
      <c r="A40" s="4"/>
      <c r="B40" s="231" t="s">
        <v>844</v>
      </c>
      <c r="C40" s="232">
        <v>3276</v>
      </c>
      <c r="D40" s="1035">
        <v>1.0023030599889999E-2</v>
      </c>
      <c r="E40" s="1084">
        <f t="shared" si="5"/>
        <v>32.83544824523964</v>
      </c>
      <c r="F40" s="232">
        <f t="shared" si="6"/>
        <v>28</v>
      </c>
      <c r="G40" s="1085">
        <f t="shared" si="7"/>
        <v>9.1939255086670999E-4</v>
      </c>
      <c r="H40" s="1030"/>
      <c r="I40" s="4"/>
      <c r="J40" s="1030"/>
      <c r="K40" s="947"/>
      <c r="L40" s="1030"/>
      <c r="M40" s="1038"/>
      <c r="N40" s="4"/>
      <c r="O40" s="4"/>
      <c r="P40" s="4"/>
      <c r="Q40" s="4"/>
      <c r="R40" s="4"/>
      <c r="S40" s="4"/>
      <c r="T40" s="4"/>
      <c r="U40" s="4"/>
      <c r="V40" s="4"/>
      <c r="W40" s="4"/>
      <c r="X40" s="4"/>
      <c r="Y40" s="4"/>
      <c r="Z40" s="4"/>
    </row>
    <row r="41" spans="1:26" ht="15.75" customHeight="1" x14ac:dyDescent="0.25">
      <c r="A41" s="4"/>
      <c r="B41" s="231" t="s">
        <v>758</v>
      </c>
      <c r="C41" s="232">
        <v>176</v>
      </c>
      <c r="D41" s="1035">
        <v>1.0023030599889999E-2</v>
      </c>
      <c r="E41" s="1084">
        <f t="shared" si="5"/>
        <v>1.76405338558064</v>
      </c>
      <c r="F41" s="232">
        <f t="shared" si="6"/>
        <v>28</v>
      </c>
      <c r="G41" s="1085">
        <f t="shared" si="7"/>
        <v>4.9393494796257921E-5</v>
      </c>
      <c r="H41" s="1030"/>
      <c r="I41" s="4"/>
      <c r="J41" s="1030"/>
      <c r="K41" s="947"/>
      <c r="L41" s="1030"/>
      <c r="M41" s="1038"/>
      <c r="N41" s="4"/>
      <c r="O41" s="4"/>
      <c r="P41" s="4"/>
      <c r="Q41" s="4"/>
      <c r="R41" s="4"/>
      <c r="S41" s="4"/>
      <c r="T41" s="4"/>
      <c r="U41" s="4"/>
      <c r="V41" s="4"/>
      <c r="W41" s="4"/>
      <c r="X41" s="4"/>
      <c r="Y41" s="4"/>
      <c r="Z41" s="4"/>
    </row>
    <row r="42" spans="1:26" ht="15.75" customHeight="1" x14ac:dyDescent="0.25">
      <c r="A42" s="4"/>
      <c r="B42" s="231" t="s">
        <v>635</v>
      </c>
      <c r="C42" s="232">
        <v>28</v>
      </c>
      <c r="D42" s="1035">
        <v>1.0023030599889999E-2</v>
      </c>
      <c r="E42" s="1084">
        <f t="shared" si="5"/>
        <v>0.28064485679691997</v>
      </c>
      <c r="F42" s="232">
        <f t="shared" si="6"/>
        <v>28</v>
      </c>
      <c r="G42" s="1085">
        <f t="shared" si="7"/>
        <v>7.8580559903137596E-6</v>
      </c>
      <c r="H42" s="1030"/>
      <c r="I42" s="4"/>
      <c r="J42" s="1030"/>
      <c r="K42" s="947"/>
      <c r="L42" s="1030"/>
      <c r="M42" s="1038"/>
      <c r="N42" s="4"/>
      <c r="O42" s="4"/>
      <c r="P42" s="4"/>
      <c r="Q42" s="4"/>
      <c r="R42" s="4"/>
      <c r="S42" s="4"/>
      <c r="T42" s="4"/>
      <c r="U42" s="4"/>
      <c r="V42" s="4"/>
      <c r="W42" s="4"/>
      <c r="X42" s="4"/>
      <c r="Y42" s="4"/>
      <c r="Z42" s="4"/>
    </row>
    <row r="43" spans="1:26" ht="15.75" customHeight="1" x14ac:dyDescent="0.25">
      <c r="A43" s="4"/>
      <c r="B43" s="231" t="s">
        <v>221</v>
      </c>
      <c r="C43" s="232">
        <v>69374</v>
      </c>
      <c r="D43" s="1035">
        <v>4.7477513367900001E-3</v>
      </c>
      <c r="E43" s="1084">
        <f t="shared" si="5"/>
        <v>329.37050123846944</v>
      </c>
      <c r="F43" s="232">
        <f t="shared" si="6"/>
        <v>28</v>
      </c>
      <c r="G43" s="1085">
        <f t="shared" si="7"/>
        <v>9.222374034677145E-3</v>
      </c>
      <c r="H43" s="1030"/>
      <c r="I43" s="4"/>
      <c r="J43" s="1030"/>
      <c r="K43" s="947"/>
      <c r="L43" s="1030"/>
      <c r="M43" s="1038"/>
      <c r="N43" s="4"/>
      <c r="O43" s="4"/>
      <c r="P43" s="4"/>
      <c r="Q43" s="4"/>
      <c r="R43" s="4"/>
      <c r="S43" s="4"/>
      <c r="T43" s="4"/>
      <c r="U43" s="4"/>
      <c r="V43" s="4"/>
      <c r="W43" s="4"/>
      <c r="X43" s="4"/>
      <c r="Y43" s="4"/>
      <c r="Z43" s="4"/>
    </row>
    <row r="44" spans="1:26" ht="15.75" customHeight="1" x14ac:dyDescent="0.25">
      <c r="A44" s="4"/>
      <c r="B44" s="231" t="s">
        <v>739</v>
      </c>
      <c r="C44" s="232">
        <v>3556</v>
      </c>
      <c r="D44" s="1035">
        <v>0.28486508020740003</v>
      </c>
      <c r="E44" s="1084">
        <f t="shared" si="5"/>
        <v>1012.9802252175145</v>
      </c>
      <c r="F44" s="821">
        <f t="shared" si="6"/>
        <v>28</v>
      </c>
      <c r="G44" s="1086">
        <f t="shared" si="7"/>
        <v>2.836344630609041E-2</v>
      </c>
      <c r="H44" s="1030"/>
      <c r="I44" s="4"/>
      <c r="J44" s="1030"/>
      <c r="K44" s="947"/>
      <c r="L44" s="1030"/>
      <c r="M44" s="1038"/>
      <c r="N44" s="4"/>
      <c r="O44" s="4"/>
      <c r="P44" s="4"/>
      <c r="Q44" s="4"/>
      <c r="R44" s="4"/>
      <c r="S44" s="4"/>
      <c r="T44" s="4"/>
      <c r="U44" s="4"/>
      <c r="V44" s="4"/>
      <c r="W44" s="4"/>
      <c r="X44" s="4"/>
      <c r="Y44" s="4"/>
      <c r="Z44" s="4"/>
    </row>
    <row r="45" spans="1:26" ht="15.75" customHeight="1" x14ac:dyDescent="0.25">
      <c r="A45" s="4"/>
      <c r="B45" s="152"/>
      <c r="C45" s="244"/>
      <c r="D45" s="244"/>
      <c r="E45" s="244"/>
      <c r="F45" s="1087" t="s">
        <v>222</v>
      </c>
      <c r="G45" s="1088">
        <f>SUM(G37:G44)</f>
        <v>4.1119700377554372E-2</v>
      </c>
      <c r="H45" s="4"/>
      <c r="I45" s="4"/>
      <c r="J45" s="1030"/>
      <c r="K45" s="1045"/>
      <c r="L45" s="1030"/>
      <c r="M45" s="1046"/>
      <c r="N45" s="4"/>
      <c r="O45" s="4"/>
      <c r="P45" s="4"/>
      <c r="Q45" s="4"/>
      <c r="R45" s="4"/>
      <c r="S45" s="4"/>
      <c r="T45" s="4"/>
      <c r="U45" s="4"/>
      <c r="V45" s="4"/>
      <c r="W45" s="4"/>
      <c r="X45" s="4"/>
      <c r="Y45" s="4"/>
      <c r="Z45" s="4"/>
    </row>
    <row r="46" spans="1:26"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1089" t="s">
        <v>912</v>
      </c>
      <c r="C48" s="1090"/>
      <c r="D48" s="1090"/>
      <c r="E48" s="1091"/>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1092"/>
      <c r="C51" s="1093"/>
      <c r="D51" s="661" t="s">
        <v>913</v>
      </c>
      <c r="E51" s="661" t="s">
        <v>914</v>
      </c>
      <c r="F51" s="661" t="s">
        <v>915</v>
      </c>
      <c r="G51" s="662" t="s">
        <v>916</v>
      </c>
      <c r="H51" s="4"/>
      <c r="I51" s="4"/>
      <c r="J51" s="4"/>
      <c r="K51" s="4"/>
      <c r="L51" s="4"/>
      <c r="M51" s="4"/>
      <c r="N51" s="4"/>
      <c r="O51" s="4"/>
      <c r="P51" s="4"/>
      <c r="Q51" s="4"/>
      <c r="R51" s="4"/>
      <c r="S51" s="4"/>
      <c r="T51" s="4"/>
      <c r="U51" s="4"/>
      <c r="V51" s="4"/>
      <c r="W51" s="4"/>
      <c r="X51" s="4"/>
      <c r="Y51" s="4"/>
      <c r="Z51" s="4"/>
    </row>
    <row r="52" spans="1:26" ht="15.75" customHeight="1" x14ac:dyDescent="0.25">
      <c r="A52" s="4"/>
      <c r="B52" s="126"/>
      <c r="C52" s="1094" t="s">
        <v>627</v>
      </c>
      <c r="D52" s="1026" t="s">
        <v>628</v>
      </c>
      <c r="E52" s="1026" t="s">
        <v>628</v>
      </c>
      <c r="F52" s="1026" t="s">
        <v>628</v>
      </c>
      <c r="G52" s="1027" t="s">
        <v>628</v>
      </c>
      <c r="H52" s="4"/>
      <c r="I52" s="4"/>
      <c r="J52" s="4"/>
      <c r="K52" s="4"/>
      <c r="L52" s="4"/>
      <c r="M52" s="4"/>
      <c r="N52" s="4"/>
      <c r="O52" s="4"/>
      <c r="P52" s="4"/>
      <c r="Q52" s="4"/>
      <c r="R52" s="4"/>
      <c r="S52" s="4"/>
      <c r="T52" s="4"/>
      <c r="U52" s="4"/>
      <c r="V52" s="4"/>
      <c r="W52" s="4"/>
      <c r="X52" s="4"/>
      <c r="Y52" s="4"/>
      <c r="Z52" s="4"/>
    </row>
    <row r="53" spans="1:26" ht="15.75" customHeight="1" x14ac:dyDescent="0.25">
      <c r="A53" s="4"/>
      <c r="B53" s="1095" t="s">
        <v>277</v>
      </c>
      <c r="C53" s="1094" t="s">
        <v>630</v>
      </c>
      <c r="D53" s="665" t="s">
        <v>917</v>
      </c>
      <c r="E53" s="665" t="s">
        <v>918</v>
      </c>
      <c r="F53" s="665" t="s">
        <v>919</v>
      </c>
      <c r="G53" s="666" t="s">
        <v>920</v>
      </c>
      <c r="H53" s="4"/>
      <c r="I53" s="4"/>
      <c r="J53" s="4"/>
      <c r="K53" s="4"/>
      <c r="L53" s="4"/>
      <c r="M53" s="4"/>
      <c r="N53" s="4"/>
      <c r="O53" s="4"/>
      <c r="P53" s="4"/>
      <c r="Q53" s="4"/>
      <c r="R53" s="4"/>
      <c r="S53" s="4"/>
      <c r="T53" s="4"/>
      <c r="U53" s="4"/>
      <c r="V53" s="4"/>
      <c r="W53" s="4"/>
      <c r="X53" s="4"/>
      <c r="Y53" s="4"/>
      <c r="Z53" s="4"/>
    </row>
    <row r="54" spans="1:26" ht="15.75" customHeight="1" x14ac:dyDescent="0.25">
      <c r="A54" s="4"/>
      <c r="B54" s="126" t="s">
        <v>219</v>
      </c>
      <c r="C54" s="232">
        <v>617</v>
      </c>
      <c r="D54" s="1000">
        <f t="shared" ref="D54:D60" si="8">G8</f>
        <v>5.8279398354469596E-2</v>
      </c>
      <c r="E54" s="1096">
        <f t="shared" ref="E54:E61" si="9">G37</f>
        <v>1.7315787664369964E-4</v>
      </c>
      <c r="F54" s="1000">
        <f t="shared" ref="F54:F61" si="10">G22</f>
        <v>2.4582234273525216E-4</v>
      </c>
      <c r="G54" s="1097">
        <f t="shared" ref="G54:G61" si="11">D54+E54+F54</f>
        <v>5.8698378573848548E-2</v>
      </c>
      <c r="H54" s="4"/>
      <c r="I54" s="4"/>
      <c r="J54" s="4"/>
      <c r="K54" s="4"/>
      <c r="L54" s="4"/>
      <c r="M54" s="4"/>
      <c r="N54" s="4"/>
      <c r="O54" s="4"/>
      <c r="P54" s="4"/>
      <c r="Q54" s="4"/>
      <c r="R54" s="4"/>
      <c r="S54" s="4"/>
      <c r="T54" s="4"/>
      <c r="U54" s="4"/>
      <c r="V54" s="4"/>
      <c r="W54" s="4"/>
      <c r="X54" s="4"/>
      <c r="Y54" s="4"/>
      <c r="Z54" s="4"/>
    </row>
    <row r="55" spans="1:26" ht="15.75" customHeight="1" x14ac:dyDescent="0.25">
      <c r="A55" s="4"/>
      <c r="B55" s="126" t="s">
        <v>634</v>
      </c>
      <c r="C55" s="232">
        <v>8363</v>
      </c>
      <c r="D55" s="1000">
        <f t="shared" si="8"/>
        <v>0.6179816520514021</v>
      </c>
      <c r="E55" s="1096">
        <f t="shared" si="9"/>
        <v>2.3470329373926416E-3</v>
      </c>
      <c r="F55" s="1000">
        <f t="shared" si="10"/>
        <v>1.3327794180193928E-3</v>
      </c>
      <c r="G55" s="1097">
        <f t="shared" si="11"/>
        <v>0.62166146440681413</v>
      </c>
      <c r="H55" s="4"/>
      <c r="I55" s="4"/>
      <c r="J55" s="4"/>
      <c r="K55" s="4"/>
      <c r="L55" s="4"/>
      <c r="M55" s="4"/>
      <c r="N55" s="4"/>
      <c r="O55" s="4"/>
      <c r="P55" s="4"/>
      <c r="Q55" s="4"/>
      <c r="R55" s="4"/>
      <c r="S55" s="4"/>
      <c r="T55" s="4"/>
      <c r="U55" s="4"/>
      <c r="V55" s="4"/>
      <c r="W55" s="4"/>
      <c r="X55" s="4"/>
      <c r="Y55" s="4"/>
      <c r="Z55" s="4"/>
    </row>
    <row r="56" spans="1:26" ht="15.75" customHeight="1" x14ac:dyDescent="0.25">
      <c r="A56" s="4"/>
      <c r="B56" s="126" t="s">
        <v>883</v>
      </c>
      <c r="C56" s="232">
        <v>132</v>
      </c>
      <c r="D56" s="1000">
        <f t="shared" si="8"/>
        <v>9.6531169503075998E-3</v>
      </c>
      <c r="E56" s="1096">
        <f t="shared" si="9"/>
        <v>3.7045121097193439E-5</v>
      </c>
      <c r="F56" s="1000">
        <f t="shared" si="10"/>
        <v>2.1036336623049127E-5</v>
      </c>
      <c r="G56" s="1097">
        <f t="shared" si="11"/>
        <v>9.7111984080278432E-3</v>
      </c>
      <c r="H56" s="4"/>
      <c r="I56" s="4"/>
      <c r="J56" s="4"/>
      <c r="K56" s="4"/>
      <c r="L56" s="4"/>
      <c r="M56" s="4"/>
      <c r="N56" s="4"/>
      <c r="O56" s="4"/>
      <c r="P56" s="4"/>
      <c r="Q56" s="4"/>
      <c r="R56" s="4"/>
      <c r="S56" s="4"/>
      <c r="T56" s="4"/>
      <c r="U56" s="4"/>
      <c r="V56" s="4"/>
      <c r="W56" s="4"/>
      <c r="X56" s="4"/>
      <c r="Y56" s="4"/>
      <c r="Z56" s="4"/>
    </row>
    <row r="57" spans="1:26" ht="15.75" customHeight="1" x14ac:dyDescent="0.25">
      <c r="A57" s="4"/>
      <c r="B57" s="126" t="s">
        <v>844</v>
      </c>
      <c r="C57" s="232">
        <v>3276</v>
      </c>
      <c r="D57" s="1000">
        <f t="shared" si="8"/>
        <v>0.20219729290016566</v>
      </c>
      <c r="E57" s="1096">
        <f t="shared" si="9"/>
        <v>9.1939255086670999E-4</v>
      </c>
      <c r="F57" s="1000">
        <f t="shared" si="10"/>
        <v>5.2208362709931021E-4</v>
      </c>
      <c r="G57" s="1097">
        <f t="shared" si="11"/>
        <v>0.20363876907813169</v>
      </c>
      <c r="H57" s="4"/>
      <c r="I57" s="4"/>
      <c r="J57" s="4"/>
      <c r="K57" s="4"/>
      <c r="L57" s="4"/>
      <c r="M57" s="4"/>
      <c r="N57" s="4"/>
      <c r="O57" s="4"/>
      <c r="P57" s="4"/>
      <c r="Q57" s="4"/>
      <c r="R57" s="4"/>
      <c r="S57" s="4"/>
      <c r="T57" s="4"/>
      <c r="U57" s="4"/>
      <c r="V57" s="4"/>
      <c r="W57" s="4"/>
      <c r="X57" s="4"/>
      <c r="Y57" s="4"/>
      <c r="Z57" s="4"/>
    </row>
    <row r="58" spans="1:26" ht="15.75" customHeight="1" x14ac:dyDescent="0.25">
      <c r="A58" s="4"/>
      <c r="B58" s="126" t="s">
        <v>758</v>
      </c>
      <c r="C58" s="232">
        <v>176</v>
      </c>
      <c r="D58" s="1000">
        <f t="shared" si="8"/>
        <v>1.2557830994723879E-2</v>
      </c>
      <c r="E58" s="1096">
        <f t="shared" si="9"/>
        <v>4.9393494796257921E-5</v>
      </c>
      <c r="F58" s="1000">
        <f t="shared" si="10"/>
        <v>2.8048448830732169E-5</v>
      </c>
      <c r="G58" s="1097">
        <f t="shared" si="11"/>
        <v>1.2635272938350869E-2</v>
      </c>
      <c r="H58" s="4"/>
      <c r="I58" s="4"/>
      <c r="J58" s="4"/>
      <c r="K58" s="4"/>
      <c r="L58" s="4"/>
      <c r="M58" s="4"/>
      <c r="N58" s="4"/>
      <c r="O58" s="4"/>
      <c r="P58" s="4"/>
      <c r="Q58" s="4"/>
      <c r="R58" s="4"/>
      <c r="S58" s="4"/>
      <c r="T58" s="4"/>
      <c r="U58" s="4"/>
      <c r="V58" s="4"/>
      <c r="W58" s="4"/>
      <c r="X58" s="4"/>
      <c r="Y58" s="4"/>
      <c r="Z58" s="4"/>
    </row>
    <row r="59" spans="1:26" ht="15.75" customHeight="1" x14ac:dyDescent="0.25">
      <c r="A59" s="4"/>
      <c r="B59" s="126" t="s">
        <v>635</v>
      </c>
      <c r="C59" s="232">
        <v>28</v>
      </c>
      <c r="D59" s="1000">
        <f t="shared" si="8"/>
        <v>2.1007193192318667E-3</v>
      </c>
      <c r="E59" s="1096">
        <f t="shared" si="9"/>
        <v>7.8580559903137596E-6</v>
      </c>
      <c r="F59" s="1000">
        <f t="shared" si="10"/>
        <v>4.4622532230710261E-6</v>
      </c>
      <c r="G59" s="1097">
        <f t="shared" si="11"/>
        <v>2.1130396284452517E-3</v>
      </c>
      <c r="H59" s="4"/>
      <c r="I59" s="4"/>
      <c r="J59" s="4"/>
      <c r="K59" s="4"/>
      <c r="L59" s="4"/>
      <c r="M59" s="4"/>
      <c r="N59" s="4"/>
      <c r="O59" s="4"/>
      <c r="P59" s="4"/>
      <c r="Q59" s="4"/>
      <c r="R59" s="4"/>
      <c r="S59" s="4"/>
      <c r="T59" s="4"/>
      <c r="U59" s="4"/>
      <c r="V59" s="4"/>
      <c r="W59" s="4"/>
      <c r="X59" s="4"/>
      <c r="Y59" s="4"/>
      <c r="Z59" s="4"/>
    </row>
    <row r="60" spans="1:26" ht="15.75" customHeight="1" x14ac:dyDescent="0.25">
      <c r="A60" s="4"/>
      <c r="B60" s="126" t="s">
        <v>221</v>
      </c>
      <c r="C60" s="232">
        <v>69374</v>
      </c>
      <c r="D60" s="1000">
        <f t="shared" si="8"/>
        <v>3.6771891538221788</v>
      </c>
      <c r="E60" s="1096">
        <f t="shared" si="9"/>
        <v>9.222374034677145E-3</v>
      </c>
      <c r="F60" s="1000">
        <f t="shared" si="10"/>
        <v>1.7456636565638885E-3</v>
      </c>
      <c r="G60" s="1097">
        <f t="shared" si="11"/>
        <v>3.6881571915134201</v>
      </c>
      <c r="H60" s="4"/>
      <c r="I60" s="4"/>
      <c r="J60" s="4"/>
      <c r="K60" s="4"/>
      <c r="L60" s="4"/>
      <c r="M60" s="4"/>
      <c r="N60" s="4"/>
      <c r="O60" s="4"/>
      <c r="P60" s="4"/>
      <c r="Q60" s="4"/>
      <c r="R60" s="4"/>
      <c r="S60" s="4"/>
      <c r="T60" s="4"/>
      <c r="U60" s="4"/>
      <c r="V60" s="4"/>
      <c r="W60" s="4"/>
      <c r="X60" s="4"/>
      <c r="Y60" s="4"/>
      <c r="Z60" s="4"/>
    </row>
    <row r="61" spans="1:26" ht="15.75" customHeight="1" x14ac:dyDescent="0.25">
      <c r="A61" s="4"/>
      <c r="B61" s="126" t="s">
        <v>739</v>
      </c>
      <c r="C61" s="232">
        <v>3556</v>
      </c>
      <c r="D61" s="107">
        <v>0</v>
      </c>
      <c r="E61" s="1096">
        <f t="shared" si="9"/>
        <v>2.836344630609041E-2</v>
      </c>
      <c r="F61" s="1000">
        <f t="shared" si="10"/>
        <v>3.5791967957685511E-3</v>
      </c>
      <c r="G61" s="1098">
        <f t="shared" si="11"/>
        <v>3.1942643101858958E-2</v>
      </c>
      <c r="H61" s="4"/>
      <c r="I61" s="4"/>
      <c r="J61" s="4"/>
      <c r="K61" s="4"/>
      <c r="L61" s="4"/>
      <c r="M61" s="4"/>
      <c r="N61" s="4"/>
      <c r="O61" s="4"/>
      <c r="P61" s="4"/>
      <c r="Q61" s="4"/>
      <c r="R61" s="4"/>
      <c r="S61" s="4"/>
      <c r="T61" s="4"/>
      <c r="U61" s="4"/>
      <c r="V61" s="4"/>
      <c r="W61" s="4"/>
      <c r="X61" s="4"/>
      <c r="Y61" s="4"/>
      <c r="Z61" s="4"/>
    </row>
    <row r="62" spans="1:26" ht="15.75" customHeight="1" x14ac:dyDescent="0.25">
      <c r="A62" s="4"/>
      <c r="B62" s="1042"/>
      <c r="C62" s="1031"/>
      <c r="D62" s="1031"/>
      <c r="E62" s="1031"/>
      <c r="F62" s="1087" t="s">
        <v>222</v>
      </c>
      <c r="G62" s="1099">
        <f>SUM(G54:G61)</f>
        <v>4.6285579576488969</v>
      </c>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45" customHeight="1" x14ac:dyDescent="0.25">
      <c r="A69" s="4"/>
      <c r="B69" s="2185" t="s">
        <v>921</v>
      </c>
      <c r="C69" s="2149"/>
      <c r="D69" s="2149"/>
      <c r="E69" s="2149"/>
      <c r="F69" s="2149"/>
      <c r="G69" s="2149"/>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44.25" customHeight="1" x14ac:dyDescent="0.25">
      <c r="A73" s="4"/>
      <c r="B73" s="2185" t="s">
        <v>901</v>
      </c>
      <c r="C73" s="2149"/>
      <c r="D73" s="2149"/>
      <c r="E73" s="2149"/>
      <c r="F73" s="2149"/>
      <c r="G73" s="2149"/>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algorithmName="SHA-512" hashValue="3TmcU2VItmCLfKW7IwDr0zl74Zzqm/0QaU59mduZ0kU79yVVPCNQ09jFc9JZYj7ZBWQFgfpEzymSvS+ReDuevA==" saltValue="CVsdngBKUSktJQN2ZngjOw==" spinCount="100000" sheet="1" objects="1" scenarios="1"/>
  <mergeCells count="3">
    <mergeCell ref="I5:J5"/>
    <mergeCell ref="B69:G69"/>
    <mergeCell ref="B73:G73"/>
  </mergeCells>
  <pageMargins left="0.7" right="0.7" top="0.75" bottom="0.75" header="0" footer="0"/>
  <pageSetup orientation="landscape"/>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PublishingExpiration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6D3471F7F04449211EBF97CCD3EEF" ma:contentTypeVersion="11" ma:contentTypeDescription="Create a new document." ma:contentTypeScope="" ma:versionID="1fa121f0f7dadc83016221ac4c0a73d5">
  <xsd:schema xmlns:xsd="http://www.w3.org/2001/XMLSchema" xmlns:xs="http://www.w3.org/2001/XMLSchema" xmlns:p="http://schemas.microsoft.com/office/2006/metadata/properties" xmlns:ns1="http://schemas.microsoft.com/sharepoint/v3" targetNamespace="http://schemas.microsoft.com/office/2006/metadata/properties" ma:root="true" ma:fieldsID="0f1c3a5fe40b69cf375f6490498fc6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605E3F-6ED8-47D2-A6E7-66CC623A7EE9}"/>
</file>

<file path=customXml/itemProps2.xml><?xml version="1.0" encoding="utf-8"?>
<ds:datastoreItem xmlns:ds="http://schemas.openxmlformats.org/officeDocument/2006/customXml" ds:itemID="{4FCD33FF-7976-450E-BB94-EC9D8A740187}"/>
</file>

<file path=customXml/itemProps3.xml><?xml version="1.0" encoding="utf-8"?>
<ds:datastoreItem xmlns:ds="http://schemas.openxmlformats.org/officeDocument/2006/customXml" ds:itemID="{DAEBCD0F-6390-4CD0-BD76-281058DDF7A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Summ GHG Rpt Expanded</vt:lpstr>
      <vt:lpstr>Severstal</vt:lpstr>
      <vt:lpstr>Luke</vt:lpstr>
      <vt:lpstr>EGU Production ALL Units</vt:lpstr>
      <vt:lpstr>EGU Details</vt:lpstr>
      <vt:lpstr>Imported Electricity</vt:lpstr>
      <vt:lpstr>Transportation</vt:lpstr>
      <vt:lpstr>Residential</vt:lpstr>
      <vt:lpstr>Commercial</vt:lpstr>
      <vt:lpstr>Industrial</vt:lpstr>
      <vt:lpstr>LimeT&amp;DSodaODS</vt:lpstr>
      <vt:lpstr>Cement</vt:lpstr>
      <vt:lpstr>Ammonia &amp; Urea Consumption</vt:lpstr>
      <vt:lpstr>Iron And Steel</vt:lpstr>
      <vt:lpstr>Landfills</vt:lpstr>
      <vt:lpstr>Incinerators</vt:lpstr>
      <vt:lpstr>OpenBurn</vt:lpstr>
      <vt:lpstr>Natural Gas and Oil</vt:lpstr>
      <vt:lpstr>Mining</vt:lpstr>
      <vt:lpstr>Wastewater</vt:lpstr>
      <vt:lpstr>Agricultural</vt:lpstr>
      <vt:lpstr>Land Use</vt:lpstr>
      <vt:lpstr>Graphs</vt:lpstr>
      <vt:lpstr>Graphs!_Toc284401718</vt:lpstr>
      <vt:lpstr>Graphs!_Toc352228849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2011 GHG Emission Inventory</dc:title>
  <dc:creator>Susan Casey</dc:creator>
  <cp:lastModifiedBy>Susan Casey</cp:lastModifiedBy>
  <dcterms:created xsi:type="dcterms:W3CDTF">2013-01-28T02:19:40Z</dcterms:created>
  <dcterms:modified xsi:type="dcterms:W3CDTF">2021-06-09T13:19:03Z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display_urn:schemas-microsoft-com:office:office#Editor">
    <vt:lpwstr>System Account</vt:lpwstr>
  </property>
  <property fmtid="{D5CDD505-2E9C-101B-9397-08002B2CF9AE}" pid="4" name="xd_Signature">
    <vt:lpwstr/>
  </property>
  <property fmtid="{D5CDD505-2E9C-101B-9397-08002B2CF9AE}" pid="5" name="Order">
    <vt:lpwstr>3300.00000000000</vt:lpwstr>
  </property>
  <property fmtid="{D5CDD505-2E9C-101B-9397-08002B2CF9AE}" pid="6" name="TemplateUrl">
    <vt:lpwstr/>
  </property>
  <property fmtid="{D5CDD505-2E9C-101B-9397-08002B2CF9AE}" pid="7" name="xd_ProgID">
    <vt:lpwstr/>
  </property>
  <property fmtid="{D5CDD505-2E9C-101B-9397-08002B2CF9AE}" pid="8" name="PublishingStartDate">
    <vt:lpwstr/>
  </property>
  <property fmtid="{D5CDD505-2E9C-101B-9397-08002B2CF9AE}" pid="9" name="PublishingExpirationDate">
    <vt:lpwstr/>
  </property>
  <property fmtid="{D5CDD505-2E9C-101B-9397-08002B2CF9AE}" pid="10" name="display_urn:schemas-microsoft-com:office:office#Author">
    <vt:lpwstr>System Account</vt:lpwstr>
  </property>
  <property fmtid="{D5CDD505-2E9C-101B-9397-08002B2CF9AE}" pid="11" name="_SourceUrl">
    <vt:lpwstr/>
  </property>
  <property fmtid="{D5CDD505-2E9C-101B-9397-08002B2CF9AE}" pid="12" name="_SharedFileIndex">
    <vt:lpwstr/>
  </property>
  <property fmtid="{D5CDD505-2E9C-101B-9397-08002B2CF9AE}" pid="13" name="ContentTypeId">
    <vt:lpwstr>0x010100D5E6D3471F7F04449211EBF97CCD3EEF</vt:lpwstr>
  </property>
</Properties>
</file>